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</sheets>
  <calcPr calcId="124519" fullCalcOnLoad="1"/>
</workbook>
</file>

<file path=xl/sharedStrings.xml><?xml version="1.0" encoding="utf-8"?>
<sst xmlns="http://schemas.openxmlformats.org/spreadsheetml/2006/main" count="104" uniqueCount="47">
  <si>
    <t>Fine-Structure Energy Levels for  Be IV</t>
  </si>
  <si>
    <t>S2</t>
  </si>
  <si>
    <t>S11</t>
  </si>
  <si>
    <t>S12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</si>
  <si>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</si>
  <si>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</si>
  <si>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</si>
  <si>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</si>
  <si>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</si>
  <si>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</si>
  <si>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</si>
  <si>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</si>
  <si>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</si>
  <si>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</si>
  <si>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</t>
  </si>
  <si>
    <t>2S</t>
  </si>
  <si>
    <t>2p</t>
  </si>
  <si>
    <t>2P*</t>
  </si>
  <si>
    <t>2s</t>
  </si>
  <si>
    <t>3p</t>
  </si>
  <si>
    <t>3s</t>
  </si>
  <si>
    <t>3d</t>
  </si>
  <si>
    <t>2D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</si>
  <si>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</si>
  <si>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</si>
  <si>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</si>
  <si>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</si>
  <si>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</si>
  <si>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</si>
  <si>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</si>
  <si>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</si>
  <si>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</si>
  <si>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</si>
  <si>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</t>
  </si>
  <si>
    <t>A-values for fine-structure transitions in  Be IV</t>
  </si>
  <si>
    <t>S18</t>
  </si>
  <si>
    <t>S20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</si>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</sst>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15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4.7109375" customWidth="1"/>
    <col min="11" max="11" width="13.7109375" customWidth="1"/>
    <col min="12" max="12" width="13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3</v>
      </c>
    </row>
    <row r="3" spans="1:1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13</v>
      </c>
      <c r="L3" s="2" t="s">
        <v>13</v>
      </c>
    </row>
    <row r="4" spans="1:12">
      <c r="A4" s="3">
        <v>4</v>
      </c>
      <c r="B4" s="3">
        <v>1</v>
      </c>
      <c r="C4" s="3">
        <v>1</v>
      </c>
      <c r="D4" s="3" t="s">
        <v>14</v>
      </c>
      <c r="E4" s="3" t="s">
        <v>15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HYPERLINK("http://141.218.60.56/~jnz1568/getInfo.php?workbook=04_01.xlsx&amp;sheet=E0&amp;row=4&amp;col=10&amp;number=0&amp;sourceID=2","0")</f>
        <v>0</v>
      </c>
      <c r="K4" s="4" t="str">
        <f>HYPERLINK("http://141.218.60.56/~jnz1568/getInfo.php?workbook=04_01.xlsx&amp;sheet=E0&amp;row=4&amp;col=11&amp;number=0&amp;sourceID=11","0")</f>
        <v>0</v>
      </c>
      <c r="L4" s="4" t="str">
        <f>HYPERLINK("http://141.218.60.56/~jnz1568/getInfo.php?workbook=04_01.xlsx&amp;sheet=E0&amp;row=4&amp;col=12&amp;number=0&amp;sourceID=12","0")</f>
        <v>0</v>
      </c>
    </row>
    <row r="5" spans="1:12">
      <c r="A5" s="3">
        <v>4</v>
      </c>
      <c r="B5" s="3">
        <v>1</v>
      </c>
      <c r="C5" s="3">
        <f>+C4+1</f>
        <v>0</v>
      </c>
      <c r="D5" s="3" t="s">
        <v>16</v>
      </c>
      <c r="E5" s="3" t="s">
        <v>17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HYPERLINK("http://141.218.60.56/~jnz1568/getInfo.php?workbook=04_01.xlsx&amp;sheet=E0&amp;row=5&amp;col=10&amp;number=1316979.2567&amp;sourceID=2","1316979.2567")</f>
        <v>1316979.2567</v>
      </c>
      <c r="K5" s="4" t="str">
        <f>HYPERLINK("http://141.218.60.56/~jnz1568/getInfo.php?workbook=04_01.xlsx&amp;sheet=E0&amp;row=5&amp;col=11&amp;number=1317024.8283&amp;sourceID=11","1317024.8283")</f>
        <v>1317024.8283</v>
      </c>
      <c r="L5" s="4" t="str">
        <f>HYPERLINK("http://141.218.60.56/~jnz1568/getInfo.php?workbook=04_01.xlsx&amp;sheet=E0&amp;row=5&amp;col=12&amp;number=1316979.3158&amp;sourceID=12","1316979.3158")</f>
        <v>1316979.3158</v>
      </c>
    </row>
    <row r="6" spans="1:12">
      <c r="A6" s="3">
        <v>4</v>
      </c>
      <c r="B6" s="3">
        <v>1</v>
      </c>
      <c r="C6" s="3">
        <f/>
        <v>0</v>
      </c>
      <c r="D6" s="3" t="s">
        <v>18</v>
      </c>
      <c r="E6" s="3" t="s">
        <v>15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HYPERLINK("http://141.218.60.56/~jnz1568/getInfo.php?workbook=04_01.xlsx&amp;sheet=E0&amp;row=6&amp;col=10&amp;number=1316985.251&amp;sourceID=2","1316985.251")</f>
        <v>1316985.251</v>
      </c>
      <c r="K6" s="4" t="str">
        <f>HYPERLINK("http://141.218.60.56/~jnz1568/getInfo.php?workbook=04_01.xlsx&amp;sheet=E0&amp;row=6&amp;col=11&amp;number=1317024.8283&amp;sourceID=11","1317024.8283")</f>
        <v>1317024.8283</v>
      </c>
      <c r="L6" s="4" t="str">
        <f>HYPERLINK("http://141.218.60.56/~jnz1568/getInfo.php?workbook=04_01.xlsx&amp;sheet=E0&amp;row=6&amp;col=12&amp;number=1316985.3031&amp;sourceID=12","1316985.3031")</f>
        <v>1316985.3031</v>
      </c>
    </row>
    <row r="7" spans="1:12">
      <c r="A7" s="3">
        <v>4</v>
      </c>
      <c r="B7" s="3">
        <v>1</v>
      </c>
      <c r="C7" s="3">
        <f/>
        <v>0</v>
      </c>
      <c r="D7" s="3" t="s">
        <v>16</v>
      </c>
      <c r="E7" s="3" t="s">
        <v>17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HYPERLINK("http://141.218.60.56/~jnz1568/getInfo.php?workbook=04_01.xlsx&amp;sheet=E0&amp;row=7&amp;col=10&amp;number=1317073.0147&amp;sourceID=2","1317073.0147")</f>
        <v>1317073.0147</v>
      </c>
      <c r="K7" s="4" t="str">
        <f>HYPERLINK("http://141.218.60.56/~jnz1568/getInfo.php?workbook=04_01.xlsx&amp;sheet=E0&amp;row=7&amp;col=11&amp;number=1317118.371&amp;sourceID=11","1317118.371")</f>
        <v>1317118.371</v>
      </c>
      <c r="L7" s="4" t="str">
        <f>HYPERLINK("http://141.218.60.56/~jnz1568/getInfo.php?workbook=04_01.xlsx&amp;sheet=E0&amp;row=7&amp;col=12&amp;number=1317073.0751&amp;sourceID=12","1317073.0751")</f>
        <v>1317073.0751</v>
      </c>
    </row>
    <row r="8" spans="1:12">
      <c r="A8" s="3">
        <v>4</v>
      </c>
      <c r="B8" s="3">
        <v>1</v>
      </c>
      <c r="C8" s="3">
        <f/>
        <v>0</v>
      </c>
      <c r="D8" s="3" t="s">
        <v>19</v>
      </c>
      <c r="E8" s="3" t="s">
        <v>17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HYPERLINK("http://141.218.60.56/~jnz1568/getInfo.php?workbook=04_01.xlsx&amp;sheet=E0&amp;row=8&amp;col=10&amp;number=1560900.5401&amp;sourceID=2","1560900.5401")</f>
        <v>1560900.5401</v>
      </c>
      <c r="K8" s="4" t="str">
        <f>HYPERLINK("http://141.218.60.56/~jnz1568/getInfo.php?workbook=04_01.xlsx&amp;sheet=E0&amp;row=8&amp;col=11&amp;number=1560946.0323&amp;sourceID=11","1560946.0323")</f>
        <v>1560946.0323</v>
      </c>
      <c r="L8" s="4" t="str">
        <f>HYPERLINK("http://141.218.60.56/~jnz1568/getInfo.php?workbook=04_01.xlsx&amp;sheet=E0&amp;row=8&amp;col=12&amp;number=1560900.6052&amp;sourceID=12","1560900.6052")</f>
        <v>1560900.6052</v>
      </c>
    </row>
    <row r="9" spans="1:12">
      <c r="A9" s="3">
        <v>4</v>
      </c>
      <c r="B9" s="3">
        <v>1</v>
      </c>
      <c r="C9" s="3">
        <f/>
        <v>0</v>
      </c>
      <c r="D9" s="3" t="s">
        <v>20</v>
      </c>
      <c r="E9" s="3" t="s">
        <v>15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HYPERLINK("http://141.218.60.56/~jnz1568/getInfo.php?workbook=04_01.xlsx&amp;sheet=E0&amp;row=9&amp;col=10&amp;number=1560902.3283&amp;sourceID=2","1560902.3283")</f>
        <v>1560902.3283</v>
      </c>
      <c r="K9" s="4" t="str">
        <f>HYPERLINK("http://141.218.60.56/~jnz1568/getInfo.php?workbook=04_01.xlsx&amp;sheet=E0&amp;row=9&amp;col=11&amp;number=1560946.0323&amp;sourceID=11","1560946.0323")</f>
        <v>1560946.0323</v>
      </c>
      <c r="L9" s="4" t="str">
        <f>HYPERLINK("http://141.218.60.56/~jnz1568/getInfo.php?workbook=04_01.xlsx&amp;sheet=E0&amp;row=9&amp;col=12&amp;number=1560902.3953&amp;sourceID=12","1560902.3953")</f>
        <v>1560902.3953</v>
      </c>
    </row>
    <row r="10" spans="1:12">
      <c r="A10" s="3">
        <v>4</v>
      </c>
      <c r="B10" s="3">
        <v>1</v>
      </c>
      <c r="C10" s="3">
        <f/>
        <v>0</v>
      </c>
      <c r="D10" s="3" t="s">
        <v>21</v>
      </c>
      <c r="E10" s="3" t="s">
        <v>22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HYPERLINK("http://141.218.60.56/~jnz1568/getInfo.php?workbook=04_01.xlsx&amp;sheet=E0&amp;row=10&amp;col=10&amp;number=1560928.27469&amp;sourceID=2","1560928.27469")</f>
        <v>1560928.27469</v>
      </c>
      <c r="K10" s="4" t="str">
        <f>HYPERLINK("http://141.218.60.56/~jnz1568/getInfo.php?workbook=04_01.xlsx&amp;sheet=E0&amp;row=10&amp;col=11&amp;number=1560973.7492&amp;sourceID=11","1560973.7492")</f>
        <v>1560973.7492</v>
      </c>
      <c r="L10" s="4" t="str">
        <f>HYPERLINK("http://141.218.60.56/~jnz1568/getInfo.php?workbook=04_01.xlsx&amp;sheet=E0&amp;row=10&amp;col=12&amp;number=1560928.3398&amp;sourceID=12","1560928.3398")</f>
        <v>1560928.3398</v>
      </c>
    </row>
    <row r="11" spans="1:12">
      <c r="A11" s="3">
        <v>4</v>
      </c>
      <c r="B11" s="3">
        <v>1</v>
      </c>
      <c r="C11" s="3">
        <f/>
        <v>0</v>
      </c>
      <c r="D11" s="3" t="s">
        <v>19</v>
      </c>
      <c r="E11" s="3" t="s">
        <v>17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HYPERLINK("http://141.218.60.56/~jnz1568/getInfo.php?workbook=04_01.xlsx&amp;sheet=E0&amp;row=11&amp;col=10&amp;number=1560928.32066&amp;sourceID=2","1560928.32066")</f>
        <v>1560928.32066</v>
      </c>
      <c r="K11" s="4" t="str">
        <f>HYPERLINK("http://141.218.60.56/~jnz1568/getInfo.php?workbook=04_01.xlsx&amp;sheet=E0&amp;row=11&amp;col=11&amp;number=1560973.7492&amp;sourceID=11","1560973.7492")</f>
        <v>1560973.7492</v>
      </c>
      <c r="L11" s="4" t="str">
        <f>HYPERLINK("http://141.218.60.56/~jnz1568/getInfo.php?workbook=04_01.xlsx&amp;sheet=E0&amp;row=11&amp;col=12&amp;number=1560928.3858&amp;sourceID=12","1560928.3858")</f>
        <v>1560928.3858</v>
      </c>
    </row>
    <row r="12" spans="1:12">
      <c r="A12" s="3">
        <v>4</v>
      </c>
      <c r="B12" s="3">
        <v>1</v>
      </c>
      <c r="C12" s="3">
        <f/>
        <v>0</v>
      </c>
      <c r="D12" s="3" t="s">
        <v>21</v>
      </c>
      <c r="E12" s="3" t="s">
        <v>22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HYPERLINK("http://141.218.60.56/~jnz1568/getInfo.php?workbook=04_01.xlsx&amp;sheet=E0&amp;row=12&amp;col=10&amp;number=1560937.53133&amp;sourceID=2","1560937.53133")</f>
        <v>1560937.53133</v>
      </c>
      <c r="K12" s="4" t="str">
        <f>HYPERLINK("http://141.218.60.56/~jnz1568/getInfo.php?workbook=04_01.xlsx&amp;sheet=E0&amp;row=12&amp;col=11&amp;number=1560982.9844&amp;sourceID=11","1560982.9844")</f>
        <v>1560982.9844</v>
      </c>
      <c r="L12" s="4" t="str">
        <f>HYPERLINK("http://141.218.60.56/~jnz1568/getInfo.php?workbook=04_01.xlsx&amp;sheet=E0&amp;row=12&amp;col=12&amp;number=1560937.5964&amp;sourceID=12","1560937.5964")</f>
        <v>1560937.5964</v>
      </c>
    </row>
    <row r="13" spans="1:12">
      <c r="A13" s="3">
        <v>4</v>
      </c>
      <c r="B13" s="3">
        <v>1</v>
      </c>
      <c r="C13" s="3">
        <f/>
        <v>0</v>
      </c>
      <c r="D13" s="3" t="s">
        <v>23</v>
      </c>
      <c r="E13" s="3" t="s">
        <v>17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HYPERLINK("http://141.218.60.56/~jnz1568/getInfo.php?workbook=04_01.xlsx&amp;sheet=E0&amp;row=13&amp;col=10&amp;number=1646269.1781&amp;sourceID=2","1646269.1781")</f>
        <v>1646269.1781</v>
      </c>
      <c r="K13" s="4" t="str">
        <f>HYPERLINK("http://141.218.60.56/~jnz1568/getInfo.php?workbook=04_01.xlsx&amp;sheet=E0&amp;row=13&amp;col=11&amp;number=1646314.6529&amp;sourceID=11","1646314.6529")</f>
        <v>1646314.6529</v>
      </c>
      <c r="L13" s="4" t="str">
        <f>HYPERLINK("http://141.218.60.56/~jnz1568/getInfo.php?workbook=04_01.xlsx&amp;sheet=E0&amp;row=13&amp;col=12&amp;number=1646269.2448&amp;sourceID=12","1646269.2448")</f>
        <v>1646269.2448</v>
      </c>
    </row>
    <row r="14" spans="1:12">
      <c r="A14" s="3">
        <v>4</v>
      </c>
      <c r="B14" s="3">
        <v>1</v>
      </c>
      <c r="C14" s="3">
        <f/>
        <v>0</v>
      </c>
      <c r="D14" s="3" t="s">
        <v>24</v>
      </c>
      <c r="E14" s="3" t="s">
        <v>15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HYPERLINK("http://141.218.60.56/~jnz1568/getInfo.php?workbook=04_01.xlsx&amp;sheet=E0&amp;row=14&amp;col=10&amp;number=1646269.9345&amp;sourceID=2","1646269.9345")</f>
        <v>1646269.9345</v>
      </c>
      <c r="K14" s="4" t="str">
        <f>HYPERLINK("http://141.218.60.56/~jnz1568/getInfo.php?workbook=04_01.xlsx&amp;sheet=E0&amp;row=14&amp;col=11&amp;number=1646314.6529&amp;sourceID=11","1646314.6529")</f>
        <v>1646314.6529</v>
      </c>
      <c r="L14" s="4" t="str">
        <f>HYPERLINK("http://141.218.60.56/~jnz1568/getInfo.php?workbook=04_01.xlsx&amp;sheet=E0&amp;row=14&amp;col=12&amp;number=1646270.002&amp;sourceID=12","1646270.002")</f>
        <v>1646270.002</v>
      </c>
    </row>
    <row r="15" spans="1:12">
      <c r="A15" s="3">
        <v>4</v>
      </c>
      <c r="B15" s="3">
        <v>1</v>
      </c>
      <c r="C15" s="3">
        <f/>
        <v>0</v>
      </c>
      <c r="D15" s="3" t="s">
        <v>25</v>
      </c>
      <c r="E15" s="3" t="s">
        <v>22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HYPERLINK("http://141.218.60.56/~jnz1568/getInfo.php?workbook=04_01.xlsx&amp;sheet=E0&amp;row=15&amp;col=10&amp;number=1646280.8782&amp;sourceID=2","1646280.8782")</f>
        <v>1646280.8782</v>
      </c>
      <c r="K15" s="4" t="str">
        <f>HYPERLINK("http://141.218.60.56/~jnz1568/getInfo.php?workbook=04_01.xlsx&amp;sheet=E0&amp;row=15&amp;col=11&amp;number=1646326.3458&amp;sourceID=11","1646326.3458")</f>
        <v>1646326.3458</v>
      </c>
      <c r="L15" s="4" t="str">
        <f>HYPERLINK("http://141.218.60.56/~jnz1568/getInfo.php?workbook=04_01.xlsx&amp;sheet=E0&amp;row=15&amp;col=12&amp;number=1646280.9449&amp;sourceID=12","1646280.9449")</f>
        <v>1646280.9449</v>
      </c>
    </row>
    <row r="16" spans="1:12">
      <c r="A16" s="3">
        <v>4</v>
      </c>
      <c r="B16" s="3">
        <v>1</v>
      </c>
      <c r="C16" s="3">
        <f/>
        <v>0</v>
      </c>
      <c r="D16" s="3" t="s">
        <v>23</v>
      </c>
      <c r="E16" s="3" t="s">
        <v>17</v>
      </c>
      <c r="F16" s="3">
        <v>2</v>
      </c>
      <c r="G16" s="3">
        <v>1</v>
      </c>
      <c r="H16" s="3">
        <v>1</v>
      </c>
      <c r="I16" s="3">
        <v>1.5</v>
      </c>
      <c r="J16" s="4" t="str">
        <f>HYPERLINK("http://141.218.60.56/~jnz1568/getInfo.php?workbook=04_01.xlsx&amp;sheet=E0&amp;row=16&amp;col=10&amp;number=1646280.89782&amp;sourceID=2","1646280.89782")</f>
        <v>1646280.89782</v>
      </c>
      <c r="K16" s="4" t="str">
        <f>HYPERLINK("http://141.218.60.56/~jnz1568/getInfo.php?workbook=04_01.xlsx&amp;sheet=E0&amp;row=16&amp;col=11&amp;number=1646326.3458&amp;sourceID=11","1646326.3458")</f>
        <v>1646326.3458</v>
      </c>
      <c r="L16" s="4" t="str">
        <f>HYPERLINK("http://141.218.60.56/~jnz1568/getInfo.php?workbook=04_01.xlsx&amp;sheet=E0&amp;row=16&amp;col=12&amp;number=1646280.9645&amp;sourceID=12","1646280.9645")</f>
        <v>1646280.9645</v>
      </c>
    </row>
    <row r="17" spans="1:12">
      <c r="A17" s="3">
        <v>4</v>
      </c>
      <c r="B17" s="3">
        <v>1</v>
      </c>
      <c r="C17" s="3">
        <f/>
        <v>0</v>
      </c>
      <c r="D17" s="3" t="s">
        <v>26</v>
      </c>
      <c r="E17" s="3" t="s">
        <v>27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HYPERLINK("http://141.218.60.56/~jnz1568/getInfo.php?workbook=04_01.xlsx&amp;sheet=E0&amp;row=17&amp;col=10&amp;number=1646284.77636&amp;sourceID=2","1646284.77636")</f>
        <v>1646284.77636</v>
      </c>
      <c r="K17" s="4" t="str">
        <f>HYPERLINK("http://141.218.60.56/~jnz1568/getInfo.php?workbook=04_01.xlsx&amp;sheet=E0&amp;row=17&amp;col=11&amp;number=1646330.2419&amp;sourceID=11","1646330.2419")</f>
        <v>1646330.2419</v>
      </c>
      <c r="L17" s="4" t="str">
        <f>HYPERLINK("http://141.218.60.56/~jnz1568/getInfo.php?workbook=04_01.xlsx&amp;sheet=E0&amp;row=17&amp;col=12&amp;number=1646284.843&amp;sourceID=12","1646284.843")</f>
        <v>1646284.843</v>
      </c>
    </row>
    <row r="18" spans="1:12">
      <c r="A18" s="3">
        <v>4</v>
      </c>
      <c r="B18" s="3">
        <v>1</v>
      </c>
      <c r="C18" s="3">
        <f/>
        <v>0</v>
      </c>
      <c r="D18" s="3" t="s">
        <v>25</v>
      </c>
      <c r="E18" s="3" t="s">
        <v>22</v>
      </c>
      <c r="F18" s="3">
        <v>2</v>
      </c>
      <c r="G18" s="3">
        <v>2</v>
      </c>
      <c r="H18" s="3">
        <v>0</v>
      </c>
      <c r="I18" s="3">
        <v>2.5</v>
      </c>
      <c r="J18" s="4" t="str">
        <f>HYPERLINK("http://141.218.60.56/~jnz1568/getInfo.php?workbook=04_01.xlsx&amp;sheet=E0&amp;row=18&amp;col=10&amp;number=1646284.7834&amp;sourceID=2","1646284.7834")</f>
        <v>1646284.7834</v>
      </c>
      <c r="K18" s="4" t="str">
        <f>HYPERLINK("http://141.218.60.56/~jnz1568/getInfo.php?workbook=04_01.xlsx&amp;sheet=E0&amp;row=18&amp;col=11&amp;number=1646330.2419&amp;sourceID=11","1646330.2419")</f>
        <v>1646330.2419</v>
      </c>
      <c r="L18" s="4" t="str">
        <f>HYPERLINK("http://141.218.60.56/~jnz1568/getInfo.php?workbook=04_01.xlsx&amp;sheet=E0&amp;row=18&amp;col=12&amp;number=1646284.8501&amp;sourceID=12","1646284.8501")</f>
        <v>1646284.8501</v>
      </c>
    </row>
    <row r="19" spans="1:12">
      <c r="A19" s="3">
        <v>4</v>
      </c>
      <c r="B19" s="3">
        <v>1</v>
      </c>
      <c r="C19" s="3">
        <f/>
        <v>0</v>
      </c>
      <c r="D19" s="3" t="s">
        <v>26</v>
      </c>
      <c r="E19" s="3" t="s">
        <v>27</v>
      </c>
      <c r="F19" s="3">
        <v>2</v>
      </c>
      <c r="G19" s="3">
        <v>3</v>
      </c>
      <c r="H19" s="3">
        <v>1</v>
      </c>
      <c r="I19" s="3">
        <v>3.5</v>
      </c>
      <c r="J19" s="4" t="str">
        <f>HYPERLINK("http://141.218.60.56/~jnz1568/getInfo.php?workbook=04_01.xlsx&amp;sheet=E0&amp;row=19&amp;col=10&amp;number=1646286.72878&amp;sourceID=2","1646286.72878")</f>
        <v>1646286.72878</v>
      </c>
      <c r="K19" s="4" t="str">
        <f>HYPERLINK("http://141.218.60.56/~jnz1568/getInfo.php?workbook=04_01.xlsx&amp;sheet=E0&amp;row=19&amp;col=11&amp;number=1646332.1898&amp;sourceID=11","1646332.1898")</f>
        <v>1646332.1898</v>
      </c>
      <c r="L19" s="4" t="str">
        <f>HYPERLINK("http://141.218.60.56/~jnz1568/getInfo.php?workbook=04_01.xlsx&amp;sheet=E0&amp;row=19&amp;col=12&amp;number=1646286.7955&amp;sourceID=12","1646286.7955")</f>
        <v>1646286.7955</v>
      </c>
    </row>
    <row r="20" spans="1:12">
      <c r="A20" s="3">
        <v>4</v>
      </c>
      <c r="B20" s="3">
        <v>1</v>
      </c>
      <c r="C20" s="3">
        <f/>
        <v>0</v>
      </c>
      <c r="D20" s="3" t="s">
        <v>28</v>
      </c>
      <c r="E20" s="3" t="s">
        <v>17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HYPERLINK("http://141.218.60.56/~jnz1568/getInfo.php?workbook=04_01.xlsx&amp;sheet=E0&amp;row=20&amp;col=10&amp;number=1685781.03469&amp;sourceID=2","1685781.03469")</f>
        <v>1685781.03469</v>
      </c>
      <c r="K20" s="4" t="str">
        <f>HYPERLINK("http://141.218.60.56/~jnz1568/getInfo.php?workbook=04_01.xlsx&amp;sheet=E0&amp;row=20&amp;col=11&amp;number=1685826.5036&amp;sourceID=11","1685826.5036")</f>
        <v>1685826.5036</v>
      </c>
      <c r="L20" s="4" t="str">
        <f>HYPERLINK("http://141.218.60.56/~jnz1568/getInfo.php?workbook=04_01.xlsx&amp;sheet=E0&amp;row=20&amp;col=12&amp;number=1685781.1021&amp;sourceID=12","1685781.1021")</f>
        <v>1685781.1021</v>
      </c>
    </row>
    <row r="21" spans="1:12">
      <c r="A21" s="3">
        <v>4</v>
      </c>
      <c r="B21" s="3">
        <v>1</v>
      </c>
      <c r="C21" s="3">
        <f/>
        <v>0</v>
      </c>
      <c r="D21" s="3" t="s">
        <v>29</v>
      </c>
      <c r="E21" s="3" t="s">
        <v>15</v>
      </c>
      <c r="F21" s="3">
        <v>2</v>
      </c>
      <c r="G21" s="3">
        <v>0</v>
      </c>
      <c r="H21" s="3">
        <v>0</v>
      </c>
      <c r="I21" s="3">
        <v>0.5</v>
      </c>
      <c r="J21" s="4" t="str">
        <f>HYPERLINK("http://141.218.60.56/~jnz1568/getInfo.php?workbook=04_01.xlsx&amp;sheet=E0&amp;row=21&amp;col=10&amp;number=1685781.42251&amp;sourceID=2","1685781.42251")</f>
        <v>1685781.42251</v>
      </c>
      <c r="K21" s="4" t="str">
        <f>HYPERLINK("http://141.218.60.56/~jnz1568/getInfo.php?workbook=04_01.xlsx&amp;sheet=E0&amp;row=21&amp;col=11&amp;number=1685826.5036&amp;sourceID=11","1685826.5036")</f>
        <v>1685826.5036</v>
      </c>
      <c r="L21" s="4" t="str">
        <f>HYPERLINK("http://141.218.60.56/~jnz1568/getInfo.php?workbook=04_01.xlsx&amp;sheet=E0&amp;row=21&amp;col=12&amp;number=1685781.4903&amp;sourceID=12","1685781.4903")</f>
        <v>1685781.4903</v>
      </c>
    </row>
    <row r="22" spans="1:12">
      <c r="A22" s="3">
        <v>4</v>
      </c>
      <c r="B22" s="3">
        <v>1</v>
      </c>
      <c r="C22" s="3">
        <f/>
        <v>0</v>
      </c>
      <c r="D22" s="3" t="s">
        <v>30</v>
      </c>
      <c r="E22" s="3" t="s">
        <v>22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HYPERLINK("http://141.218.60.56/~jnz1568/getInfo.php?workbook=04_01.xlsx&amp;sheet=E0&amp;row=22&amp;col=10&amp;number=1685787.0249&amp;sourceID=2","1685787.0249")</f>
        <v>1685787.0249</v>
      </c>
      <c r="K22" s="4" t="str">
        <f>HYPERLINK("http://141.218.60.56/~jnz1568/getInfo.php?workbook=04_01.xlsx&amp;sheet=E0&amp;row=22&amp;col=11&amp;number=1685832.4903&amp;sourceID=11","1685832.4903")</f>
        <v>1685832.4903</v>
      </c>
      <c r="L22" s="4" t="str">
        <f>HYPERLINK("http://141.218.60.56/~jnz1568/getInfo.php?workbook=04_01.xlsx&amp;sheet=E0&amp;row=22&amp;col=12&amp;number=1685787.0923&amp;sourceID=12","1685787.0923")</f>
        <v>1685787.0923</v>
      </c>
    </row>
    <row r="23" spans="1:12">
      <c r="A23" s="3">
        <v>4</v>
      </c>
      <c r="B23" s="3">
        <v>1</v>
      </c>
      <c r="C23" s="3">
        <f/>
        <v>0</v>
      </c>
      <c r="D23" s="3" t="s">
        <v>28</v>
      </c>
      <c r="E23" s="3" t="s">
        <v>17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HYPERLINK("http://141.218.60.56/~jnz1568/getInfo.php?workbook=04_01.xlsx&amp;sheet=E0&amp;row=23&amp;col=10&amp;number=1685787.03507&amp;sourceID=2","1685787.03507")</f>
        <v>1685787.03507</v>
      </c>
      <c r="K23" s="4" t="str">
        <f>HYPERLINK("http://141.218.60.56/~jnz1568/getInfo.php?workbook=04_01.xlsx&amp;sheet=E0&amp;row=23&amp;col=11&amp;number=1685832.4903&amp;sourceID=11","1685832.4903")</f>
        <v>1685832.4903</v>
      </c>
      <c r="L23" s="4" t="str">
        <f>HYPERLINK("http://141.218.60.56/~jnz1568/getInfo.php?workbook=04_01.xlsx&amp;sheet=E0&amp;row=23&amp;col=12&amp;number=1685787.1025&amp;sourceID=12","1685787.1025")</f>
        <v>1685787.1025</v>
      </c>
    </row>
    <row r="24" spans="1:12">
      <c r="A24" s="3">
        <v>4</v>
      </c>
      <c r="B24" s="3">
        <v>1</v>
      </c>
      <c r="C24" s="3">
        <f/>
        <v>0</v>
      </c>
      <c r="D24" s="3" t="s">
        <v>31</v>
      </c>
      <c r="E24" s="3" t="s">
        <v>27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HYPERLINK("http://141.218.60.56/~jnz1568/getInfo.php?workbook=04_01.xlsx&amp;sheet=E0&amp;row=24&amp;col=10&amp;number=1685789.02079&amp;sourceID=2","1685789.02079")</f>
        <v>1685789.02079</v>
      </c>
      <c r="K24" s="4" t="str">
        <f>HYPERLINK("http://141.218.60.56/~jnz1568/getInfo.php?workbook=04_01.xlsx&amp;sheet=E0&amp;row=24&amp;col=11&amp;number=1685834.4851&amp;sourceID=11","1685834.4851")</f>
        <v>1685834.4851</v>
      </c>
      <c r="L24" s="4" t="str">
        <f>HYPERLINK("http://141.218.60.56/~jnz1568/getInfo.php?workbook=04_01.xlsx&amp;sheet=E0&amp;row=24&amp;col=12&amp;number=1685789.0882&amp;sourceID=12","1685789.0882")</f>
        <v>1685789.0882</v>
      </c>
    </row>
    <row r="25" spans="1:12">
      <c r="A25" s="3">
        <v>4</v>
      </c>
      <c r="B25" s="3">
        <v>1</v>
      </c>
      <c r="C25" s="3">
        <f/>
        <v>0</v>
      </c>
      <c r="D25" s="3" t="s">
        <v>30</v>
      </c>
      <c r="E25" s="3" t="s">
        <v>22</v>
      </c>
      <c r="F25" s="3">
        <v>2</v>
      </c>
      <c r="G25" s="3">
        <v>2</v>
      </c>
      <c r="H25" s="3">
        <v>0</v>
      </c>
      <c r="I25" s="3">
        <v>2.5</v>
      </c>
      <c r="J25" s="4" t="str">
        <f>HYPERLINK("http://141.218.60.56/~jnz1568/getInfo.php?workbook=04_01.xlsx&amp;sheet=E0&amp;row=25&amp;col=10&amp;number=1685789.0244&amp;sourceID=2","1685789.0244")</f>
        <v>1685789.0244</v>
      </c>
      <c r="K25" s="4" t="str">
        <f>HYPERLINK("http://141.218.60.56/~jnz1568/getInfo.php?workbook=04_01.xlsx&amp;sheet=E0&amp;row=25&amp;col=11&amp;number=1685834.4851&amp;sourceID=11","1685834.4851")</f>
        <v>1685834.4851</v>
      </c>
      <c r="L25" s="4" t="str">
        <f>HYPERLINK("http://141.218.60.56/~jnz1568/getInfo.php?workbook=04_01.xlsx&amp;sheet=E0&amp;row=25&amp;col=12&amp;number=1685789.0918&amp;sourceID=12","1685789.0918")</f>
        <v>1685789.0918</v>
      </c>
    </row>
    <row r="26" spans="1:12">
      <c r="A26" s="3">
        <v>4</v>
      </c>
      <c r="B26" s="3">
        <v>1</v>
      </c>
      <c r="C26" s="3">
        <f/>
        <v>0</v>
      </c>
      <c r="D26" s="3" t="s">
        <v>32</v>
      </c>
      <c r="E26" s="3" t="s">
        <v>33</v>
      </c>
      <c r="F26" s="3">
        <v>2</v>
      </c>
      <c r="G26" s="3">
        <v>4</v>
      </c>
      <c r="H26" s="3">
        <v>0</v>
      </c>
      <c r="I26" s="3">
        <v>3.5</v>
      </c>
      <c r="J26" s="4" t="str">
        <f>HYPERLINK("http://141.218.60.56/~jnz1568/getInfo.php?workbook=04_01.xlsx&amp;sheet=E0&amp;row=26&amp;col=10&amp;number=1685790.01854&amp;sourceID=2","1685790.01854")</f>
        <v>1685790.01854</v>
      </c>
      <c r="K26" s="4" t="str">
        <f>HYPERLINK("http://141.218.60.56/~jnz1568/getInfo.php?workbook=04_01.xlsx&amp;sheet=E0&amp;row=26&amp;col=11&amp;number=1685835.4824&amp;sourceID=11","1685835.4824")</f>
        <v>1685835.4824</v>
      </c>
      <c r="L26" s="4" t="str">
        <f>HYPERLINK("http://141.218.60.56/~jnz1568/getInfo.php?workbook=04_01.xlsx&amp;sheet=E0&amp;row=26&amp;col=12&amp;number=1685790.0859&amp;sourceID=12","1685790.0859")</f>
        <v>1685790.0859</v>
      </c>
    </row>
    <row r="27" spans="1:12">
      <c r="A27" s="3">
        <v>4</v>
      </c>
      <c r="B27" s="3">
        <v>1</v>
      </c>
      <c r="C27" s="3">
        <f/>
        <v>0</v>
      </c>
      <c r="D27" s="3" t="s">
        <v>31</v>
      </c>
      <c r="E27" s="3" t="s">
        <v>27</v>
      </c>
      <c r="F27" s="3">
        <v>2</v>
      </c>
      <c r="G27" s="3">
        <v>3</v>
      </c>
      <c r="H27" s="3">
        <v>1</v>
      </c>
      <c r="I27" s="3">
        <v>3.5</v>
      </c>
      <c r="J27" s="4" t="str">
        <f>HYPERLINK("http://141.218.60.56/~jnz1568/getInfo.php?workbook=04_01.xlsx&amp;sheet=E0&amp;row=27&amp;col=10&amp;number=1685790.02044&amp;sourceID=2","1685790.02044")</f>
        <v>1685790.02044</v>
      </c>
      <c r="K27" s="4" t="str">
        <f>HYPERLINK("http://141.218.60.56/~jnz1568/getInfo.php?workbook=04_01.xlsx&amp;sheet=E0&amp;row=27&amp;col=11&amp;number=1685835.4824&amp;sourceID=11","1685835.4824")</f>
        <v>1685835.4824</v>
      </c>
      <c r="L27" s="4" t="str">
        <f>HYPERLINK("http://141.218.60.56/~jnz1568/getInfo.php?workbook=04_01.xlsx&amp;sheet=E0&amp;row=27&amp;col=12&amp;number=1685790.0878&amp;sourceID=12","1685790.0878")</f>
        <v>1685790.0878</v>
      </c>
    </row>
    <row r="28" spans="1:12">
      <c r="A28" s="3">
        <v>4</v>
      </c>
      <c r="B28" s="3">
        <v>1</v>
      </c>
      <c r="C28" s="3">
        <f/>
        <v>0</v>
      </c>
      <c r="D28" s="3" t="s">
        <v>32</v>
      </c>
      <c r="E28" s="3" t="s">
        <v>33</v>
      </c>
      <c r="F28" s="3">
        <v>2</v>
      </c>
      <c r="G28" s="3">
        <v>4</v>
      </c>
      <c r="H28" s="3">
        <v>0</v>
      </c>
      <c r="I28" s="3">
        <v>4.5</v>
      </c>
      <c r="J28" s="4" t="str">
        <f>HYPERLINK("http://141.218.60.56/~jnz1568/getInfo.php?workbook=04_01.xlsx&amp;sheet=E0&amp;row=28&amp;col=10&amp;number=1685790.61831&amp;sourceID=2","1685790.61831")</f>
        <v>1685790.61831</v>
      </c>
      <c r="K28" s="4" t="str">
        <f>HYPERLINK("http://141.218.60.56/~jnz1568/getInfo.php?workbook=04_01.xlsx&amp;sheet=E0&amp;row=28&amp;col=11&amp;number=1685836.0808&amp;sourceID=11","1685836.0808")</f>
        <v>1685836.0808</v>
      </c>
      <c r="L28" s="4" t="str">
        <f>HYPERLINK("http://141.218.60.56/~jnz1568/getInfo.php?workbook=04_01.xlsx&amp;sheet=E0&amp;row=28&amp;col=12&amp;number=1685790.6857&amp;sourceID=12","1685790.6857")</f>
        <v>1685790.6857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84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1.7109375" customWidth="1"/>
    <col min="7" max="7" width="15.7109375" customWidth="1"/>
    <col min="8" max="8" width="13.7109375" customWidth="1"/>
    <col min="9" max="9" width="10.7109375" customWidth="1"/>
    <col min="10" max="10" width="11.7109375" customWidth="1"/>
    <col min="11" max="11" width="11.7109375" customWidth="1"/>
    <col min="12" max="12" width="11.7109375" customWidth="1"/>
    <col min="13" max="13" width="11.7109375" customWidth="1"/>
    <col min="14" max="14" width="13.7109375" customWidth="1"/>
    <col min="15" max="15" width="13.7109375" customWidth="1"/>
    <col min="16" max="16" width="10.7109375" customWidth="1"/>
    <col min="17" max="17" width="11.7109375" customWidth="1"/>
    <col min="18" max="18" width="11.7109375" customWidth="1"/>
    <col min="19" max="19" width="11.7109375" customWidth="1"/>
    <col min="20" max="20" width="11.7109375" customWidth="1"/>
    <col min="21" max="21" width="13.7109375" customWidth="1"/>
  </cols>
  <sheetData>
    <row r="1" spans="1:21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2"/>
      <c r="B2" s="2"/>
      <c r="C2" s="2"/>
      <c r="D2" s="2"/>
      <c r="E2" s="2"/>
      <c r="F2" s="2" t="s">
        <v>35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36</v>
      </c>
    </row>
    <row r="3" spans="1:21">
      <c r="A3" s="2" t="s">
        <v>4</v>
      </c>
      <c r="B3" s="2" t="s">
        <v>5</v>
      </c>
      <c r="C3" s="2" t="s">
        <v>37</v>
      </c>
      <c r="D3" s="2" t="s">
        <v>6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  <c r="M3" s="2" t="s">
        <v>46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46</v>
      </c>
      <c r="U3" s="2" t="s">
        <v>40</v>
      </c>
    </row>
    <row r="4" spans="1:21">
      <c r="A4" s="3">
        <v>4</v>
      </c>
      <c r="B4" s="3">
        <v>1</v>
      </c>
      <c r="C4" s="3">
        <v>2</v>
      </c>
      <c r="D4" s="3">
        <v>1</v>
      </c>
      <c r="E4" s="3">
        <f>((1/(INDEX(E0!J$4:J$28,C4,1)-INDEX(E0!J$4:J$28,D4,1))))*100000000</f>
        <v>0</v>
      </c>
      <c r="F4" s="4" t="str">
        <f>HYPERLINK("http://141.218.60.56/~jnz1568/getInfo.php?workbook=04_01.xlsx&amp;sheet=A0&amp;row=4&amp;col=6&amp;number=&amp;sourceID=18","")</f>
        <v/>
      </c>
      <c r="G4" s="4" t="str">
        <f>HYPERLINK("http://141.218.60.56/~jnz1568/getInfo.php?workbook=04_01.xlsx&amp;sheet=A0&amp;row=4&amp;col=7&amp;number==SUM(H4:M4)&amp;sourceID=11","=SUM(H4:M4)")</f>
        <v>=SUM(H4:M4)</v>
      </c>
      <c r="H4" s="4" t="str">
        <f>HYPERLINK("http://141.218.60.56/~jnz1568/getInfo.php?workbook=04_01.xlsx&amp;sheet=A0&amp;row=4&amp;col=8&amp;number=160480000000&amp;sourceID=11","160480000000")</f>
        <v>160480000000</v>
      </c>
      <c r="I4" s="4" t="str">
        <f>HYPERLINK("http://141.218.60.56/~jnz1568/getInfo.php?workbook=04_01.xlsx&amp;sheet=A0&amp;row=4&amp;col=9&amp;number=&amp;sourceID=11","")</f>
        <v/>
      </c>
      <c r="J4" s="4" t="str">
        <f>HYPERLINK("http://141.218.60.56/~jnz1568/getInfo.php?workbook=04_01.xlsx&amp;sheet=A0&amp;row=4&amp;col=10&amp;number=&amp;sourceID=11","")</f>
        <v/>
      </c>
      <c r="K4" s="4" t="str">
        <f>HYPERLINK("http://141.218.60.56/~jnz1568/getInfo.php?workbook=04_01.xlsx&amp;sheet=A0&amp;row=4&amp;col=11&amp;number=&amp;sourceID=11","")</f>
        <v/>
      </c>
      <c r="L4" s="4" t="str">
        <f>HYPERLINK("http://141.218.60.56/~jnz1568/getInfo.php?workbook=04_01.xlsx&amp;sheet=A0&amp;row=4&amp;col=12&amp;number=&amp;sourceID=11","")</f>
        <v/>
      </c>
      <c r="M4" s="4" t="str">
        <f>HYPERLINK("http://141.218.60.56/~jnz1568/getInfo.php?workbook=04_01.xlsx&amp;sheet=A0&amp;row=4&amp;col=13&amp;number=&amp;sourceID=11","")</f>
        <v/>
      </c>
      <c r="N4" s="4" t="str">
        <f>HYPERLINK("http://141.218.60.56/~jnz1568/getInfo.php?workbook=04_01.xlsx&amp;sheet=A0&amp;row=4&amp;col=14&amp;number=160480000000&amp;sourceID=12","160480000000")</f>
        <v>160480000000</v>
      </c>
      <c r="O4" s="4" t="str">
        <f>HYPERLINK("http://141.218.60.56/~jnz1568/getInfo.php?workbook=04_01.xlsx&amp;sheet=A0&amp;row=4&amp;col=15&amp;number=160480000000&amp;sourceID=12","160480000000")</f>
        <v>160480000000</v>
      </c>
      <c r="P4" s="4" t="str">
        <f>HYPERLINK("http://141.218.60.56/~jnz1568/getInfo.php?workbook=04_01.xlsx&amp;sheet=A0&amp;row=4&amp;col=16&amp;number=&amp;sourceID=12","")</f>
        <v/>
      </c>
      <c r="Q4" s="4" t="str">
        <f>HYPERLINK("http://141.218.60.56/~jnz1568/getInfo.php?workbook=04_01.xlsx&amp;sheet=A0&amp;row=4&amp;col=17&amp;number=&amp;sourceID=12","")</f>
        <v/>
      </c>
      <c r="R4" s="4" t="str">
        <f>HYPERLINK("http://141.218.60.56/~jnz1568/getInfo.php?workbook=04_01.xlsx&amp;sheet=A0&amp;row=4&amp;col=18&amp;number=&amp;sourceID=12","")</f>
        <v/>
      </c>
      <c r="S4" s="4" t="str">
        <f>HYPERLINK("http://141.218.60.56/~jnz1568/getInfo.php?workbook=04_01.xlsx&amp;sheet=A0&amp;row=4&amp;col=19&amp;number=&amp;sourceID=12","")</f>
        <v/>
      </c>
      <c r="T4" s="4" t="str">
        <f>HYPERLINK("http://141.218.60.56/~jnz1568/getInfo.php?workbook=04_01.xlsx&amp;sheet=A0&amp;row=4&amp;col=20&amp;number=&amp;sourceID=12","")</f>
        <v/>
      </c>
      <c r="U4" s="4" t="str">
        <f>HYPERLINK("http://141.218.60.56/~jnz1568/getInfo.php?workbook=04_01.xlsx&amp;sheet=A0&amp;row=4&amp;col=21&amp;number=160480000000&amp;sourceID=20","160480000000")</f>
        <v>160480000000</v>
      </c>
    </row>
    <row r="5" spans="1:21">
      <c r="A5" s="3">
        <v>4</v>
      </c>
      <c r="B5" s="3">
        <v>1</v>
      </c>
      <c r="C5" s="3">
        <v>3</v>
      </c>
      <c r="D5" s="3">
        <v>1</v>
      </c>
      <c r="E5" s="3">
        <f>((1/(INDEX(E0!J$4:J$28,C5,1)-INDEX(E0!J$4:J$28,D5,1))))*100000000</f>
        <v>0</v>
      </c>
      <c r="F5" s="4" t="str">
        <f>HYPERLINK("http://141.218.60.56/~jnz1568/getInfo.php?workbook=04_01.xlsx&amp;sheet=A0&amp;row=5&amp;col=6&amp;number=33689&amp;sourceID=18","33689")</f>
        <v>33689</v>
      </c>
      <c r="G5" s="4" t="str">
        <f>HYPERLINK("http://141.218.60.56/~jnz1568/getInfo.php?workbook=04_01.xlsx&amp;sheet=A0&amp;row=5&amp;col=7&amp;number=&amp;sourceID=11","")</f>
        <v/>
      </c>
      <c r="H5" s="4" t="str">
        <f>HYPERLINK("http://141.218.60.56/~jnz1568/getInfo.php?workbook=04_01.xlsx&amp;sheet=A0&amp;row=5&amp;col=8&amp;number=&amp;sourceID=11","")</f>
        <v/>
      </c>
      <c r="I5" s="4" t="str">
        <f>HYPERLINK("http://141.218.60.56/~jnz1568/getInfo.php?workbook=04_01.xlsx&amp;sheet=A0&amp;row=5&amp;col=9&amp;number=&amp;sourceID=11","")</f>
        <v/>
      </c>
      <c r="J5" s="4" t="str">
        <f>HYPERLINK("http://141.218.60.56/~jnz1568/getInfo.php?workbook=04_01.xlsx&amp;sheet=A0&amp;row=5&amp;col=10&amp;number=&amp;sourceID=11","")</f>
        <v/>
      </c>
      <c r="K5" s="4" t="str">
        <f>HYPERLINK("http://141.218.60.56/~jnz1568/getInfo.php?workbook=04_01.xlsx&amp;sheet=A0&amp;row=5&amp;col=11&amp;number=2.6192&amp;sourceID=11","2.6192")</f>
        <v>2.6192</v>
      </c>
      <c r="L5" s="4" t="str">
        <f>HYPERLINK("http://141.218.60.56/~jnz1568/getInfo.php?workbook=04_01.xlsx&amp;sheet=A0&amp;row=5&amp;col=12&amp;number=&amp;sourceID=11","")</f>
        <v/>
      </c>
      <c r="M5" s="4" t="str">
        <f>HYPERLINK("http://141.218.60.56/~jnz1568/getInfo.php?workbook=04_01.xlsx&amp;sheet=A0&amp;row=5&amp;col=13&amp;number=&amp;sourceID=11","")</f>
        <v/>
      </c>
      <c r="N5" s="4" t="str">
        <f>HYPERLINK("http://141.218.60.56/~jnz1568/getInfo.php?workbook=04_01.xlsx&amp;sheet=A0&amp;row=5&amp;col=14&amp;number=&amp;sourceID=12","")</f>
        <v/>
      </c>
      <c r="O5" s="4" t="str">
        <f>HYPERLINK("http://141.218.60.56/~jnz1568/getInfo.php?workbook=04_01.xlsx&amp;sheet=A0&amp;row=5&amp;col=15&amp;number=&amp;sourceID=12","")</f>
        <v/>
      </c>
      <c r="P5" s="4" t="str">
        <f>HYPERLINK("http://141.218.60.56/~jnz1568/getInfo.php?workbook=04_01.xlsx&amp;sheet=A0&amp;row=5&amp;col=16&amp;number=&amp;sourceID=12","")</f>
        <v/>
      </c>
      <c r="Q5" s="4" t="str">
        <f>HYPERLINK("http://141.218.60.56/~jnz1568/getInfo.php?workbook=04_01.xlsx&amp;sheet=A0&amp;row=5&amp;col=17&amp;number=&amp;sourceID=12","")</f>
        <v/>
      </c>
      <c r="R5" s="4" t="str">
        <f>HYPERLINK("http://141.218.60.56/~jnz1568/getInfo.php?workbook=04_01.xlsx&amp;sheet=A0&amp;row=5&amp;col=18&amp;number=2.6194&amp;sourceID=12","2.6194")</f>
        <v>2.6194</v>
      </c>
      <c r="S5" s="4" t="str">
        <f>HYPERLINK("http://141.218.60.56/~jnz1568/getInfo.php?workbook=04_01.xlsx&amp;sheet=A0&amp;row=5&amp;col=19&amp;number=&amp;sourceID=12","")</f>
        <v/>
      </c>
      <c r="T5" s="4" t="str">
        <f>HYPERLINK("http://141.218.60.56/~jnz1568/getInfo.php?workbook=04_01.xlsx&amp;sheet=A0&amp;row=5&amp;col=20&amp;number=&amp;sourceID=12","")</f>
        <v/>
      </c>
      <c r="U5" s="4" t="str">
        <f>HYPERLINK("http://141.218.60.56/~jnz1568/getInfo.php?workbook=04_01.xlsx&amp;sheet=A0&amp;row=5&amp;col=21&amp;number=&amp;sourceID=20","")</f>
        <v/>
      </c>
    </row>
    <row r="6" spans="1:21">
      <c r="A6" s="3">
        <v>4</v>
      </c>
      <c r="B6" s="3">
        <v>1</v>
      </c>
      <c r="C6" s="3">
        <v>4</v>
      </c>
      <c r="D6" s="3">
        <v>1</v>
      </c>
      <c r="E6" s="3">
        <f>((1/(INDEX(E0!J$4:J$28,C6,1)-INDEX(E0!J$4:J$28,D6,1))))*100000000</f>
        <v>0</v>
      </c>
      <c r="F6" s="4" t="str">
        <f>HYPERLINK("http://141.218.60.56/~jnz1568/getInfo.php?workbook=04_01.xlsx&amp;sheet=A0&amp;row=6&amp;col=6&amp;number=&amp;sourceID=18","")</f>
        <v/>
      </c>
      <c r="G6" s="4" t="str">
        <f>HYPERLINK("http://141.218.60.56/~jnz1568/getInfo.php?workbook=04_01.xlsx&amp;sheet=A0&amp;row=6&amp;col=7&amp;number==SUM(H6:M6)&amp;sourceID=11","=SUM(H6:M6)")</f>
        <v>=SUM(H6:M6)</v>
      </c>
      <c r="H6" s="4" t="str">
        <f>HYPERLINK("http://141.218.60.56/~jnz1568/getInfo.php?workbook=04_01.xlsx&amp;sheet=A0&amp;row=6&amp;col=8&amp;number=160430000000&amp;sourceID=11","160430000000")</f>
        <v>160430000000</v>
      </c>
      <c r="I6" s="4" t="str">
        <f>HYPERLINK("http://141.218.60.56/~jnz1568/getInfo.php?workbook=04_01.xlsx&amp;sheet=A0&amp;row=6&amp;col=9&amp;number=&amp;sourceID=11","")</f>
        <v/>
      </c>
      <c r="J6" s="4" t="str">
        <f>HYPERLINK("http://141.218.60.56/~jnz1568/getInfo.php?workbook=04_01.xlsx&amp;sheet=A0&amp;row=6&amp;col=10&amp;number=&amp;sourceID=11","")</f>
        <v/>
      </c>
      <c r="K6" s="4" t="str">
        <f>HYPERLINK("http://141.218.60.56/~jnz1568/getInfo.php?workbook=04_01.xlsx&amp;sheet=A0&amp;row=6&amp;col=11&amp;number=&amp;sourceID=11","")</f>
        <v/>
      </c>
      <c r="L6" s="4" t="str">
        <f>HYPERLINK("http://141.218.60.56/~jnz1568/getInfo.php?workbook=04_01.xlsx&amp;sheet=A0&amp;row=6&amp;col=12&amp;number=3072.1&amp;sourceID=11","3072.1")</f>
        <v>3072.1</v>
      </c>
      <c r="M6" s="4" t="str">
        <f>HYPERLINK("http://141.218.60.56/~jnz1568/getInfo.php?workbook=04_01.xlsx&amp;sheet=A0&amp;row=6&amp;col=13&amp;number=&amp;sourceID=11","")</f>
        <v/>
      </c>
      <c r="N6" s="4" t="str">
        <f>HYPERLINK("http://141.218.60.56/~jnz1568/getInfo.php?workbook=04_01.xlsx&amp;sheet=A0&amp;row=6&amp;col=14&amp;number=160440000000&amp;sourceID=12","160440000000")</f>
        <v>160440000000</v>
      </c>
      <c r="O6" s="4" t="str">
        <f>HYPERLINK("http://141.218.60.56/~jnz1568/getInfo.php?workbook=04_01.xlsx&amp;sheet=A0&amp;row=6&amp;col=15&amp;number=160440000000&amp;sourceID=12","160440000000")</f>
        <v>160440000000</v>
      </c>
      <c r="P6" s="4" t="str">
        <f>HYPERLINK("http://141.218.60.56/~jnz1568/getInfo.php?workbook=04_01.xlsx&amp;sheet=A0&amp;row=6&amp;col=16&amp;number=&amp;sourceID=12","")</f>
        <v/>
      </c>
      <c r="Q6" s="4" t="str">
        <f>HYPERLINK("http://141.218.60.56/~jnz1568/getInfo.php?workbook=04_01.xlsx&amp;sheet=A0&amp;row=6&amp;col=17&amp;number=&amp;sourceID=12","")</f>
        <v/>
      </c>
      <c r="R6" s="4" t="str">
        <f>HYPERLINK("http://141.218.60.56/~jnz1568/getInfo.php?workbook=04_01.xlsx&amp;sheet=A0&amp;row=6&amp;col=18&amp;number=&amp;sourceID=12","")</f>
        <v/>
      </c>
      <c r="S6" s="4" t="str">
        <f>HYPERLINK("http://141.218.60.56/~jnz1568/getInfo.php?workbook=04_01.xlsx&amp;sheet=A0&amp;row=6&amp;col=19&amp;number=3072.3&amp;sourceID=12","3072.3")</f>
        <v>3072.3</v>
      </c>
      <c r="T6" s="4" t="str">
        <f>HYPERLINK("http://141.218.60.56/~jnz1568/getInfo.php?workbook=04_01.xlsx&amp;sheet=A0&amp;row=6&amp;col=20&amp;number=&amp;sourceID=12","")</f>
        <v/>
      </c>
      <c r="U6" s="4" t="str">
        <f>HYPERLINK("http://141.218.60.56/~jnz1568/getInfo.php?workbook=04_01.xlsx&amp;sheet=A0&amp;row=6&amp;col=21&amp;number=160430000000&amp;sourceID=20","160430000000")</f>
        <v>160430000000</v>
      </c>
    </row>
    <row r="7" spans="1:21">
      <c r="A7" s="3">
        <v>4</v>
      </c>
      <c r="B7" s="3">
        <v>1</v>
      </c>
      <c r="C7" s="3">
        <v>4</v>
      </c>
      <c r="D7" s="3">
        <v>2</v>
      </c>
      <c r="E7" s="3">
        <f>((1/(INDEX(E0!J$4:J$28,C7,1)-INDEX(E0!J$4:J$28,D7,1))))*100000000</f>
        <v>0</v>
      </c>
      <c r="F7" s="4" t="str">
        <f>HYPERLINK("http://141.218.60.56/~jnz1568/getInfo.php?workbook=04_01.xlsx&amp;sheet=A0&amp;row=7&amp;col=6&amp;number=&amp;sourceID=18","")</f>
        <v/>
      </c>
      <c r="G7" s="4" t="str">
        <f>HYPERLINK("http://141.218.60.56/~jnz1568/getInfo.php?workbook=04_01.xlsx&amp;sheet=A0&amp;row=7&amp;col=7&amp;number==&amp;sourceID=11","=")</f>
        <v>=</v>
      </c>
      <c r="H7" s="4" t="str">
        <f>HYPERLINK("http://141.218.60.56/~jnz1568/getInfo.php?workbook=04_01.xlsx&amp;sheet=A0&amp;row=7&amp;col=8&amp;number=&amp;sourceID=11","")</f>
        <v/>
      </c>
      <c r="I7" s="4" t="str">
        <f>HYPERLINK("http://141.218.60.56/~jnz1568/getInfo.php?workbook=04_01.xlsx&amp;sheet=A0&amp;row=7&amp;col=9&amp;number=5.64e-13&amp;sourceID=11","5.64e-13")</f>
        <v>5.64e-13</v>
      </c>
      <c r="J7" s="4" t="str">
        <f>HYPERLINK("http://141.218.60.56/~jnz1568/getInfo.php?workbook=04_01.xlsx&amp;sheet=A0&amp;row=7&amp;col=10&amp;number=&amp;sourceID=11","")</f>
        <v/>
      </c>
      <c r="K7" s="4" t="str">
        <f>HYPERLINK("http://141.218.60.56/~jnz1568/getInfo.php?workbook=04_01.xlsx&amp;sheet=A0&amp;row=7&amp;col=11&amp;number=7.3596e-06&amp;sourceID=11","7.3596e-06")</f>
        <v>7.3596e-06</v>
      </c>
      <c r="L7" s="4" t="str">
        <f>HYPERLINK("http://141.218.60.56/~jnz1568/getInfo.php?workbook=04_01.xlsx&amp;sheet=A0&amp;row=7&amp;col=12&amp;number=&amp;sourceID=11","")</f>
        <v/>
      </c>
      <c r="M7" s="4" t="str">
        <f>HYPERLINK("http://141.218.60.56/~jnz1568/getInfo.php?workbook=04_01.xlsx&amp;sheet=A0&amp;row=7&amp;col=13&amp;number=&amp;sourceID=11","")</f>
        <v/>
      </c>
      <c r="N7" s="4" t="str">
        <f>HYPERLINK("http://141.218.60.56/~jnz1568/getInfo.php?workbook=04_01.xlsx&amp;sheet=A0&amp;row=7&amp;col=14&amp;number=7.36e-06&amp;sourceID=12","7.36e-06")</f>
        <v>7.36e-06</v>
      </c>
      <c r="O7" s="4" t="str">
        <f>HYPERLINK("http://141.218.60.56/~jnz1568/getInfo.php?workbook=04_01.xlsx&amp;sheet=A0&amp;row=7&amp;col=15&amp;number=&amp;sourceID=12","")</f>
        <v/>
      </c>
      <c r="P7" s="4" t="str">
        <f>HYPERLINK("http://141.218.60.56/~jnz1568/getInfo.php?workbook=04_01.xlsx&amp;sheet=A0&amp;row=7&amp;col=16&amp;number=5.64e-13&amp;sourceID=12","5.64e-13")</f>
        <v>5.64e-13</v>
      </c>
      <c r="Q7" s="4" t="str">
        <f>HYPERLINK("http://141.218.60.56/~jnz1568/getInfo.php?workbook=04_01.xlsx&amp;sheet=A0&amp;row=7&amp;col=17&amp;number=&amp;sourceID=12","")</f>
        <v/>
      </c>
      <c r="R7" s="4" t="str">
        <f>HYPERLINK("http://141.218.60.56/~jnz1568/getInfo.php?workbook=04_01.xlsx&amp;sheet=A0&amp;row=7&amp;col=18&amp;number=7.36e-06&amp;sourceID=12","7.36e-06")</f>
        <v>7.36e-06</v>
      </c>
      <c r="S7" s="4" t="str">
        <f>HYPERLINK("http://141.218.60.56/~jnz1568/getInfo.php?workbook=04_01.xlsx&amp;sheet=A0&amp;row=7&amp;col=19&amp;number=&amp;sourceID=12","")</f>
        <v/>
      </c>
      <c r="T7" s="4" t="str">
        <f>HYPERLINK("http://141.218.60.56/~jnz1568/getInfo.php?workbook=04_01.xlsx&amp;sheet=A0&amp;row=7&amp;col=20&amp;number=&amp;sourceID=12","")</f>
        <v/>
      </c>
      <c r="U7" s="4" t="str">
        <f>HYPERLINK("http://141.218.60.56/~jnz1568/getInfo.php?workbook=04_01.xlsx&amp;sheet=A0&amp;row=7&amp;col=21&amp;number=&amp;sourceID=20","")</f>
        <v/>
      </c>
    </row>
    <row r="8" spans="1:21">
      <c r="A8" s="3">
        <v>4</v>
      </c>
      <c r="B8" s="3">
        <v>1</v>
      </c>
      <c r="C8" s="3">
        <v>4</v>
      </c>
      <c r="D8" s="3">
        <v>3</v>
      </c>
      <c r="E8" s="3">
        <f>((1/(INDEX(E0!J$4:J$28,C8,1)-INDEX(E0!J$4:J$28,D8,1))))*100000000</f>
        <v>0</v>
      </c>
      <c r="F8" s="4" t="str">
        <f>HYPERLINK("http://141.218.60.56/~jnz1568/getInfo.php?workbook=04_01.xlsx&amp;sheet=A0&amp;row=8&amp;col=6&amp;number=&amp;sourceID=18","")</f>
        <v/>
      </c>
      <c r="G8" s="4" t="str">
        <f>HYPERLINK("http://141.218.60.56/~jnz1568/getInfo.php?workbook=04_01.xlsx&amp;sheet=A0&amp;row=8&amp;col=7&amp;number==&amp;sourceID=11","=")</f>
        <v>=</v>
      </c>
      <c r="H8" s="4" t="str">
        <f>HYPERLINK("http://141.218.60.56/~jnz1568/getInfo.php?workbook=04_01.xlsx&amp;sheet=A0&amp;row=8&amp;col=8&amp;number=0.93271&amp;sourceID=11","0.93271")</f>
        <v>0.93271</v>
      </c>
      <c r="I8" s="4" t="str">
        <f>HYPERLINK("http://141.218.60.56/~jnz1568/getInfo.php?workbook=04_01.xlsx&amp;sheet=A0&amp;row=8&amp;col=9&amp;number=&amp;sourceID=11","")</f>
        <v/>
      </c>
      <c r="J8" s="4" t="str">
        <f>HYPERLINK("http://141.218.60.56/~jnz1568/getInfo.php?workbook=04_01.xlsx&amp;sheet=A0&amp;row=8&amp;col=10&amp;number=&amp;sourceID=11","")</f>
        <v/>
      </c>
      <c r="K8" s="4" t="str">
        <f>HYPERLINK("http://141.218.60.56/~jnz1568/getInfo.php?workbook=04_01.xlsx&amp;sheet=A0&amp;row=8&amp;col=11&amp;number=&amp;sourceID=11","")</f>
        <v/>
      </c>
      <c r="L8" s="4" t="str">
        <f>HYPERLINK("http://141.218.60.56/~jnz1568/getInfo.php?workbook=04_01.xlsx&amp;sheet=A0&amp;row=8&amp;col=12&amp;number=0&amp;sourceID=11","0")</f>
        <v>0</v>
      </c>
      <c r="M8" s="4" t="str">
        <f>HYPERLINK("http://141.218.60.56/~jnz1568/getInfo.php?workbook=04_01.xlsx&amp;sheet=A0&amp;row=8&amp;col=13&amp;number=&amp;sourceID=11","")</f>
        <v/>
      </c>
      <c r="N8" s="4" t="str">
        <f>HYPERLINK("http://141.218.60.56/~jnz1568/getInfo.php?workbook=04_01.xlsx&amp;sheet=A0&amp;row=8&amp;col=14&amp;number=0.93277&amp;sourceID=12","0.93277")</f>
        <v>0.93277</v>
      </c>
      <c r="O8" s="4" t="str">
        <f>HYPERLINK("http://141.218.60.56/~jnz1568/getInfo.php?workbook=04_01.xlsx&amp;sheet=A0&amp;row=8&amp;col=15&amp;number=0.93277&amp;sourceID=12","0.93277")</f>
        <v>0.93277</v>
      </c>
      <c r="P8" s="4" t="str">
        <f>HYPERLINK("http://141.218.60.56/~jnz1568/getInfo.php?workbook=04_01.xlsx&amp;sheet=A0&amp;row=8&amp;col=16&amp;number=&amp;sourceID=12","")</f>
        <v/>
      </c>
      <c r="Q8" s="4" t="str">
        <f>HYPERLINK("http://141.218.60.56/~jnz1568/getInfo.php?workbook=04_01.xlsx&amp;sheet=A0&amp;row=8&amp;col=17&amp;number=&amp;sourceID=12","")</f>
        <v/>
      </c>
      <c r="R8" s="4" t="str">
        <f>HYPERLINK("http://141.218.60.56/~jnz1568/getInfo.php?workbook=04_01.xlsx&amp;sheet=A0&amp;row=8&amp;col=18&amp;number=&amp;sourceID=12","")</f>
        <v/>
      </c>
      <c r="S8" s="4" t="str">
        <f>HYPERLINK("http://141.218.60.56/~jnz1568/getInfo.php?workbook=04_01.xlsx&amp;sheet=A0&amp;row=8&amp;col=19&amp;number=0&amp;sourceID=12","0")</f>
        <v>0</v>
      </c>
      <c r="T8" s="4" t="str">
        <f>HYPERLINK("http://141.218.60.56/~jnz1568/getInfo.php?workbook=04_01.xlsx&amp;sheet=A0&amp;row=8&amp;col=20&amp;number=&amp;sourceID=12","")</f>
        <v/>
      </c>
      <c r="U8" s="4" t="str">
        <f>HYPERLINK("http://141.218.60.56/~jnz1568/getInfo.php?workbook=04_01.xlsx&amp;sheet=A0&amp;row=8&amp;col=21&amp;number=&amp;sourceID=20","")</f>
        <v/>
      </c>
    </row>
    <row r="9" spans="1:21">
      <c r="A9" s="3">
        <v>4</v>
      </c>
      <c r="B9" s="3">
        <v>1</v>
      </c>
      <c r="C9" s="3">
        <v>5</v>
      </c>
      <c r="D9" s="3">
        <v>1</v>
      </c>
      <c r="E9" s="3">
        <f>((1/(INDEX(E0!J$4:J$28,C9,1)-INDEX(E0!J$4:J$28,D9,1))))*100000000</f>
        <v>0</v>
      </c>
      <c r="F9" s="4" t="str">
        <f>HYPERLINK("http://141.218.60.56/~jnz1568/getInfo.php?workbook=04_01.xlsx&amp;sheet=A0&amp;row=9&amp;col=6&amp;number=&amp;sourceID=18","")</f>
        <v/>
      </c>
      <c r="G9" s="4" t="str">
        <f>HYPERLINK("http://141.218.60.56/~jnz1568/getInfo.php?workbook=04_01.xlsx&amp;sheet=A0&amp;row=9&amp;col=7&amp;number==&amp;sourceID=11","=")</f>
        <v>=</v>
      </c>
      <c r="H9" s="4" t="str">
        <f>HYPERLINK("http://141.218.60.56/~jnz1568/getInfo.php?workbook=04_01.xlsx&amp;sheet=A0&amp;row=9&amp;col=8&amp;number=42832000000&amp;sourceID=11","42832000000")</f>
        <v>42832000000</v>
      </c>
      <c r="I9" s="4" t="str">
        <f>HYPERLINK("http://141.218.60.56/~jnz1568/getInfo.php?workbook=04_01.xlsx&amp;sheet=A0&amp;row=9&amp;col=9&amp;number=&amp;sourceID=11","")</f>
        <v/>
      </c>
      <c r="J9" s="4" t="str">
        <f>HYPERLINK("http://141.218.60.56/~jnz1568/getInfo.php?workbook=04_01.xlsx&amp;sheet=A0&amp;row=9&amp;col=10&amp;number=&amp;sourceID=11","")</f>
        <v/>
      </c>
      <c r="K9" s="4" t="str">
        <f>HYPERLINK("http://141.218.60.56/~jnz1568/getInfo.php?workbook=04_01.xlsx&amp;sheet=A0&amp;row=9&amp;col=11&amp;number=&amp;sourceID=11","")</f>
        <v/>
      </c>
      <c r="L9" s="4" t="str">
        <f>HYPERLINK("http://141.218.60.56/~jnz1568/getInfo.php?workbook=04_01.xlsx&amp;sheet=A0&amp;row=9&amp;col=12&amp;number=&amp;sourceID=11","")</f>
        <v/>
      </c>
      <c r="M9" s="4" t="str">
        <f>HYPERLINK("http://141.218.60.56/~jnz1568/getInfo.php?workbook=04_01.xlsx&amp;sheet=A0&amp;row=9&amp;col=13&amp;number=&amp;sourceID=11","")</f>
        <v/>
      </c>
      <c r="N9" s="4" t="str">
        <f>HYPERLINK("http://141.218.60.56/~jnz1568/getInfo.php?workbook=04_01.xlsx&amp;sheet=A0&amp;row=9&amp;col=14&amp;number=42834000000&amp;sourceID=12","42834000000")</f>
        <v>42834000000</v>
      </c>
      <c r="O9" s="4" t="str">
        <f>HYPERLINK("http://141.218.60.56/~jnz1568/getInfo.php?workbook=04_01.xlsx&amp;sheet=A0&amp;row=9&amp;col=15&amp;number=42834000000&amp;sourceID=12","42834000000")</f>
        <v>42834000000</v>
      </c>
      <c r="P9" s="4" t="str">
        <f>HYPERLINK("http://141.218.60.56/~jnz1568/getInfo.php?workbook=04_01.xlsx&amp;sheet=A0&amp;row=9&amp;col=16&amp;number=&amp;sourceID=12","")</f>
        <v/>
      </c>
      <c r="Q9" s="4" t="str">
        <f>HYPERLINK("http://141.218.60.56/~jnz1568/getInfo.php?workbook=04_01.xlsx&amp;sheet=A0&amp;row=9&amp;col=17&amp;number=&amp;sourceID=12","")</f>
        <v/>
      </c>
      <c r="R9" s="4" t="str">
        <f>HYPERLINK("http://141.218.60.56/~jnz1568/getInfo.php?workbook=04_01.xlsx&amp;sheet=A0&amp;row=9&amp;col=18&amp;number=&amp;sourceID=12","")</f>
        <v/>
      </c>
      <c r="S9" s="4" t="str">
        <f>HYPERLINK("http://141.218.60.56/~jnz1568/getInfo.php?workbook=04_01.xlsx&amp;sheet=A0&amp;row=9&amp;col=19&amp;number=&amp;sourceID=12","")</f>
        <v/>
      </c>
      <c r="T9" s="4" t="str">
        <f>HYPERLINK("http://141.218.60.56/~jnz1568/getInfo.php?workbook=04_01.xlsx&amp;sheet=A0&amp;row=9&amp;col=20&amp;number=&amp;sourceID=12","")</f>
        <v/>
      </c>
      <c r="U9" s="4" t="str">
        <f>HYPERLINK("http://141.218.60.56/~jnz1568/getInfo.php?workbook=04_01.xlsx&amp;sheet=A0&amp;row=9&amp;col=21&amp;number=42832000000&amp;sourceID=20","42832000000")</f>
        <v>42832000000</v>
      </c>
    </row>
    <row r="10" spans="1:21">
      <c r="A10" s="3">
        <v>4</v>
      </c>
      <c r="B10" s="3">
        <v>1</v>
      </c>
      <c r="C10" s="3">
        <v>5</v>
      </c>
      <c r="D10" s="3">
        <v>2</v>
      </c>
      <c r="E10" s="3">
        <f>((1/(INDEX(E0!J$4:J$28,C10,1)-INDEX(E0!J$4:J$28,D10,1))))*100000000</f>
        <v>0</v>
      </c>
      <c r="F10" s="4" t="str">
        <f>HYPERLINK("http://141.218.60.56/~jnz1568/getInfo.php?workbook=04_01.xlsx&amp;sheet=A0&amp;row=10&amp;col=6&amp;number=&amp;sourceID=18","")</f>
        <v/>
      </c>
      <c r="G10" s="4" t="str">
        <f>HYPERLINK("http://141.218.60.56/~jnz1568/getInfo.php?workbook=04_01.xlsx&amp;sheet=A0&amp;row=10&amp;col=7&amp;number==&amp;sourceID=11","=")</f>
        <v>=</v>
      </c>
      <c r="H10" s="4" t="str">
        <f>HYPERLINK("http://141.218.60.56/~jnz1568/getInfo.php?workbook=04_01.xlsx&amp;sheet=A0&amp;row=10&amp;col=8&amp;number=&amp;sourceID=11","")</f>
        <v/>
      </c>
      <c r="I10" s="4" t="str">
        <f>HYPERLINK("http://141.218.60.56/~jnz1568/getInfo.php?workbook=04_01.xlsx&amp;sheet=A0&amp;row=10&amp;col=9&amp;number=&amp;sourceID=11","")</f>
        <v/>
      </c>
      <c r="J10" s="4" t="str">
        <f>HYPERLINK("http://141.218.60.56/~jnz1568/getInfo.php?workbook=04_01.xlsx&amp;sheet=A0&amp;row=10&amp;col=10&amp;number=&amp;sourceID=11","")</f>
        <v/>
      </c>
      <c r="K10" s="4" t="str">
        <f>HYPERLINK("http://141.218.60.56/~jnz1568/getInfo.php?workbook=04_01.xlsx&amp;sheet=A0&amp;row=10&amp;col=11&amp;number=0.0005152&amp;sourceID=11","0.0005152")</f>
        <v>0.0005152</v>
      </c>
      <c r="L10" s="4" t="str">
        <f>HYPERLINK("http://141.218.60.56/~jnz1568/getInfo.php?workbook=04_01.xlsx&amp;sheet=A0&amp;row=10&amp;col=12&amp;number=&amp;sourceID=11","")</f>
        <v/>
      </c>
      <c r="M10" s="4" t="str">
        <f>HYPERLINK("http://141.218.60.56/~jnz1568/getInfo.php?workbook=04_01.xlsx&amp;sheet=A0&amp;row=10&amp;col=13&amp;number=&amp;sourceID=11","")</f>
        <v/>
      </c>
      <c r="N10" s="4" t="str">
        <f>HYPERLINK("http://141.218.60.56/~jnz1568/getInfo.php?workbook=04_01.xlsx&amp;sheet=A0&amp;row=10&amp;col=14&amp;number=0.00051523&amp;sourceID=12","0.00051523")</f>
        <v>0.00051523</v>
      </c>
      <c r="O10" s="4" t="str">
        <f>HYPERLINK("http://141.218.60.56/~jnz1568/getInfo.php?workbook=04_01.xlsx&amp;sheet=A0&amp;row=10&amp;col=15&amp;number=&amp;sourceID=12","")</f>
        <v/>
      </c>
      <c r="P10" s="4" t="str">
        <f>HYPERLINK("http://141.218.60.56/~jnz1568/getInfo.php?workbook=04_01.xlsx&amp;sheet=A0&amp;row=10&amp;col=16&amp;number=&amp;sourceID=12","")</f>
        <v/>
      </c>
      <c r="Q10" s="4" t="str">
        <f>HYPERLINK("http://141.218.60.56/~jnz1568/getInfo.php?workbook=04_01.xlsx&amp;sheet=A0&amp;row=10&amp;col=17&amp;number=&amp;sourceID=12","")</f>
        <v/>
      </c>
      <c r="R10" s="4" t="str">
        <f>HYPERLINK("http://141.218.60.56/~jnz1568/getInfo.php?workbook=04_01.xlsx&amp;sheet=A0&amp;row=10&amp;col=18&amp;number=0.00051523&amp;sourceID=12","0.00051523")</f>
        <v>0.00051523</v>
      </c>
      <c r="S10" s="4" t="str">
        <f>HYPERLINK("http://141.218.60.56/~jnz1568/getInfo.php?workbook=04_01.xlsx&amp;sheet=A0&amp;row=10&amp;col=19&amp;number=&amp;sourceID=12","")</f>
        <v/>
      </c>
      <c r="T10" s="4" t="str">
        <f>HYPERLINK("http://141.218.60.56/~jnz1568/getInfo.php?workbook=04_01.xlsx&amp;sheet=A0&amp;row=10&amp;col=20&amp;number=&amp;sourceID=12","")</f>
        <v/>
      </c>
      <c r="U10" s="4" t="str">
        <f>HYPERLINK("http://141.218.60.56/~jnz1568/getInfo.php?workbook=04_01.xlsx&amp;sheet=A0&amp;row=10&amp;col=21&amp;number=0.0005152&amp;sourceID=20","0.0005152")</f>
        <v>0.0005152</v>
      </c>
    </row>
    <row r="11" spans="1:21">
      <c r="A11" s="3">
        <v>4</v>
      </c>
      <c r="B11" s="3">
        <v>1</v>
      </c>
      <c r="C11" s="3">
        <v>5</v>
      </c>
      <c r="D11" s="3">
        <v>3</v>
      </c>
      <c r="E11" s="3">
        <f>((1/(INDEX(E0!J$4:J$28,C11,1)-INDEX(E0!J$4:J$28,D11,1))))*100000000</f>
        <v>0</v>
      </c>
      <c r="F11" s="4" t="str">
        <f>HYPERLINK("http://141.218.60.56/~jnz1568/getInfo.php?workbook=04_01.xlsx&amp;sheet=A0&amp;row=11&amp;col=6&amp;number=&amp;sourceID=18","")</f>
        <v/>
      </c>
      <c r="G11" s="4" t="str">
        <f>HYPERLINK("http://141.218.60.56/~jnz1568/getInfo.php?workbook=04_01.xlsx&amp;sheet=A0&amp;row=11&amp;col=7&amp;number==&amp;sourceID=11","=")</f>
        <v>=</v>
      </c>
      <c r="H11" s="4" t="str">
        <f>HYPERLINK("http://141.218.60.56/~jnz1568/getInfo.php?workbook=04_01.xlsx&amp;sheet=A0&amp;row=11&amp;col=8&amp;number=5752800000&amp;sourceID=11","5752800000")</f>
        <v>5752800000</v>
      </c>
      <c r="I11" s="4" t="str">
        <f>HYPERLINK("http://141.218.60.56/~jnz1568/getInfo.php?workbook=04_01.xlsx&amp;sheet=A0&amp;row=11&amp;col=9&amp;number=&amp;sourceID=11","")</f>
        <v/>
      </c>
      <c r="J11" s="4" t="str">
        <f>HYPERLINK("http://141.218.60.56/~jnz1568/getInfo.php?workbook=04_01.xlsx&amp;sheet=A0&amp;row=11&amp;col=10&amp;number=&amp;sourceID=11","")</f>
        <v/>
      </c>
      <c r="K11" s="4" t="str">
        <f>HYPERLINK("http://141.218.60.56/~jnz1568/getInfo.php?workbook=04_01.xlsx&amp;sheet=A0&amp;row=11&amp;col=11&amp;number=&amp;sourceID=11","")</f>
        <v/>
      </c>
      <c r="L11" s="4" t="str">
        <f>HYPERLINK("http://141.218.60.56/~jnz1568/getInfo.php?workbook=04_01.xlsx&amp;sheet=A0&amp;row=11&amp;col=12&amp;number=&amp;sourceID=11","")</f>
        <v/>
      </c>
      <c r="M11" s="4" t="str">
        <f>HYPERLINK("http://141.218.60.56/~jnz1568/getInfo.php?workbook=04_01.xlsx&amp;sheet=A0&amp;row=11&amp;col=13&amp;number=&amp;sourceID=11","")</f>
        <v/>
      </c>
      <c r="N11" s="4" t="str">
        <f>HYPERLINK("http://141.218.60.56/~jnz1568/getInfo.php?workbook=04_01.xlsx&amp;sheet=A0&amp;row=11&amp;col=14&amp;number=5753200000&amp;sourceID=12","5753200000")</f>
        <v>5753200000</v>
      </c>
      <c r="O11" s="4" t="str">
        <f>HYPERLINK("http://141.218.60.56/~jnz1568/getInfo.php?workbook=04_01.xlsx&amp;sheet=A0&amp;row=11&amp;col=15&amp;number=5753200000&amp;sourceID=12","5753200000")</f>
        <v>5753200000</v>
      </c>
      <c r="P11" s="4" t="str">
        <f>HYPERLINK("http://141.218.60.56/~jnz1568/getInfo.php?workbook=04_01.xlsx&amp;sheet=A0&amp;row=11&amp;col=16&amp;number=&amp;sourceID=12","")</f>
        <v/>
      </c>
      <c r="Q11" s="4" t="str">
        <f>HYPERLINK("http://141.218.60.56/~jnz1568/getInfo.php?workbook=04_01.xlsx&amp;sheet=A0&amp;row=11&amp;col=17&amp;number=&amp;sourceID=12","")</f>
        <v/>
      </c>
      <c r="R11" s="4" t="str">
        <f>HYPERLINK("http://141.218.60.56/~jnz1568/getInfo.php?workbook=04_01.xlsx&amp;sheet=A0&amp;row=11&amp;col=18&amp;number=&amp;sourceID=12","")</f>
        <v/>
      </c>
      <c r="S11" s="4" t="str">
        <f>HYPERLINK("http://141.218.60.56/~jnz1568/getInfo.php?workbook=04_01.xlsx&amp;sheet=A0&amp;row=11&amp;col=19&amp;number=&amp;sourceID=12","")</f>
        <v/>
      </c>
      <c r="T11" s="4" t="str">
        <f>HYPERLINK("http://141.218.60.56/~jnz1568/getInfo.php?workbook=04_01.xlsx&amp;sheet=A0&amp;row=11&amp;col=20&amp;number=&amp;sourceID=12","")</f>
        <v/>
      </c>
      <c r="U11" s="4" t="str">
        <f>HYPERLINK("http://141.218.60.56/~jnz1568/getInfo.php?workbook=04_01.xlsx&amp;sheet=A0&amp;row=11&amp;col=21&amp;number=5752800000&amp;sourceID=20","5752800000")</f>
        <v>5752800000</v>
      </c>
    </row>
    <row r="12" spans="1:21">
      <c r="A12" s="3">
        <v>4</v>
      </c>
      <c r="B12" s="3">
        <v>1</v>
      </c>
      <c r="C12" s="3">
        <v>5</v>
      </c>
      <c r="D12" s="3">
        <v>4</v>
      </c>
      <c r="E12" s="3">
        <f>((1/(INDEX(E0!J$4:J$28,C12,1)-INDEX(E0!J$4:J$28,D12,1))))*100000000</f>
        <v>0</v>
      </c>
      <c r="F12" s="4" t="str">
        <f>HYPERLINK("http://141.218.60.56/~jnz1568/getInfo.php?workbook=04_01.xlsx&amp;sheet=A0&amp;row=12&amp;col=6&amp;number=&amp;sourceID=18","")</f>
        <v/>
      </c>
      <c r="G12" s="4" t="str">
        <f>HYPERLINK("http://141.218.60.56/~jnz1568/getInfo.php?workbook=04_01.xlsx&amp;sheet=A0&amp;row=12&amp;col=7&amp;number==&amp;sourceID=11","=")</f>
        <v>=</v>
      </c>
      <c r="H12" s="4" t="str">
        <f>HYPERLINK("http://141.218.60.56/~jnz1568/getInfo.php?workbook=04_01.xlsx&amp;sheet=A0&amp;row=12&amp;col=8&amp;number=&amp;sourceID=11","")</f>
        <v/>
      </c>
      <c r="I12" s="4" t="str">
        <f>HYPERLINK("http://141.218.60.56/~jnz1568/getInfo.php?workbook=04_01.xlsx&amp;sheet=A0&amp;row=12&amp;col=9&amp;number=97987&amp;sourceID=11","97987")</f>
        <v>97987</v>
      </c>
      <c r="J12" s="4" t="str">
        <f>HYPERLINK("http://141.218.60.56/~jnz1568/getInfo.php?workbook=04_01.xlsx&amp;sheet=A0&amp;row=12&amp;col=10&amp;number=&amp;sourceID=11","")</f>
        <v/>
      </c>
      <c r="K12" s="4" t="str">
        <f>HYPERLINK("http://141.218.60.56/~jnz1568/getInfo.php?workbook=04_01.xlsx&amp;sheet=A0&amp;row=12&amp;col=11&amp;number=0.013532&amp;sourceID=11","0.013532")</f>
        <v>0.013532</v>
      </c>
      <c r="L12" s="4" t="str">
        <f>HYPERLINK("http://141.218.60.56/~jnz1568/getInfo.php?workbook=04_01.xlsx&amp;sheet=A0&amp;row=12&amp;col=12&amp;number=&amp;sourceID=11","")</f>
        <v/>
      </c>
      <c r="M12" s="4" t="str">
        <f>HYPERLINK("http://141.218.60.56/~jnz1568/getInfo.php?workbook=04_01.xlsx&amp;sheet=A0&amp;row=12&amp;col=13&amp;number=&amp;sourceID=11","")</f>
        <v/>
      </c>
      <c r="N12" s="4" t="str">
        <f>HYPERLINK("http://141.218.60.56/~jnz1568/getInfo.php?workbook=04_01.xlsx&amp;sheet=A0&amp;row=12&amp;col=14&amp;number=97993&amp;sourceID=12","97993")</f>
        <v>97993</v>
      </c>
      <c r="O12" s="4" t="str">
        <f>HYPERLINK("http://141.218.60.56/~jnz1568/getInfo.php?workbook=04_01.xlsx&amp;sheet=A0&amp;row=12&amp;col=15&amp;number=&amp;sourceID=12","")</f>
        <v/>
      </c>
      <c r="P12" s="4" t="str">
        <f>HYPERLINK("http://141.218.60.56/~jnz1568/getInfo.php?workbook=04_01.xlsx&amp;sheet=A0&amp;row=12&amp;col=16&amp;number=97993&amp;sourceID=12","97993")</f>
        <v>97993</v>
      </c>
      <c r="Q12" s="4" t="str">
        <f>HYPERLINK("http://141.218.60.56/~jnz1568/getInfo.php?workbook=04_01.xlsx&amp;sheet=A0&amp;row=12&amp;col=17&amp;number=&amp;sourceID=12","")</f>
        <v/>
      </c>
      <c r="R12" s="4" t="str">
        <f>HYPERLINK("http://141.218.60.56/~jnz1568/getInfo.php?workbook=04_01.xlsx&amp;sheet=A0&amp;row=12&amp;col=18&amp;number=0.013533&amp;sourceID=12","0.013533")</f>
        <v>0.013533</v>
      </c>
      <c r="S12" s="4" t="str">
        <f>HYPERLINK("http://141.218.60.56/~jnz1568/getInfo.php?workbook=04_01.xlsx&amp;sheet=A0&amp;row=12&amp;col=19&amp;number=&amp;sourceID=12","")</f>
        <v/>
      </c>
      <c r="T12" s="4" t="str">
        <f>HYPERLINK("http://141.218.60.56/~jnz1568/getInfo.php?workbook=04_01.xlsx&amp;sheet=A0&amp;row=12&amp;col=20&amp;number=&amp;sourceID=12","")</f>
        <v/>
      </c>
      <c r="U12" s="4" t="str">
        <f>HYPERLINK("http://141.218.60.56/~jnz1568/getInfo.php?workbook=04_01.xlsx&amp;sheet=A0&amp;row=12&amp;col=21&amp;number=97987&amp;sourceID=20","97987")</f>
        <v>97987</v>
      </c>
    </row>
    <row r="13" spans="1:21">
      <c r="A13" s="3">
        <v>4</v>
      </c>
      <c r="B13" s="3">
        <v>1</v>
      </c>
      <c r="C13" s="3">
        <v>6</v>
      </c>
      <c r="D13" s="3">
        <v>1</v>
      </c>
      <c r="E13" s="3">
        <f>((1/(INDEX(E0!J$4:J$28,C13,1)-INDEX(E0!J$4:J$28,D13,1))))*100000000</f>
        <v>0</v>
      </c>
      <c r="F13" s="4" t="str">
        <f>HYPERLINK("http://141.218.60.56/~jnz1568/getInfo.php?workbook=04_01.xlsx&amp;sheet=A0&amp;row=13&amp;col=6&amp;number=&amp;sourceID=18","")</f>
        <v/>
      </c>
      <c r="G13" s="4" t="str">
        <f>HYPERLINK("http://141.218.60.56/~jnz1568/getInfo.php?workbook=04_01.xlsx&amp;sheet=A0&amp;row=13&amp;col=7&amp;number==&amp;sourceID=11","=")</f>
        <v>=</v>
      </c>
      <c r="H13" s="4" t="str">
        <f>HYPERLINK("http://141.218.60.56/~jnz1568/getInfo.php?workbook=04_01.xlsx&amp;sheet=A0&amp;row=13&amp;col=8&amp;number=&amp;sourceID=11","")</f>
        <v/>
      </c>
      <c r="I13" s="4" t="str">
        <f>HYPERLINK("http://141.218.60.56/~jnz1568/getInfo.php?workbook=04_01.xlsx&amp;sheet=A0&amp;row=13&amp;col=9&amp;number=&amp;sourceID=11","")</f>
        <v/>
      </c>
      <c r="J13" s="4" t="str">
        <f>HYPERLINK("http://141.218.60.56/~jnz1568/getInfo.php?workbook=04_01.xlsx&amp;sheet=A0&amp;row=13&amp;col=10&amp;number=&amp;sourceID=11","")</f>
        <v/>
      </c>
      <c r="K13" s="4" t="str">
        <f>HYPERLINK("http://141.218.60.56/~jnz1568/getInfo.php?workbook=04_01.xlsx&amp;sheet=A0&amp;row=13&amp;col=11&amp;number=1.164&amp;sourceID=11","1.164")</f>
        <v>1.164</v>
      </c>
      <c r="L13" s="4" t="str">
        <f>HYPERLINK("http://141.218.60.56/~jnz1568/getInfo.php?workbook=04_01.xlsx&amp;sheet=A0&amp;row=13&amp;col=12&amp;number=&amp;sourceID=11","")</f>
        <v/>
      </c>
      <c r="M13" s="4" t="str">
        <f>HYPERLINK("http://141.218.60.56/~jnz1568/getInfo.php?workbook=04_01.xlsx&amp;sheet=A0&amp;row=13&amp;col=13&amp;number=&amp;sourceID=11","")</f>
        <v/>
      </c>
      <c r="N13" s="4" t="str">
        <f>HYPERLINK("http://141.218.60.56/~jnz1568/getInfo.php?workbook=04_01.xlsx&amp;sheet=A0&amp;row=13&amp;col=14&amp;number=1.1642&amp;sourceID=12","1.1642")</f>
        <v>1.1642</v>
      </c>
      <c r="O13" s="4" t="str">
        <f>HYPERLINK("http://141.218.60.56/~jnz1568/getInfo.php?workbook=04_01.xlsx&amp;sheet=A0&amp;row=13&amp;col=15&amp;number=&amp;sourceID=12","")</f>
        <v/>
      </c>
      <c r="P13" s="4" t="str">
        <f>HYPERLINK("http://141.218.60.56/~jnz1568/getInfo.php?workbook=04_01.xlsx&amp;sheet=A0&amp;row=13&amp;col=16&amp;number=&amp;sourceID=12","")</f>
        <v/>
      </c>
      <c r="Q13" s="4" t="str">
        <f>HYPERLINK("http://141.218.60.56/~jnz1568/getInfo.php?workbook=04_01.xlsx&amp;sheet=A0&amp;row=13&amp;col=17&amp;number=&amp;sourceID=12","")</f>
        <v/>
      </c>
      <c r="R13" s="4" t="str">
        <f>HYPERLINK("http://141.218.60.56/~jnz1568/getInfo.php?workbook=04_01.xlsx&amp;sheet=A0&amp;row=13&amp;col=18&amp;number=1.1642&amp;sourceID=12","1.1642")</f>
        <v>1.1642</v>
      </c>
      <c r="S13" s="4" t="str">
        <f>HYPERLINK("http://141.218.60.56/~jnz1568/getInfo.php?workbook=04_01.xlsx&amp;sheet=A0&amp;row=13&amp;col=19&amp;number=&amp;sourceID=12","")</f>
        <v/>
      </c>
      <c r="T13" s="4" t="str">
        <f>HYPERLINK("http://141.218.60.56/~jnz1568/getInfo.php?workbook=04_01.xlsx&amp;sheet=A0&amp;row=13&amp;col=20&amp;number=&amp;sourceID=12","")</f>
        <v/>
      </c>
      <c r="U13" s="4" t="str">
        <f>HYPERLINK("http://141.218.60.56/~jnz1568/getInfo.php?workbook=04_01.xlsx&amp;sheet=A0&amp;row=13&amp;col=21&amp;number=&amp;sourceID=20","")</f>
        <v/>
      </c>
    </row>
    <row r="14" spans="1:21">
      <c r="A14" s="3">
        <v>4</v>
      </c>
      <c r="B14" s="3">
        <v>1</v>
      </c>
      <c r="C14" s="3">
        <v>6</v>
      </c>
      <c r="D14" s="3">
        <v>2</v>
      </c>
      <c r="E14" s="3">
        <f>((1/(INDEX(E0!J$4:J$28,C14,1)-INDEX(E0!J$4:J$28,D14,1))))*100000000</f>
        <v>0</v>
      </c>
      <c r="F14" s="4" t="str">
        <f>HYPERLINK("http://141.218.60.56/~jnz1568/getInfo.php?workbook=04_01.xlsx&amp;sheet=A0&amp;row=14&amp;col=6&amp;number=&amp;sourceID=18","")</f>
        <v/>
      </c>
      <c r="G14" s="4" t="str">
        <f>HYPERLINK("http://141.218.60.56/~jnz1568/getInfo.php?workbook=04_01.xlsx&amp;sheet=A0&amp;row=14&amp;col=7&amp;number==&amp;sourceID=11","=")</f>
        <v>=</v>
      </c>
      <c r="H14" s="4" t="str">
        <f>HYPERLINK("http://141.218.60.56/~jnz1568/getInfo.php?workbook=04_01.xlsx&amp;sheet=A0&amp;row=14&amp;col=8&amp;number=539310000&amp;sourceID=11","539310000")</f>
        <v>539310000</v>
      </c>
      <c r="I14" s="4" t="str">
        <f>HYPERLINK("http://141.218.60.56/~jnz1568/getInfo.php?workbook=04_01.xlsx&amp;sheet=A0&amp;row=14&amp;col=9&amp;number=&amp;sourceID=11","")</f>
        <v/>
      </c>
      <c r="J14" s="4" t="str">
        <f>HYPERLINK("http://141.218.60.56/~jnz1568/getInfo.php?workbook=04_01.xlsx&amp;sheet=A0&amp;row=14&amp;col=10&amp;number=&amp;sourceID=11","")</f>
        <v/>
      </c>
      <c r="K14" s="4" t="str">
        <f>HYPERLINK("http://141.218.60.56/~jnz1568/getInfo.php?workbook=04_01.xlsx&amp;sheet=A0&amp;row=14&amp;col=11&amp;number=&amp;sourceID=11","")</f>
        <v/>
      </c>
      <c r="L14" s="4" t="str">
        <f>HYPERLINK("http://141.218.60.56/~jnz1568/getInfo.php?workbook=04_01.xlsx&amp;sheet=A0&amp;row=14&amp;col=12&amp;number=&amp;sourceID=11","")</f>
        <v/>
      </c>
      <c r="M14" s="4" t="str">
        <f>HYPERLINK("http://141.218.60.56/~jnz1568/getInfo.php?workbook=04_01.xlsx&amp;sheet=A0&amp;row=14&amp;col=13&amp;number=&amp;sourceID=11","")</f>
        <v/>
      </c>
      <c r="N14" s="4" t="str">
        <f>HYPERLINK("http://141.218.60.56/~jnz1568/getInfo.php?workbook=04_01.xlsx&amp;sheet=A0&amp;row=14&amp;col=14&amp;number=539340000&amp;sourceID=12","539340000")</f>
        <v>539340000</v>
      </c>
      <c r="O14" s="4" t="str">
        <f>HYPERLINK("http://141.218.60.56/~jnz1568/getInfo.php?workbook=04_01.xlsx&amp;sheet=A0&amp;row=14&amp;col=15&amp;number=539340000&amp;sourceID=12","539340000")</f>
        <v>539340000</v>
      </c>
      <c r="P14" s="4" t="str">
        <f>HYPERLINK("http://141.218.60.56/~jnz1568/getInfo.php?workbook=04_01.xlsx&amp;sheet=A0&amp;row=14&amp;col=16&amp;number=&amp;sourceID=12","")</f>
        <v/>
      </c>
      <c r="Q14" s="4" t="str">
        <f>HYPERLINK("http://141.218.60.56/~jnz1568/getInfo.php?workbook=04_01.xlsx&amp;sheet=A0&amp;row=14&amp;col=17&amp;number=&amp;sourceID=12","")</f>
        <v/>
      </c>
      <c r="R14" s="4" t="str">
        <f>HYPERLINK("http://141.218.60.56/~jnz1568/getInfo.php?workbook=04_01.xlsx&amp;sheet=A0&amp;row=14&amp;col=18&amp;number=&amp;sourceID=12","")</f>
        <v/>
      </c>
      <c r="S14" s="4" t="str">
        <f>HYPERLINK("http://141.218.60.56/~jnz1568/getInfo.php?workbook=04_01.xlsx&amp;sheet=A0&amp;row=14&amp;col=19&amp;number=&amp;sourceID=12","")</f>
        <v/>
      </c>
      <c r="T14" s="4" t="str">
        <f>HYPERLINK("http://141.218.60.56/~jnz1568/getInfo.php?workbook=04_01.xlsx&amp;sheet=A0&amp;row=14&amp;col=20&amp;number=&amp;sourceID=12","")</f>
        <v/>
      </c>
      <c r="U14" s="4" t="str">
        <f>HYPERLINK("http://141.218.60.56/~jnz1568/getInfo.php?workbook=04_01.xlsx&amp;sheet=A0&amp;row=14&amp;col=21&amp;number=539310000&amp;sourceID=20","539310000")</f>
        <v>539310000</v>
      </c>
    </row>
    <row r="15" spans="1:21">
      <c r="A15" s="3">
        <v>4</v>
      </c>
      <c r="B15" s="3">
        <v>1</v>
      </c>
      <c r="C15" s="3">
        <v>6</v>
      </c>
      <c r="D15" s="3">
        <v>3</v>
      </c>
      <c r="E15" s="3">
        <f>((1/(INDEX(E0!J$4:J$28,C15,1)-INDEX(E0!J$4:J$28,D15,1))))*100000000</f>
        <v>0</v>
      </c>
      <c r="F15" s="4" t="str">
        <f>HYPERLINK("http://141.218.60.56/~jnz1568/getInfo.php?workbook=04_01.xlsx&amp;sheet=A0&amp;row=15&amp;col=6&amp;number=&amp;sourceID=18","")</f>
        <v/>
      </c>
      <c r="G15" s="4" t="str">
        <f>HYPERLINK("http://141.218.60.56/~jnz1568/getInfo.php?workbook=04_01.xlsx&amp;sheet=A0&amp;row=15&amp;col=7&amp;number==&amp;sourceID=11","=")</f>
        <v>=</v>
      </c>
      <c r="H15" s="4" t="str">
        <f>HYPERLINK("http://141.218.60.56/~jnz1568/getInfo.php?workbook=04_01.xlsx&amp;sheet=A0&amp;row=15&amp;col=8&amp;number=&amp;sourceID=11","")</f>
        <v/>
      </c>
      <c r="I15" s="4" t="str">
        <f>HYPERLINK("http://141.218.60.56/~jnz1568/getInfo.php?workbook=04_01.xlsx&amp;sheet=A0&amp;row=15&amp;col=9&amp;number=&amp;sourceID=11","")</f>
        <v/>
      </c>
      <c r="J15" s="4" t="str">
        <f>HYPERLINK("http://141.218.60.56/~jnz1568/getInfo.php?workbook=04_01.xlsx&amp;sheet=A0&amp;row=15&amp;col=10&amp;number=&amp;sourceID=11","")</f>
        <v/>
      </c>
      <c r="K15" s="4" t="str">
        <f>HYPERLINK("http://141.218.60.56/~jnz1568/getInfo.php?workbook=04_01.xlsx&amp;sheet=A0&amp;row=15&amp;col=11&amp;number=0.0019715&amp;sourceID=11","0.0019715")</f>
        <v>0.0019715</v>
      </c>
      <c r="L15" s="4" t="str">
        <f>HYPERLINK("http://141.218.60.56/~jnz1568/getInfo.php?workbook=04_01.xlsx&amp;sheet=A0&amp;row=15&amp;col=12&amp;number=&amp;sourceID=11","")</f>
        <v/>
      </c>
      <c r="M15" s="4" t="str">
        <f>HYPERLINK("http://141.218.60.56/~jnz1568/getInfo.php?workbook=04_01.xlsx&amp;sheet=A0&amp;row=15&amp;col=13&amp;number=&amp;sourceID=11","")</f>
        <v/>
      </c>
      <c r="N15" s="4" t="str">
        <f>HYPERLINK("http://141.218.60.56/~jnz1568/getInfo.php?workbook=04_01.xlsx&amp;sheet=A0&amp;row=15&amp;col=14&amp;number=0.0019716&amp;sourceID=12","0.0019716")</f>
        <v>0.0019716</v>
      </c>
      <c r="O15" s="4" t="str">
        <f>HYPERLINK("http://141.218.60.56/~jnz1568/getInfo.php?workbook=04_01.xlsx&amp;sheet=A0&amp;row=15&amp;col=15&amp;number=&amp;sourceID=12","")</f>
        <v/>
      </c>
      <c r="P15" s="4" t="str">
        <f>HYPERLINK("http://141.218.60.56/~jnz1568/getInfo.php?workbook=04_01.xlsx&amp;sheet=A0&amp;row=15&amp;col=16&amp;number=&amp;sourceID=12","")</f>
        <v/>
      </c>
      <c r="Q15" s="4" t="str">
        <f>HYPERLINK("http://141.218.60.56/~jnz1568/getInfo.php?workbook=04_01.xlsx&amp;sheet=A0&amp;row=15&amp;col=17&amp;number=&amp;sourceID=12","")</f>
        <v/>
      </c>
      <c r="R15" s="4" t="str">
        <f>HYPERLINK("http://141.218.60.56/~jnz1568/getInfo.php?workbook=04_01.xlsx&amp;sheet=A0&amp;row=15&amp;col=18&amp;number=0.0019716&amp;sourceID=12","0.0019716")</f>
        <v>0.0019716</v>
      </c>
      <c r="S15" s="4" t="str">
        <f>HYPERLINK("http://141.218.60.56/~jnz1568/getInfo.php?workbook=04_01.xlsx&amp;sheet=A0&amp;row=15&amp;col=19&amp;number=&amp;sourceID=12","")</f>
        <v/>
      </c>
      <c r="T15" s="4" t="str">
        <f>HYPERLINK("http://141.218.60.56/~jnz1568/getInfo.php?workbook=04_01.xlsx&amp;sheet=A0&amp;row=15&amp;col=20&amp;number=&amp;sourceID=12","")</f>
        <v/>
      </c>
      <c r="U15" s="4" t="str">
        <f>HYPERLINK("http://141.218.60.56/~jnz1568/getInfo.php?workbook=04_01.xlsx&amp;sheet=A0&amp;row=15&amp;col=21&amp;number=0.0019715&amp;sourceID=20","0.0019715")</f>
        <v>0.0019715</v>
      </c>
    </row>
    <row r="16" spans="1:21">
      <c r="A16" s="3">
        <v>4</v>
      </c>
      <c r="B16" s="3">
        <v>1</v>
      </c>
      <c r="C16" s="3">
        <v>6</v>
      </c>
      <c r="D16" s="3">
        <v>4</v>
      </c>
      <c r="E16" s="3">
        <f>((1/(INDEX(E0!J$4:J$28,C16,1)-INDEX(E0!J$4:J$28,D16,1))))*100000000</f>
        <v>0</v>
      </c>
      <c r="F16" s="4" t="str">
        <f>HYPERLINK("http://141.218.60.56/~jnz1568/getInfo.php?workbook=04_01.xlsx&amp;sheet=A0&amp;row=16&amp;col=6&amp;number=&amp;sourceID=18","")</f>
        <v/>
      </c>
      <c r="G16" s="4" t="str">
        <f>HYPERLINK("http://141.218.60.56/~jnz1568/getInfo.php?workbook=04_01.xlsx&amp;sheet=A0&amp;row=16&amp;col=7&amp;number==&amp;sourceID=11","=")</f>
        <v>=</v>
      </c>
      <c r="H16" s="4" t="str">
        <f>HYPERLINK("http://141.218.60.56/~jnz1568/getInfo.php?workbook=04_01.xlsx&amp;sheet=A0&amp;row=16&amp;col=8&amp;number=1080500000&amp;sourceID=11","1080500000")</f>
        <v>1080500000</v>
      </c>
      <c r="I16" s="4" t="str">
        <f>HYPERLINK("http://141.218.60.56/~jnz1568/getInfo.php?workbook=04_01.xlsx&amp;sheet=A0&amp;row=16&amp;col=9&amp;number=&amp;sourceID=11","")</f>
        <v/>
      </c>
      <c r="J16" s="4" t="str">
        <f>HYPERLINK("http://141.218.60.56/~jnz1568/getInfo.php?workbook=04_01.xlsx&amp;sheet=A0&amp;row=16&amp;col=10&amp;number=&amp;sourceID=11","")</f>
        <v/>
      </c>
      <c r="K16" s="4" t="str">
        <f>HYPERLINK("http://141.218.60.56/~jnz1568/getInfo.php?workbook=04_01.xlsx&amp;sheet=A0&amp;row=16&amp;col=11&amp;number=&amp;sourceID=11","")</f>
        <v/>
      </c>
      <c r="L16" s="4" t="str">
        <f>HYPERLINK("http://141.218.60.56/~jnz1568/getInfo.php?workbook=04_01.xlsx&amp;sheet=A0&amp;row=16&amp;col=12&amp;number=0.70929&amp;sourceID=11","0.70929")</f>
        <v>0.70929</v>
      </c>
      <c r="M16" s="4" t="str">
        <f>HYPERLINK("http://141.218.60.56/~jnz1568/getInfo.php?workbook=04_01.xlsx&amp;sheet=A0&amp;row=16&amp;col=13&amp;number=&amp;sourceID=11","")</f>
        <v/>
      </c>
      <c r="N16" s="4" t="str">
        <f>HYPERLINK("http://141.218.60.56/~jnz1568/getInfo.php?workbook=04_01.xlsx&amp;sheet=A0&amp;row=16&amp;col=14&amp;number=1080600000&amp;sourceID=12","1080600000")</f>
        <v>1080600000</v>
      </c>
      <c r="O16" s="4" t="str">
        <f>HYPERLINK("http://141.218.60.56/~jnz1568/getInfo.php?workbook=04_01.xlsx&amp;sheet=A0&amp;row=16&amp;col=15&amp;number=1080600000&amp;sourceID=12","1080600000")</f>
        <v>1080600000</v>
      </c>
      <c r="P16" s="4" t="str">
        <f>HYPERLINK("http://141.218.60.56/~jnz1568/getInfo.php?workbook=04_01.xlsx&amp;sheet=A0&amp;row=16&amp;col=16&amp;number=&amp;sourceID=12","")</f>
        <v/>
      </c>
      <c r="Q16" s="4" t="str">
        <f>HYPERLINK("http://141.218.60.56/~jnz1568/getInfo.php?workbook=04_01.xlsx&amp;sheet=A0&amp;row=16&amp;col=17&amp;number=&amp;sourceID=12","")</f>
        <v/>
      </c>
      <c r="R16" s="4" t="str">
        <f>HYPERLINK("http://141.218.60.56/~jnz1568/getInfo.php?workbook=04_01.xlsx&amp;sheet=A0&amp;row=16&amp;col=18&amp;number=&amp;sourceID=12","")</f>
        <v/>
      </c>
      <c r="S16" s="4" t="str">
        <f>HYPERLINK("http://141.218.60.56/~jnz1568/getInfo.php?workbook=04_01.xlsx&amp;sheet=A0&amp;row=16&amp;col=19&amp;number=0.70933&amp;sourceID=12","0.70933")</f>
        <v>0.70933</v>
      </c>
      <c r="T16" s="4" t="str">
        <f>HYPERLINK("http://141.218.60.56/~jnz1568/getInfo.php?workbook=04_01.xlsx&amp;sheet=A0&amp;row=16&amp;col=20&amp;number=&amp;sourceID=12","")</f>
        <v/>
      </c>
      <c r="U16" s="4" t="str">
        <f>HYPERLINK("http://141.218.60.56/~jnz1568/getInfo.php?workbook=04_01.xlsx&amp;sheet=A0&amp;row=16&amp;col=21&amp;number=1080500000&amp;sourceID=20","1080500000")</f>
        <v>1080500000</v>
      </c>
    </row>
    <row r="17" spans="1:21">
      <c r="A17" s="3">
        <v>4</v>
      </c>
      <c r="B17" s="3">
        <v>1</v>
      </c>
      <c r="C17" s="3">
        <v>7</v>
      </c>
      <c r="D17" s="3">
        <v>1</v>
      </c>
      <c r="E17" s="3">
        <f>((1/(INDEX(E0!J$4:J$28,C17,1)-INDEX(E0!J$4:J$28,D17,1))))*100000000</f>
        <v>0</v>
      </c>
      <c r="F17" s="4" t="str">
        <f>HYPERLINK("http://141.218.60.56/~jnz1568/getInfo.php?workbook=04_01.xlsx&amp;sheet=A0&amp;row=17&amp;col=6&amp;number=&amp;sourceID=18","")</f>
        <v/>
      </c>
      <c r="G17" s="4" t="str">
        <f>HYPERLINK("http://141.218.60.56/~jnz1568/getInfo.php?workbook=04_01.xlsx&amp;sheet=A0&amp;row=17&amp;col=7&amp;number==&amp;sourceID=11","=")</f>
        <v>=</v>
      </c>
      <c r="H17" s="4" t="str">
        <f>HYPERLINK("http://141.218.60.56/~jnz1568/getInfo.php?workbook=04_01.xlsx&amp;sheet=A0&amp;row=17&amp;col=8&amp;number=&amp;sourceID=11","")</f>
        <v/>
      </c>
      <c r="I17" s="4" t="str">
        <f>HYPERLINK("http://141.218.60.56/~jnz1568/getInfo.php?workbook=04_01.xlsx&amp;sheet=A0&amp;row=17&amp;col=9&amp;number=2432600&amp;sourceID=11","2432600")</f>
        <v>2432600</v>
      </c>
      <c r="J17" s="4" t="str">
        <f>HYPERLINK("http://141.218.60.56/~jnz1568/getInfo.php?workbook=04_01.xlsx&amp;sheet=A0&amp;row=17&amp;col=10&amp;number=&amp;sourceID=11","")</f>
        <v/>
      </c>
      <c r="K17" s="4" t="str">
        <f>HYPERLINK("http://141.218.60.56/~jnz1568/getInfo.php?workbook=04_01.xlsx&amp;sheet=A0&amp;row=17&amp;col=11&amp;number=0.0072707&amp;sourceID=11","0.0072707")</f>
        <v>0.0072707</v>
      </c>
      <c r="L17" s="4" t="str">
        <f>HYPERLINK("http://141.218.60.56/~jnz1568/getInfo.php?workbook=04_01.xlsx&amp;sheet=A0&amp;row=17&amp;col=12&amp;number=&amp;sourceID=11","")</f>
        <v/>
      </c>
      <c r="M17" s="4" t="str">
        <f>HYPERLINK("http://141.218.60.56/~jnz1568/getInfo.php?workbook=04_01.xlsx&amp;sheet=A0&amp;row=17&amp;col=13&amp;number=&amp;sourceID=11","")</f>
        <v/>
      </c>
      <c r="N17" s="4" t="str">
        <f>HYPERLINK("http://141.218.60.56/~jnz1568/getInfo.php?workbook=04_01.xlsx&amp;sheet=A0&amp;row=17&amp;col=14&amp;number=2432700&amp;sourceID=12","2432700")</f>
        <v>2432700</v>
      </c>
      <c r="O17" s="4" t="str">
        <f>HYPERLINK("http://141.218.60.56/~jnz1568/getInfo.php?workbook=04_01.xlsx&amp;sheet=A0&amp;row=17&amp;col=15&amp;number=&amp;sourceID=12","")</f>
        <v/>
      </c>
      <c r="P17" s="4" t="str">
        <f>HYPERLINK("http://141.218.60.56/~jnz1568/getInfo.php?workbook=04_01.xlsx&amp;sheet=A0&amp;row=17&amp;col=16&amp;number=2432700&amp;sourceID=12","2432700")</f>
        <v>2432700</v>
      </c>
      <c r="Q17" s="4" t="str">
        <f>HYPERLINK("http://141.218.60.56/~jnz1568/getInfo.php?workbook=04_01.xlsx&amp;sheet=A0&amp;row=17&amp;col=17&amp;number=&amp;sourceID=12","")</f>
        <v/>
      </c>
      <c r="R17" s="4" t="str">
        <f>HYPERLINK("http://141.218.60.56/~jnz1568/getInfo.php?workbook=04_01.xlsx&amp;sheet=A0&amp;row=17&amp;col=18&amp;number=0.0072696&amp;sourceID=12","0.0072696")</f>
        <v>0.0072696</v>
      </c>
      <c r="S17" s="4" t="str">
        <f>HYPERLINK("http://141.218.60.56/~jnz1568/getInfo.php?workbook=04_01.xlsx&amp;sheet=A0&amp;row=17&amp;col=19&amp;number=&amp;sourceID=12","")</f>
        <v/>
      </c>
      <c r="T17" s="4" t="str">
        <f>HYPERLINK("http://141.218.60.56/~jnz1568/getInfo.php?workbook=04_01.xlsx&amp;sheet=A0&amp;row=17&amp;col=20&amp;number=&amp;sourceID=12","")</f>
        <v/>
      </c>
      <c r="U17" s="4" t="str">
        <f>HYPERLINK("http://141.218.60.56/~jnz1568/getInfo.php?workbook=04_01.xlsx&amp;sheet=A0&amp;row=17&amp;col=21&amp;number=&amp;sourceID=20","")</f>
        <v/>
      </c>
    </row>
    <row r="18" spans="1:21">
      <c r="A18" s="3">
        <v>4</v>
      </c>
      <c r="B18" s="3">
        <v>1</v>
      </c>
      <c r="C18" s="3">
        <v>7</v>
      </c>
      <c r="D18" s="3">
        <v>2</v>
      </c>
      <c r="E18" s="3">
        <f>((1/(INDEX(E0!J$4:J$28,C18,1)-INDEX(E0!J$4:J$28,D18,1))))*100000000</f>
        <v>0</v>
      </c>
      <c r="F18" s="4" t="str">
        <f>HYPERLINK("http://141.218.60.56/~jnz1568/getInfo.php?workbook=04_01.xlsx&amp;sheet=A0&amp;row=18&amp;col=6&amp;number=&amp;sourceID=18","")</f>
        <v/>
      </c>
      <c r="G18" s="4" t="str">
        <f>HYPERLINK("http://141.218.60.56/~jnz1568/getInfo.php?workbook=04_01.xlsx&amp;sheet=A0&amp;row=18&amp;col=7&amp;number==&amp;sourceID=11","=")</f>
        <v>=</v>
      </c>
      <c r="H18" s="4" t="str">
        <f>HYPERLINK("http://141.218.60.56/~jnz1568/getInfo.php?workbook=04_01.xlsx&amp;sheet=A0&amp;row=18&amp;col=8&amp;number=13804000000&amp;sourceID=11","13804000000")</f>
        <v>13804000000</v>
      </c>
      <c r="I18" s="4" t="str">
        <f>HYPERLINK("http://141.218.60.56/~jnz1568/getInfo.php?workbook=04_01.xlsx&amp;sheet=A0&amp;row=18&amp;col=9&amp;number=&amp;sourceID=11","")</f>
        <v/>
      </c>
      <c r="J18" s="4" t="str">
        <f>HYPERLINK("http://141.218.60.56/~jnz1568/getInfo.php?workbook=04_01.xlsx&amp;sheet=A0&amp;row=18&amp;col=10&amp;number=&amp;sourceID=11","")</f>
        <v/>
      </c>
      <c r="K18" s="4" t="str">
        <f>HYPERLINK("http://141.218.60.56/~jnz1568/getInfo.php?workbook=04_01.xlsx&amp;sheet=A0&amp;row=18&amp;col=11&amp;number=&amp;sourceID=11","")</f>
        <v/>
      </c>
      <c r="L18" s="4" t="str">
        <f>HYPERLINK("http://141.218.60.56/~jnz1568/getInfo.php?workbook=04_01.xlsx&amp;sheet=A0&amp;row=18&amp;col=12&amp;number=0.36268&amp;sourceID=11","0.36268")</f>
        <v>0.36268</v>
      </c>
      <c r="M18" s="4" t="str">
        <f>HYPERLINK("http://141.218.60.56/~jnz1568/getInfo.php?workbook=04_01.xlsx&amp;sheet=A0&amp;row=18&amp;col=13&amp;number=&amp;sourceID=11","")</f>
        <v/>
      </c>
      <c r="N18" s="4" t="str">
        <f>HYPERLINK("http://141.218.60.56/~jnz1568/getInfo.php?workbook=04_01.xlsx&amp;sheet=A0&amp;row=18&amp;col=14&amp;number=13805000000&amp;sourceID=12","13805000000")</f>
        <v>13805000000</v>
      </c>
      <c r="O18" s="4" t="str">
        <f>HYPERLINK("http://141.218.60.56/~jnz1568/getInfo.php?workbook=04_01.xlsx&amp;sheet=A0&amp;row=18&amp;col=15&amp;number=13805000000&amp;sourceID=12","13805000000")</f>
        <v>13805000000</v>
      </c>
      <c r="P18" s="4" t="str">
        <f>HYPERLINK("http://141.218.60.56/~jnz1568/getInfo.php?workbook=04_01.xlsx&amp;sheet=A0&amp;row=18&amp;col=16&amp;number=&amp;sourceID=12","")</f>
        <v/>
      </c>
      <c r="Q18" s="4" t="str">
        <f>HYPERLINK("http://141.218.60.56/~jnz1568/getInfo.php?workbook=04_01.xlsx&amp;sheet=A0&amp;row=18&amp;col=17&amp;number=&amp;sourceID=12","")</f>
        <v/>
      </c>
      <c r="R18" s="4" t="str">
        <f>HYPERLINK("http://141.218.60.56/~jnz1568/getInfo.php?workbook=04_01.xlsx&amp;sheet=A0&amp;row=18&amp;col=18&amp;number=&amp;sourceID=12","")</f>
        <v/>
      </c>
      <c r="S18" s="4" t="str">
        <f>HYPERLINK("http://141.218.60.56/~jnz1568/getInfo.php?workbook=04_01.xlsx&amp;sheet=A0&amp;row=18&amp;col=19&amp;number=0.3627&amp;sourceID=12","0.3627")</f>
        <v>0.3627</v>
      </c>
      <c r="T18" s="4" t="str">
        <f>HYPERLINK("http://141.218.60.56/~jnz1568/getInfo.php?workbook=04_01.xlsx&amp;sheet=A0&amp;row=18&amp;col=20&amp;number=&amp;sourceID=12","")</f>
        <v/>
      </c>
      <c r="U18" s="4" t="str">
        <f>HYPERLINK("http://141.218.60.56/~jnz1568/getInfo.php?workbook=04_01.xlsx&amp;sheet=A0&amp;row=18&amp;col=21&amp;number=13804000000&amp;sourceID=20","13804000000")</f>
        <v>13804000000</v>
      </c>
    </row>
    <row r="19" spans="1:21">
      <c r="A19" s="3">
        <v>4</v>
      </c>
      <c r="B19" s="3">
        <v>1</v>
      </c>
      <c r="C19" s="3">
        <v>7</v>
      </c>
      <c r="D19" s="3">
        <v>3</v>
      </c>
      <c r="E19" s="3">
        <f>((1/(INDEX(E0!J$4:J$28,C19,1)-INDEX(E0!J$4:J$28,D19,1))))*100000000</f>
        <v>0</v>
      </c>
      <c r="F19" s="4" t="str">
        <f>HYPERLINK("http://141.218.60.56/~jnz1568/getInfo.php?workbook=04_01.xlsx&amp;sheet=A0&amp;row=19&amp;col=6&amp;number=&amp;sourceID=18","")</f>
        <v/>
      </c>
      <c r="G19" s="4" t="str">
        <f>HYPERLINK("http://141.218.60.56/~jnz1568/getInfo.php?workbook=04_01.xlsx&amp;sheet=A0&amp;row=19&amp;col=7&amp;number==&amp;sourceID=11","=")</f>
        <v>=</v>
      </c>
      <c r="H19" s="4" t="str">
        <f>HYPERLINK("http://141.218.60.56/~jnz1568/getInfo.php?workbook=04_01.xlsx&amp;sheet=A0&amp;row=19&amp;col=8&amp;number=&amp;sourceID=11","")</f>
        <v/>
      </c>
      <c r="I19" s="4" t="str">
        <f>HYPERLINK("http://141.218.60.56/~jnz1568/getInfo.php?workbook=04_01.xlsx&amp;sheet=A0&amp;row=19&amp;col=9&amp;number=209210&amp;sourceID=11","209210")</f>
        <v>209210</v>
      </c>
      <c r="J19" s="4" t="str">
        <f>HYPERLINK("http://141.218.60.56/~jnz1568/getInfo.php?workbook=04_01.xlsx&amp;sheet=A0&amp;row=19&amp;col=10&amp;number=&amp;sourceID=11","")</f>
        <v/>
      </c>
      <c r="K19" s="4" t="str">
        <f>HYPERLINK("http://141.218.60.56/~jnz1568/getInfo.php?workbook=04_01.xlsx&amp;sheet=A0&amp;row=19&amp;col=11&amp;number=0.00011026&amp;sourceID=11","0.00011026")</f>
        <v>0.00011026</v>
      </c>
      <c r="L19" s="4" t="str">
        <f>HYPERLINK("http://141.218.60.56/~jnz1568/getInfo.php?workbook=04_01.xlsx&amp;sheet=A0&amp;row=19&amp;col=12&amp;number=&amp;sourceID=11","")</f>
        <v/>
      </c>
      <c r="M19" s="4" t="str">
        <f>HYPERLINK("http://141.218.60.56/~jnz1568/getInfo.php?workbook=04_01.xlsx&amp;sheet=A0&amp;row=19&amp;col=13&amp;number=&amp;sourceID=11","")</f>
        <v/>
      </c>
      <c r="N19" s="4" t="str">
        <f>HYPERLINK("http://141.218.60.56/~jnz1568/getInfo.php?workbook=04_01.xlsx&amp;sheet=A0&amp;row=19&amp;col=14&amp;number=209230&amp;sourceID=12","209230")</f>
        <v>209230</v>
      </c>
      <c r="O19" s="4" t="str">
        <f>HYPERLINK("http://141.218.60.56/~jnz1568/getInfo.php?workbook=04_01.xlsx&amp;sheet=A0&amp;row=19&amp;col=15&amp;number=&amp;sourceID=12","")</f>
        <v/>
      </c>
      <c r="P19" s="4" t="str">
        <f>HYPERLINK("http://141.218.60.56/~jnz1568/getInfo.php?workbook=04_01.xlsx&amp;sheet=A0&amp;row=19&amp;col=16&amp;number=209230&amp;sourceID=12","209230")</f>
        <v>209230</v>
      </c>
      <c r="Q19" s="4" t="str">
        <f>HYPERLINK("http://141.218.60.56/~jnz1568/getInfo.php?workbook=04_01.xlsx&amp;sheet=A0&amp;row=19&amp;col=17&amp;number=&amp;sourceID=12","")</f>
        <v/>
      </c>
      <c r="R19" s="4" t="str">
        <f>HYPERLINK("http://141.218.60.56/~jnz1568/getInfo.php?workbook=04_01.xlsx&amp;sheet=A0&amp;row=19&amp;col=18&amp;number=0.00011026&amp;sourceID=12","0.00011026")</f>
        <v>0.00011026</v>
      </c>
      <c r="S19" s="4" t="str">
        <f>HYPERLINK("http://141.218.60.56/~jnz1568/getInfo.php?workbook=04_01.xlsx&amp;sheet=A0&amp;row=19&amp;col=19&amp;number=&amp;sourceID=12","")</f>
        <v/>
      </c>
      <c r="T19" s="4" t="str">
        <f>HYPERLINK("http://141.218.60.56/~jnz1568/getInfo.php?workbook=04_01.xlsx&amp;sheet=A0&amp;row=19&amp;col=20&amp;number=&amp;sourceID=12","")</f>
        <v/>
      </c>
      <c r="U19" s="4" t="str">
        <f>HYPERLINK("http://141.218.60.56/~jnz1568/getInfo.php?workbook=04_01.xlsx&amp;sheet=A0&amp;row=19&amp;col=21&amp;number=209210&amp;sourceID=20","209210")</f>
        <v>209210</v>
      </c>
    </row>
    <row r="20" spans="1:21">
      <c r="A20" s="3">
        <v>4</v>
      </c>
      <c r="B20" s="3">
        <v>1</v>
      </c>
      <c r="C20" s="3">
        <v>7</v>
      </c>
      <c r="D20" s="3">
        <v>4</v>
      </c>
      <c r="E20" s="3">
        <f>((1/(INDEX(E0!J$4:J$28,C20,1)-INDEX(E0!J$4:J$28,D20,1))))*100000000</f>
        <v>0</v>
      </c>
      <c r="F20" s="4" t="str">
        <f>HYPERLINK("http://141.218.60.56/~jnz1568/getInfo.php?workbook=04_01.xlsx&amp;sheet=A0&amp;row=20&amp;col=6&amp;number=&amp;sourceID=18","")</f>
        <v/>
      </c>
      <c r="G20" s="4" t="str">
        <f>HYPERLINK("http://141.218.60.56/~jnz1568/getInfo.php?workbook=04_01.xlsx&amp;sheet=A0&amp;row=20&amp;col=7&amp;number==&amp;sourceID=11","=")</f>
        <v>=</v>
      </c>
      <c r="H20" s="4" t="str">
        <f>HYPERLINK("http://141.218.60.56/~jnz1568/getInfo.php?workbook=04_01.xlsx&amp;sheet=A0&amp;row=20&amp;col=8&amp;number=2759600000&amp;sourceID=11","2759600000")</f>
        <v>2759600000</v>
      </c>
      <c r="I20" s="4" t="str">
        <f>HYPERLINK("http://141.218.60.56/~jnz1568/getInfo.php?workbook=04_01.xlsx&amp;sheet=A0&amp;row=20&amp;col=9&amp;number=&amp;sourceID=11","")</f>
        <v/>
      </c>
      <c r="J20" s="4" t="str">
        <f>HYPERLINK("http://141.218.60.56/~jnz1568/getInfo.php?workbook=04_01.xlsx&amp;sheet=A0&amp;row=20&amp;col=10&amp;number=1.4837&amp;sourceID=11","1.4837")</f>
        <v>1.4837</v>
      </c>
      <c r="K20" s="4" t="str">
        <f>HYPERLINK("http://141.218.60.56/~jnz1568/getInfo.php?workbook=04_01.xlsx&amp;sheet=A0&amp;row=20&amp;col=11&amp;number=&amp;sourceID=11","")</f>
        <v/>
      </c>
      <c r="L20" s="4" t="str">
        <f>HYPERLINK("http://141.218.60.56/~jnz1568/getInfo.php?workbook=04_01.xlsx&amp;sheet=A0&amp;row=20&amp;col=12&amp;number=&amp;sourceID=11","")</f>
        <v/>
      </c>
      <c r="M20" s="4" t="str">
        <f>HYPERLINK("http://141.218.60.56/~jnz1568/getInfo.php?workbook=04_01.xlsx&amp;sheet=A0&amp;row=20&amp;col=13&amp;number=&amp;sourceID=11","")</f>
        <v/>
      </c>
      <c r="N20" s="4" t="str">
        <f>HYPERLINK("http://141.218.60.56/~jnz1568/getInfo.php?workbook=04_01.xlsx&amp;sheet=A0&amp;row=20&amp;col=14&amp;number=2759800000&amp;sourceID=12","2759800000")</f>
        <v>2759800000</v>
      </c>
      <c r="O20" s="4" t="str">
        <f>HYPERLINK("http://141.218.60.56/~jnz1568/getInfo.php?workbook=04_01.xlsx&amp;sheet=A0&amp;row=20&amp;col=15&amp;number=2759800000&amp;sourceID=12","2759800000")</f>
        <v>2759800000</v>
      </c>
      <c r="P20" s="4" t="str">
        <f>HYPERLINK("http://141.218.60.56/~jnz1568/getInfo.php?workbook=04_01.xlsx&amp;sheet=A0&amp;row=20&amp;col=16&amp;number=&amp;sourceID=12","")</f>
        <v/>
      </c>
      <c r="Q20" s="4" t="str">
        <f>HYPERLINK("http://141.218.60.56/~jnz1568/getInfo.php?workbook=04_01.xlsx&amp;sheet=A0&amp;row=20&amp;col=17&amp;number=1.4838&amp;sourceID=12","1.4838")</f>
        <v>1.4838</v>
      </c>
      <c r="R20" s="4" t="str">
        <f>HYPERLINK("http://141.218.60.56/~jnz1568/getInfo.php?workbook=04_01.xlsx&amp;sheet=A0&amp;row=20&amp;col=18&amp;number=&amp;sourceID=12","")</f>
        <v/>
      </c>
      <c r="S20" s="4" t="str">
        <f>HYPERLINK("http://141.218.60.56/~jnz1568/getInfo.php?workbook=04_01.xlsx&amp;sheet=A0&amp;row=20&amp;col=19&amp;number=&amp;sourceID=12","")</f>
        <v/>
      </c>
      <c r="T20" s="4" t="str">
        <f>HYPERLINK("http://141.218.60.56/~jnz1568/getInfo.php?workbook=04_01.xlsx&amp;sheet=A0&amp;row=20&amp;col=20&amp;number=&amp;sourceID=12","")</f>
        <v/>
      </c>
      <c r="U20" s="4" t="str">
        <f>HYPERLINK("http://141.218.60.56/~jnz1568/getInfo.php?workbook=04_01.xlsx&amp;sheet=A0&amp;row=20&amp;col=21&amp;number=2759600000&amp;sourceID=20","2759600000")</f>
        <v>2759600000</v>
      </c>
    </row>
    <row r="21" spans="1:21">
      <c r="A21" s="3">
        <v>4</v>
      </c>
      <c r="B21" s="3">
        <v>1</v>
      </c>
      <c r="C21" s="3">
        <v>7</v>
      </c>
      <c r="D21" s="3">
        <v>5</v>
      </c>
      <c r="E21" s="3">
        <f>((1/(INDEX(E0!J$4:J$28,C21,1)-INDEX(E0!J$4:J$28,D21,1))))*100000000</f>
        <v>0</v>
      </c>
      <c r="F21" s="4" t="str">
        <f>HYPERLINK("http://141.218.60.56/~jnz1568/getInfo.php?workbook=04_01.xlsx&amp;sheet=A0&amp;row=21&amp;col=6&amp;number=&amp;sourceID=18","")</f>
        <v/>
      </c>
      <c r="G21" s="4" t="str">
        <f>HYPERLINK("http://141.218.60.56/~jnz1568/getInfo.php?workbook=04_01.xlsx&amp;sheet=A0&amp;row=21&amp;col=7&amp;number==&amp;sourceID=11","=")</f>
        <v>=</v>
      </c>
      <c r="H21" s="4" t="str">
        <f>HYPERLINK("http://141.218.60.56/~jnz1568/getInfo.php?workbook=04_01.xlsx&amp;sheet=A0&amp;row=21&amp;col=8&amp;number=0.091002&amp;sourceID=11","0.091002")</f>
        <v>0.091002</v>
      </c>
      <c r="I21" s="4" t="str">
        <f>HYPERLINK("http://141.218.60.56/~jnz1568/getInfo.php?workbook=04_01.xlsx&amp;sheet=A0&amp;row=21&amp;col=9&amp;number=&amp;sourceID=11","")</f>
        <v/>
      </c>
      <c r="J21" s="4" t="str">
        <f>HYPERLINK("http://141.218.60.56/~jnz1568/getInfo.php?workbook=04_01.xlsx&amp;sheet=A0&amp;row=21&amp;col=10&amp;number=&amp;sourceID=11","")</f>
        <v/>
      </c>
      <c r="K21" s="4" t="str">
        <f>HYPERLINK("http://141.218.60.56/~jnz1568/getInfo.php?workbook=04_01.xlsx&amp;sheet=A0&amp;row=21&amp;col=11&amp;number=&amp;sourceID=11","")</f>
        <v/>
      </c>
      <c r="L21" s="4" t="str">
        <f>HYPERLINK("http://141.218.60.56/~jnz1568/getInfo.php?workbook=04_01.xlsx&amp;sheet=A0&amp;row=21&amp;col=12&amp;number=0&amp;sourceID=11","0")</f>
        <v>0</v>
      </c>
      <c r="M21" s="4" t="str">
        <f>HYPERLINK("http://141.218.60.56/~jnz1568/getInfo.php?workbook=04_01.xlsx&amp;sheet=A0&amp;row=21&amp;col=13&amp;number=&amp;sourceID=11","")</f>
        <v/>
      </c>
      <c r="N21" s="4" t="str">
        <f>HYPERLINK("http://141.218.60.56/~jnz1568/getInfo.php?workbook=04_01.xlsx&amp;sheet=A0&amp;row=21&amp;col=14&amp;number=0.091008&amp;sourceID=12","0.091008")</f>
        <v>0.091008</v>
      </c>
      <c r="O21" s="4" t="str">
        <f>HYPERLINK("http://141.218.60.56/~jnz1568/getInfo.php?workbook=04_01.xlsx&amp;sheet=A0&amp;row=21&amp;col=15&amp;number=0.091008&amp;sourceID=12","0.091008")</f>
        <v>0.091008</v>
      </c>
      <c r="P21" s="4" t="str">
        <f>HYPERLINK("http://141.218.60.56/~jnz1568/getInfo.php?workbook=04_01.xlsx&amp;sheet=A0&amp;row=21&amp;col=16&amp;number=&amp;sourceID=12","")</f>
        <v/>
      </c>
      <c r="Q21" s="4" t="str">
        <f>HYPERLINK("http://141.218.60.56/~jnz1568/getInfo.php?workbook=04_01.xlsx&amp;sheet=A0&amp;row=21&amp;col=17&amp;number=&amp;sourceID=12","")</f>
        <v/>
      </c>
      <c r="R21" s="4" t="str">
        <f>HYPERLINK("http://141.218.60.56/~jnz1568/getInfo.php?workbook=04_01.xlsx&amp;sheet=A0&amp;row=21&amp;col=18&amp;number=&amp;sourceID=12","")</f>
        <v/>
      </c>
      <c r="S21" s="4" t="str">
        <f>HYPERLINK("http://141.218.60.56/~jnz1568/getInfo.php?workbook=04_01.xlsx&amp;sheet=A0&amp;row=21&amp;col=19&amp;number=0&amp;sourceID=12","0")</f>
        <v>0</v>
      </c>
      <c r="T21" s="4" t="str">
        <f>HYPERLINK("http://141.218.60.56/~jnz1568/getInfo.php?workbook=04_01.xlsx&amp;sheet=A0&amp;row=21&amp;col=20&amp;number=&amp;sourceID=12","")</f>
        <v/>
      </c>
      <c r="U21" s="4" t="str">
        <f>HYPERLINK("http://141.218.60.56/~jnz1568/getInfo.php?workbook=04_01.xlsx&amp;sheet=A0&amp;row=21&amp;col=21&amp;number=&amp;sourceID=20","")</f>
        <v/>
      </c>
    </row>
    <row r="22" spans="1:21">
      <c r="A22" s="3">
        <v>4</v>
      </c>
      <c r="B22" s="3">
        <v>1</v>
      </c>
      <c r="C22" s="3">
        <v>7</v>
      </c>
      <c r="D22" s="3">
        <v>6</v>
      </c>
      <c r="E22" s="3">
        <f>((1/(INDEX(E0!J$4:J$28,C22,1)-INDEX(E0!J$4:J$28,D22,1))))*100000000</f>
        <v>0</v>
      </c>
      <c r="F22" s="4" t="str">
        <f>HYPERLINK("http://141.218.60.56/~jnz1568/getInfo.php?workbook=04_01.xlsx&amp;sheet=A0&amp;row=22&amp;col=6&amp;number=&amp;sourceID=18","")</f>
        <v/>
      </c>
      <c r="G22" s="4" t="str">
        <f>HYPERLINK("http://141.218.60.56/~jnz1568/getInfo.php?workbook=04_01.xlsx&amp;sheet=A0&amp;row=22&amp;col=7&amp;number==&amp;sourceID=11","=")</f>
        <v>=</v>
      </c>
      <c r="H22" s="4" t="str">
        <f>HYPERLINK("http://141.218.60.56/~jnz1568/getInfo.php?workbook=04_01.xlsx&amp;sheet=A0&amp;row=22&amp;col=8&amp;number=&amp;sourceID=11","")</f>
        <v/>
      </c>
      <c r="I22" s="4" t="str">
        <f>HYPERLINK("http://141.218.60.56/~jnz1568/getInfo.php?workbook=04_01.xlsx&amp;sheet=A0&amp;row=22&amp;col=9&amp;number=2.9e-14&amp;sourceID=11","2.9e-14")</f>
        <v>2.9e-14</v>
      </c>
      <c r="J22" s="4" t="str">
        <f>HYPERLINK("http://141.218.60.56/~jnz1568/getInfo.php?workbook=04_01.xlsx&amp;sheet=A0&amp;row=22&amp;col=10&amp;number=&amp;sourceID=11","")</f>
        <v/>
      </c>
      <c r="K22" s="4" t="str">
        <f>HYPERLINK("http://141.218.60.56/~jnz1568/getInfo.php?workbook=04_01.xlsx&amp;sheet=A0&amp;row=22&amp;col=11&amp;number=0&amp;sourceID=11","0")</f>
        <v>0</v>
      </c>
      <c r="L22" s="4" t="str">
        <f>HYPERLINK("http://141.218.60.56/~jnz1568/getInfo.php?workbook=04_01.xlsx&amp;sheet=A0&amp;row=22&amp;col=12&amp;number=&amp;sourceID=11","")</f>
        <v/>
      </c>
      <c r="M22" s="4" t="str">
        <f>HYPERLINK("http://141.218.60.56/~jnz1568/getInfo.php?workbook=04_01.xlsx&amp;sheet=A0&amp;row=22&amp;col=13&amp;number=&amp;sourceID=11","")</f>
        <v/>
      </c>
      <c r="N22" s="4" t="str">
        <f>HYPERLINK("http://141.218.60.56/~jnz1568/getInfo.php?workbook=04_01.xlsx&amp;sheet=A0&amp;row=22&amp;col=14&amp;number=2.9e-14&amp;sourceID=12","2.9e-14")</f>
        <v>2.9e-14</v>
      </c>
      <c r="O22" s="4" t="str">
        <f>HYPERLINK("http://141.218.60.56/~jnz1568/getInfo.php?workbook=04_01.xlsx&amp;sheet=A0&amp;row=22&amp;col=15&amp;number=&amp;sourceID=12","")</f>
        <v/>
      </c>
      <c r="P22" s="4" t="str">
        <f>HYPERLINK("http://141.218.60.56/~jnz1568/getInfo.php?workbook=04_01.xlsx&amp;sheet=A0&amp;row=22&amp;col=16&amp;number=2.9e-14&amp;sourceID=12","2.9e-14")</f>
        <v>2.9e-14</v>
      </c>
      <c r="Q22" s="4" t="str">
        <f>HYPERLINK("http://141.218.60.56/~jnz1568/getInfo.php?workbook=04_01.xlsx&amp;sheet=A0&amp;row=22&amp;col=17&amp;number=&amp;sourceID=12","")</f>
        <v/>
      </c>
      <c r="R22" s="4" t="str">
        <f>HYPERLINK("http://141.218.60.56/~jnz1568/getInfo.php?workbook=04_01.xlsx&amp;sheet=A0&amp;row=22&amp;col=18&amp;number=0&amp;sourceID=12","0")</f>
        <v>0</v>
      </c>
      <c r="S22" s="4" t="str">
        <f>HYPERLINK("http://141.218.60.56/~jnz1568/getInfo.php?workbook=04_01.xlsx&amp;sheet=A0&amp;row=22&amp;col=19&amp;number=&amp;sourceID=12","")</f>
        <v/>
      </c>
      <c r="T22" s="4" t="str">
        <f>HYPERLINK("http://141.218.60.56/~jnz1568/getInfo.php?workbook=04_01.xlsx&amp;sheet=A0&amp;row=22&amp;col=20&amp;number=&amp;sourceID=12","")</f>
        <v/>
      </c>
      <c r="U22" s="4" t="str">
        <f>HYPERLINK("http://141.218.60.56/~jnz1568/getInfo.php?workbook=04_01.xlsx&amp;sheet=A0&amp;row=22&amp;col=21&amp;number=&amp;sourceID=20","")</f>
        <v/>
      </c>
    </row>
    <row r="23" spans="1:21">
      <c r="A23" s="3">
        <v>4</v>
      </c>
      <c r="B23" s="3">
        <v>1</v>
      </c>
      <c r="C23" s="3">
        <v>8</v>
      </c>
      <c r="D23" s="3">
        <v>1</v>
      </c>
      <c r="E23" s="3">
        <f>((1/(INDEX(E0!J$4:J$28,C23,1)-INDEX(E0!J$4:J$28,D23,1))))*100000000</f>
        <v>0</v>
      </c>
      <c r="F23" s="4" t="str">
        <f>HYPERLINK("http://141.218.60.56/~jnz1568/getInfo.php?workbook=04_01.xlsx&amp;sheet=A0&amp;row=23&amp;col=6&amp;number=&amp;sourceID=18","")</f>
        <v/>
      </c>
      <c r="G23" s="4" t="str">
        <f>HYPERLINK("http://141.218.60.56/~jnz1568/getInfo.php?workbook=04_01.xlsx&amp;sheet=A0&amp;row=23&amp;col=7&amp;number==&amp;sourceID=11","=")</f>
        <v>=</v>
      </c>
      <c r="H23" s="4" t="str">
        <f>HYPERLINK("http://141.218.60.56/~jnz1568/getInfo.php?workbook=04_01.xlsx&amp;sheet=A0&amp;row=23&amp;col=8&amp;number=42833000000&amp;sourceID=11","42833000000")</f>
        <v>42833000000</v>
      </c>
      <c r="I23" s="4" t="str">
        <f>HYPERLINK("http://141.218.60.56/~jnz1568/getInfo.php?workbook=04_01.xlsx&amp;sheet=A0&amp;row=23&amp;col=9&amp;number=&amp;sourceID=11","")</f>
        <v/>
      </c>
      <c r="J23" s="4" t="str">
        <f>HYPERLINK("http://141.218.60.56/~jnz1568/getInfo.php?workbook=04_01.xlsx&amp;sheet=A0&amp;row=23&amp;col=10&amp;number=&amp;sourceID=11","")</f>
        <v/>
      </c>
      <c r="K23" s="4" t="str">
        <f>HYPERLINK("http://141.218.60.56/~jnz1568/getInfo.php?workbook=04_01.xlsx&amp;sheet=A0&amp;row=23&amp;col=11&amp;number=&amp;sourceID=11","")</f>
        <v/>
      </c>
      <c r="L23" s="4" t="str">
        <f>HYPERLINK("http://141.218.60.56/~jnz1568/getInfo.php?workbook=04_01.xlsx&amp;sheet=A0&amp;row=23&amp;col=12&amp;number=1151.9&amp;sourceID=11","1151.9")</f>
        <v>1151.9</v>
      </c>
      <c r="M23" s="4" t="str">
        <f>HYPERLINK("http://141.218.60.56/~jnz1568/getInfo.php?workbook=04_01.xlsx&amp;sheet=A0&amp;row=23&amp;col=13&amp;number=&amp;sourceID=11","")</f>
        <v/>
      </c>
      <c r="N23" s="4" t="str">
        <f>HYPERLINK("http://141.218.60.56/~jnz1568/getInfo.php?workbook=04_01.xlsx&amp;sheet=A0&amp;row=23&amp;col=14&amp;number=42836000000&amp;sourceID=12","42836000000")</f>
        <v>42836000000</v>
      </c>
      <c r="O23" s="4" t="str">
        <f>HYPERLINK("http://141.218.60.56/~jnz1568/getInfo.php?workbook=04_01.xlsx&amp;sheet=A0&amp;row=23&amp;col=15&amp;number=42836000000&amp;sourceID=12","42836000000")</f>
        <v>42836000000</v>
      </c>
      <c r="P23" s="4" t="str">
        <f>HYPERLINK("http://141.218.60.56/~jnz1568/getInfo.php?workbook=04_01.xlsx&amp;sheet=A0&amp;row=23&amp;col=16&amp;number=&amp;sourceID=12","")</f>
        <v/>
      </c>
      <c r="Q23" s="4" t="str">
        <f>HYPERLINK("http://141.218.60.56/~jnz1568/getInfo.php?workbook=04_01.xlsx&amp;sheet=A0&amp;row=23&amp;col=17&amp;number=&amp;sourceID=12","")</f>
        <v/>
      </c>
      <c r="R23" s="4" t="str">
        <f>HYPERLINK("http://141.218.60.56/~jnz1568/getInfo.php?workbook=04_01.xlsx&amp;sheet=A0&amp;row=23&amp;col=18&amp;number=&amp;sourceID=12","")</f>
        <v/>
      </c>
      <c r="S23" s="4" t="str">
        <f>HYPERLINK("http://141.218.60.56/~jnz1568/getInfo.php?workbook=04_01.xlsx&amp;sheet=A0&amp;row=23&amp;col=19&amp;number=1152&amp;sourceID=12","1152")</f>
        <v>1152</v>
      </c>
      <c r="T23" s="4" t="str">
        <f>HYPERLINK("http://141.218.60.56/~jnz1568/getInfo.php?workbook=04_01.xlsx&amp;sheet=A0&amp;row=23&amp;col=20&amp;number=&amp;sourceID=12","")</f>
        <v/>
      </c>
      <c r="U23" s="4" t="str">
        <f>HYPERLINK("http://141.218.60.56/~jnz1568/getInfo.php?workbook=04_01.xlsx&amp;sheet=A0&amp;row=23&amp;col=21&amp;number=42834000000&amp;sourceID=20","42834000000")</f>
        <v>42834000000</v>
      </c>
    </row>
    <row r="24" spans="1:21">
      <c r="A24" s="3">
        <v>4</v>
      </c>
      <c r="B24" s="3">
        <v>1</v>
      </c>
      <c r="C24" s="3">
        <v>8</v>
      </c>
      <c r="D24" s="3">
        <v>2</v>
      </c>
      <c r="E24" s="3">
        <f>((1/(INDEX(E0!J$4:J$28,C24,1)-INDEX(E0!J$4:J$28,D24,1))))*100000000</f>
        <v>0</v>
      </c>
      <c r="F24" s="4" t="str">
        <f>HYPERLINK("http://141.218.60.56/~jnz1568/getInfo.php?workbook=04_01.xlsx&amp;sheet=A0&amp;row=24&amp;col=6&amp;number=&amp;sourceID=18","")</f>
        <v/>
      </c>
      <c r="G24" s="4" t="str">
        <f>HYPERLINK("http://141.218.60.56/~jnz1568/getInfo.php?workbook=04_01.xlsx&amp;sheet=A0&amp;row=24&amp;col=7&amp;number==&amp;sourceID=11","=")</f>
        <v>=</v>
      </c>
      <c r="H24" s="4" t="str">
        <f>HYPERLINK("http://141.218.60.56/~jnz1568/getInfo.php?workbook=04_01.xlsx&amp;sheet=A0&amp;row=24&amp;col=8&amp;number=&amp;sourceID=11","")</f>
        <v/>
      </c>
      <c r="I24" s="4" t="str">
        <f>HYPERLINK("http://141.218.60.56/~jnz1568/getInfo.php?workbook=04_01.xlsx&amp;sheet=A0&amp;row=24&amp;col=9&amp;number=49005&amp;sourceID=11","49005")</f>
        <v>49005</v>
      </c>
      <c r="J24" s="4" t="str">
        <f>HYPERLINK("http://141.218.60.56/~jnz1568/getInfo.php?workbook=04_01.xlsx&amp;sheet=A0&amp;row=24&amp;col=10&amp;number=&amp;sourceID=11","")</f>
        <v/>
      </c>
      <c r="K24" s="4" t="str">
        <f>HYPERLINK("http://141.218.60.56/~jnz1568/getInfo.php?workbook=04_01.xlsx&amp;sheet=A0&amp;row=24&amp;col=11&amp;number=0.0035508&amp;sourceID=11","0.0035508")</f>
        <v>0.0035508</v>
      </c>
      <c r="L24" s="4" t="str">
        <f>HYPERLINK("http://141.218.60.56/~jnz1568/getInfo.php?workbook=04_01.xlsx&amp;sheet=A0&amp;row=24&amp;col=12&amp;number=&amp;sourceID=11","")</f>
        <v/>
      </c>
      <c r="M24" s="4" t="str">
        <f>HYPERLINK("http://141.218.60.56/~jnz1568/getInfo.php?workbook=04_01.xlsx&amp;sheet=A0&amp;row=24&amp;col=13&amp;number=&amp;sourceID=11","")</f>
        <v/>
      </c>
      <c r="N24" s="4" t="str">
        <f>HYPERLINK("http://141.218.60.56/~jnz1568/getInfo.php?workbook=04_01.xlsx&amp;sheet=A0&amp;row=24&amp;col=14&amp;number=49008&amp;sourceID=12","49008")</f>
        <v>49008</v>
      </c>
      <c r="O24" s="4" t="str">
        <f>HYPERLINK("http://141.218.60.56/~jnz1568/getInfo.php?workbook=04_01.xlsx&amp;sheet=A0&amp;row=24&amp;col=15&amp;number=&amp;sourceID=12","")</f>
        <v/>
      </c>
      <c r="P24" s="4" t="str">
        <f>HYPERLINK("http://141.218.60.56/~jnz1568/getInfo.php?workbook=04_01.xlsx&amp;sheet=A0&amp;row=24&amp;col=16&amp;number=49008&amp;sourceID=12","49008")</f>
        <v>49008</v>
      </c>
      <c r="Q24" s="4" t="str">
        <f>HYPERLINK("http://141.218.60.56/~jnz1568/getInfo.php?workbook=04_01.xlsx&amp;sheet=A0&amp;row=24&amp;col=17&amp;number=&amp;sourceID=12","")</f>
        <v/>
      </c>
      <c r="R24" s="4" t="str">
        <f>HYPERLINK("http://141.218.60.56/~jnz1568/getInfo.php?workbook=04_01.xlsx&amp;sheet=A0&amp;row=24&amp;col=18&amp;number=0.003551&amp;sourceID=12","0.003551")</f>
        <v>0.003551</v>
      </c>
      <c r="S24" s="4" t="str">
        <f>HYPERLINK("http://141.218.60.56/~jnz1568/getInfo.php?workbook=04_01.xlsx&amp;sheet=A0&amp;row=24&amp;col=19&amp;number=&amp;sourceID=12","")</f>
        <v/>
      </c>
      <c r="T24" s="4" t="str">
        <f>HYPERLINK("http://141.218.60.56/~jnz1568/getInfo.php?workbook=04_01.xlsx&amp;sheet=A0&amp;row=24&amp;col=20&amp;number=&amp;sourceID=12","")</f>
        <v/>
      </c>
      <c r="U24" s="4" t="str">
        <f>HYPERLINK("http://141.218.60.56/~jnz1568/getInfo.php?workbook=04_01.xlsx&amp;sheet=A0&amp;row=24&amp;col=21&amp;number=49006&amp;sourceID=20","49006")</f>
        <v>49006</v>
      </c>
    </row>
    <row r="25" spans="1:21">
      <c r="A25" s="3">
        <v>4</v>
      </c>
      <c r="B25" s="3">
        <v>1</v>
      </c>
      <c r="C25" s="3">
        <v>8</v>
      </c>
      <c r="D25" s="3">
        <v>3</v>
      </c>
      <c r="E25" s="3">
        <f>((1/(INDEX(E0!J$4:J$28,C25,1)-INDEX(E0!J$4:J$28,D25,1))))*100000000</f>
        <v>0</v>
      </c>
      <c r="F25" s="4" t="str">
        <f>HYPERLINK("http://141.218.60.56/~jnz1568/getInfo.php?workbook=04_01.xlsx&amp;sheet=A0&amp;row=25&amp;col=6&amp;number=&amp;sourceID=18","")</f>
        <v/>
      </c>
      <c r="G25" s="4" t="str">
        <f>HYPERLINK("http://141.218.60.56/~jnz1568/getInfo.php?workbook=04_01.xlsx&amp;sheet=A0&amp;row=25&amp;col=7&amp;number==&amp;sourceID=11","=")</f>
        <v>=</v>
      </c>
      <c r="H25" s="4" t="str">
        <f>HYPERLINK("http://141.218.60.56/~jnz1568/getInfo.php?workbook=04_01.xlsx&amp;sheet=A0&amp;row=25&amp;col=8&amp;number=5748300000&amp;sourceID=11","5748300000")</f>
        <v>5748300000</v>
      </c>
      <c r="I25" s="4" t="str">
        <f>HYPERLINK("http://141.218.60.56/~jnz1568/getInfo.php?workbook=04_01.xlsx&amp;sheet=A0&amp;row=25&amp;col=9&amp;number=&amp;sourceID=11","")</f>
        <v/>
      </c>
      <c r="J25" s="4" t="str">
        <f>HYPERLINK("http://141.218.60.56/~jnz1568/getInfo.php?workbook=04_01.xlsx&amp;sheet=A0&amp;row=25&amp;col=10&amp;number=&amp;sourceID=11","")</f>
        <v/>
      </c>
      <c r="K25" s="4" t="str">
        <f>HYPERLINK("http://141.218.60.56/~jnz1568/getInfo.php?workbook=04_01.xlsx&amp;sheet=A0&amp;row=25&amp;col=11&amp;number=&amp;sourceID=11","")</f>
        <v/>
      </c>
      <c r="L25" s="4" t="str">
        <f>HYPERLINK("http://141.218.60.56/~jnz1568/getInfo.php?workbook=04_01.xlsx&amp;sheet=A0&amp;row=25&amp;col=12&amp;number=3.7765&amp;sourceID=11","3.7765")</f>
        <v>3.7765</v>
      </c>
      <c r="M25" s="4" t="str">
        <f>HYPERLINK("http://141.218.60.56/~jnz1568/getInfo.php?workbook=04_01.xlsx&amp;sheet=A0&amp;row=25&amp;col=13&amp;number=&amp;sourceID=11","")</f>
        <v/>
      </c>
      <c r="N25" s="4" t="str">
        <f>HYPERLINK("http://141.218.60.56/~jnz1568/getInfo.php?workbook=04_01.xlsx&amp;sheet=A0&amp;row=25&amp;col=14&amp;number=5748700000&amp;sourceID=12","5748700000")</f>
        <v>5748700000</v>
      </c>
      <c r="O25" s="4" t="str">
        <f>HYPERLINK("http://141.218.60.56/~jnz1568/getInfo.php?workbook=04_01.xlsx&amp;sheet=A0&amp;row=25&amp;col=15&amp;number=5748700000&amp;sourceID=12","5748700000")</f>
        <v>5748700000</v>
      </c>
      <c r="P25" s="4" t="str">
        <f>HYPERLINK("http://141.218.60.56/~jnz1568/getInfo.php?workbook=04_01.xlsx&amp;sheet=A0&amp;row=25&amp;col=16&amp;number=&amp;sourceID=12","")</f>
        <v/>
      </c>
      <c r="Q25" s="4" t="str">
        <f>HYPERLINK("http://141.218.60.56/~jnz1568/getInfo.php?workbook=04_01.xlsx&amp;sheet=A0&amp;row=25&amp;col=17&amp;number=&amp;sourceID=12","")</f>
        <v/>
      </c>
      <c r="R25" s="4" t="str">
        <f>HYPERLINK("http://141.218.60.56/~jnz1568/getInfo.php?workbook=04_01.xlsx&amp;sheet=A0&amp;row=25&amp;col=18&amp;number=&amp;sourceID=12","")</f>
        <v/>
      </c>
      <c r="S25" s="4" t="str">
        <f>HYPERLINK("http://141.218.60.56/~jnz1568/getInfo.php?workbook=04_01.xlsx&amp;sheet=A0&amp;row=25&amp;col=19&amp;number=3.7768&amp;sourceID=12","3.7768")</f>
        <v>3.7768</v>
      </c>
      <c r="T25" s="4" t="str">
        <f>HYPERLINK("http://141.218.60.56/~jnz1568/getInfo.php?workbook=04_01.xlsx&amp;sheet=A0&amp;row=25&amp;col=20&amp;number=&amp;sourceID=12","")</f>
        <v/>
      </c>
      <c r="U25" s="4" t="str">
        <f>HYPERLINK("http://141.218.60.56/~jnz1568/getInfo.php?workbook=04_01.xlsx&amp;sheet=A0&amp;row=25&amp;col=21&amp;number=5748300000&amp;sourceID=20","5748300000")</f>
        <v>5748300000</v>
      </c>
    </row>
    <row r="26" spans="1:21">
      <c r="A26" s="3">
        <v>4</v>
      </c>
      <c r="B26" s="3">
        <v>1</v>
      </c>
      <c r="C26" s="3">
        <v>8</v>
      </c>
      <c r="D26" s="3">
        <v>4</v>
      </c>
      <c r="E26" s="3">
        <f>((1/(INDEX(E0!J$4:J$28,C26,1)-INDEX(E0!J$4:J$28,D26,1))))*100000000</f>
        <v>0</v>
      </c>
      <c r="F26" s="4" t="str">
        <f>HYPERLINK("http://141.218.60.56/~jnz1568/getInfo.php?workbook=04_01.xlsx&amp;sheet=A0&amp;row=26&amp;col=6&amp;number=&amp;sourceID=18","")</f>
        <v/>
      </c>
      <c r="G26" s="4" t="str">
        <f>HYPERLINK("http://141.218.60.56/~jnz1568/getInfo.php?workbook=04_01.xlsx&amp;sheet=A0&amp;row=26&amp;col=7&amp;number==&amp;sourceID=11","=")</f>
        <v>=</v>
      </c>
      <c r="H26" s="4" t="str">
        <f>HYPERLINK("http://141.218.60.56/~jnz1568/getInfo.php?workbook=04_01.xlsx&amp;sheet=A0&amp;row=26&amp;col=8&amp;number=&amp;sourceID=11","")</f>
        <v/>
      </c>
      <c r="I26" s="4" t="str">
        <f>HYPERLINK("http://141.218.60.56/~jnz1568/getInfo.php?workbook=04_01.xlsx&amp;sheet=A0&amp;row=26&amp;col=9&amp;number=48985&amp;sourceID=11","48985")</f>
        <v>48985</v>
      </c>
      <c r="J26" s="4" t="str">
        <f>HYPERLINK("http://141.218.60.56/~jnz1568/getInfo.php?workbook=04_01.xlsx&amp;sheet=A0&amp;row=26&amp;col=10&amp;number=&amp;sourceID=11","")</f>
        <v/>
      </c>
      <c r="K26" s="4" t="str">
        <f>HYPERLINK("http://141.218.60.56/~jnz1568/getInfo.php?workbook=04_01.xlsx&amp;sheet=A0&amp;row=26&amp;col=11&amp;number=0.003705&amp;sourceID=11","0.003705")</f>
        <v>0.003705</v>
      </c>
      <c r="L26" s="4" t="str">
        <f>HYPERLINK("http://141.218.60.56/~jnz1568/getInfo.php?workbook=04_01.xlsx&amp;sheet=A0&amp;row=26&amp;col=12&amp;number=&amp;sourceID=11","")</f>
        <v/>
      </c>
      <c r="M26" s="4" t="str">
        <f>HYPERLINK("http://141.218.60.56/~jnz1568/getInfo.php?workbook=04_01.xlsx&amp;sheet=A0&amp;row=26&amp;col=13&amp;number=6.8603e-05&amp;sourceID=11","6.8603e-05")</f>
        <v>6.8603e-05</v>
      </c>
      <c r="N26" s="4" t="str">
        <f>HYPERLINK("http://141.218.60.56/~jnz1568/getInfo.php?workbook=04_01.xlsx&amp;sheet=A0&amp;row=26&amp;col=14&amp;number=48988&amp;sourceID=12","48988")</f>
        <v>48988</v>
      </c>
      <c r="O26" s="4" t="str">
        <f>HYPERLINK("http://141.218.60.56/~jnz1568/getInfo.php?workbook=04_01.xlsx&amp;sheet=A0&amp;row=26&amp;col=15&amp;number=&amp;sourceID=12","")</f>
        <v/>
      </c>
      <c r="P26" s="4" t="str">
        <f>HYPERLINK("http://141.218.60.56/~jnz1568/getInfo.php?workbook=04_01.xlsx&amp;sheet=A0&amp;row=26&amp;col=16&amp;number=48988&amp;sourceID=12","48988")</f>
        <v>48988</v>
      </c>
      <c r="Q26" s="4" t="str">
        <f>HYPERLINK("http://141.218.60.56/~jnz1568/getInfo.php?workbook=04_01.xlsx&amp;sheet=A0&amp;row=26&amp;col=17&amp;number=&amp;sourceID=12","")</f>
        <v/>
      </c>
      <c r="R26" s="4" t="str">
        <f>HYPERLINK("http://141.218.60.56/~jnz1568/getInfo.php?workbook=04_01.xlsx&amp;sheet=A0&amp;row=26&amp;col=18&amp;number=0.0037052&amp;sourceID=12","0.0037052")</f>
        <v>0.0037052</v>
      </c>
      <c r="S26" s="4" t="str">
        <f>HYPERLINK("http://141.218.60.56/~jnz1568/getInfo.php?workbook=04_01.xlsx&amp;sheet=A0&amp;row=26&amp;col=19&amp;number=&amp;sourceID=12","")</f>
        <v/>
      </c>
      <c r="T26" s="4" t="str">
        <f>HYPERLINK("http://141.218.60.56/~jnz1568/getInfo.php?workbook=04_01.xlsx&amp;sheet=A0&amp;row=26&amp;col=20&amp;number=6.8607e-05&amp;sourceID=12","6.8607e-05")</f>
        <v>6.8607e-05</v>
      </c>
      <c r="U26" s="4" t="str">
        <f>HYPERLINK("http://141.218.60.56/~jnz1568/getInfo.php?workbook=04_01.xlsx&amp;sheet=A0&amp;row=26&amp;col=21&amp;number=48985&amp;sourceID=20","48985")</f>
        <v>48985</v>
      </c>
    </row>
    <row r="27" spans="1:21">
      <c r="A27" s="3">
        <v>4</v>
      </c>
      <c r="B27" s="3">
        <v>1</v>
      </c>
      <c r="C27" s="3">
        <v>8</v>
      </c>
      <c r="D27" s="3">
        <v>5</v>
      </c>
      <c r="E27" s="3">
        <f>((1/(INDEX(E0!J$4:J$28,C27,1)-INDEX(E0!J$4:J$28,D27,1))))*100000000</f>
        <v>0</v>
      </c>
      <c r="F27" s="4" t="str">
        <f>HYPERLINK("http://141.218.60.56/~jnz1568/getInfo.php?workbook=04_01.xlsx&amp;sheet=A0&amp;row=27&amp;col=6&amp;number=&amp;sourceID=18","")</f>
        <v/>
      </c>
      <c r="G27" s="4" t="str">
        <f>HYPERLINK("http://141.218.60.56/~jnz1568/getInfo.php?workbook=04_01.xlsx&amp;sheet=A0&amp;row=27&amp;col=7&amp;number==&amp;sourceID=11","=")</f>
        <v>=</v>
      </c>
      <c r="H27" s="4" t="str">
        <f>HYPERLINK("http://141.218.60.56/~jnz1568/getInfo.php?workbook=04_01.xlsx&amp;sheet=A0&amp;row=27&amp;col=8&amp;number=&amp;sourceID=11","")</f>
        <v/>
      </c>
      <c r="I27" s="4" t="str">
        <f>HYPERLINK("http://141.218.60.56/~jnz1568/getInfo.php?workbook=04_01.xlsx&amp;sheet=A0&amp;row=27&amp;col=9&amp;number=4.6e-14&amp;sourceID=11","4.6e-14")</f>
        <v>4.6e-14</v>
      </c>
      <c r="J27" s="4" t="str">
        <f>HYPERLINK("http://141.218.60.56/~jnz1568/getInfo.php?workbook=04_01.xlsx&amp;sheet=A0&amp;row=27&amp;col=10&amp;number=&amp;sourceID=11","")</f>
        <v/>
      </c>
      <c r="K27" s="4" t="str">
        <f>HYPERLINK("http://141.218.60.56/~jnz1568/getInfo.php?workbook=04_01.xlsx&amp;sheet=A0&amp;row=27&amp;col=11&amp;number=1.9146e-07&amp;sourceID=11","1.9146e-07")</f>
        <v>1.9146e-07</v>
      </c>
      <c r="L27" s="4" t="str">
        <f>HYPERLINK("http://141.218.60.56/~jnz1568/getInfo.php?workbook=04_01.xlsx&amp;sheet=A0&amp;row=27&amp;col=12&amp;number=&amp;sourceID=11","")</f>
        <v/>
      </c>
      <c r="M27" s="4" t="str">
        <f>HYPERLINK("http://141.218.60.56/~jnz1568/getInfo.php?workbook=04_01.xlsx&amp;sheet=A0&amp;row=27&amp;col=13&amp;number=&amp;sourceID=11","")</f>
        <v/>
      </c>
      <c r="N27" s="4" t="str">
        <f>HYPERLINK("http://141.218.60.56/~jnz1568/getInfo.php?workbook=04_01.xlsx&amp;sheet=A0&amp;row=27&amp;col=14&amp;number=1.9147e-07&amp;sourceID=12","1.9147e-07")</f>
        <v>1.9147e-07</v>
      </c>
      <c r="O27" s="4" t="str">
        <f>HYPERLINK("http://141.218.60.56/~jnz1568/getInfo.php?workbook=04_01.xlsx&amp;sheet=A0&amp;row=27&amp;col=15&amp;number=&amp;sourceID=12","")</f>
        <v/>
      </c>
      <c r="P27" s="4" t="str">
        <f>HYPERLINK("http://141.218.60.56/~jnz1568/getInfo.php?workbook=04_01.xlsx&amp;sheet=A0&amp;row=27&amp;col=16&amp;number=4.6e-14&amp;sourceID=12","4.6e-14")</f>
        <v>4.6e-14</v>
      </c>
      <c r="Q27" s="4" t="str">
        <f>HYPERLINK("http://141.218.60.56/~jnz1568/getInfo.php?workbook=04_01.xlsx&amp;sheet=A0&amp;row=27&amp;col=17&amp;number=&amp;sourceID=12","")</f>
        <v/>
      </c>
      <c r="R27" s="4" t="str">
        <f>HYPERLINK("http://141.218.60.56/~jnz1568/getInfo.php?workbook=04_01.xlsx&amp;sheet=A0&amp;row=27&amp;col=18&amp;number=1.9147e-07&amp;sourceID=12","1.9147e-07")</f>
        <v>1.9147e-07</v>
      </c>
      <c r="S27" s="4" t="str">
        <f>HYPERLINK("http://141.218.60.56/~jnz1568/getInfo.php?workbook=04_01.xlsx&amp;sheet=A0&amp;row=27&amp;col=19&amp;number=&amp;sourceID=12","")</f>
        <v/>
      </c>
      <c r="T27" s="4" t="str">
        <f>HYPERLINK("http://141.218.60.56/~jnz1568/getInfo.php?workbook=04_01.xlsx&amp;sheet=A0&amp;row=27&amp;col=20&amp;number=&amp;sourceID=12","")</f>
        <v/>
      </c>
      <c r="U27" s="4" t="str">
        <f>HYPERLINK("http://141.218.60.56/~jnz1568/getInfo.php?workbook=04_01.xlsx&amp;sheet=A0&amp;row=27&amp;col=21&amp;number=&amp;sourceID=20","")</f>
        <v/>
      </c>
    </row>
    <row r="28" spans="1:21">
      <c r="A28" s="3">
        <v>4</v>
      </c>
      <c r="B28" s="3">
        <v>1</v>
      </c>
      <c r="C28" s="3">
        <v>8</v>
      </c>
      <c r="D28" s="3">
        <v>6</v>
      </c>
      <c r="E28" s="3">
        <f>((1/(INDEX(E0!J$4:J$28,C28,1)-INDEX(E0!J$4:J$28,D28,1))))*100000000</f>
        <v>0</v>
      </c>
      <c r="F28" s="4" t="str">
        <f>HYPERLINK("http://141.218.60.56/~jnz1568/getInfo.php?workbook=04_01.xlsx&amp;sheet=A0&amp;row=28&amp;col=6&amp;number=&amp;sourceID=18","")</f>
        <v/>
      </c>
      <c r="G28" s="4" t="str">
        <f>HYPERLINK("http://141.218.60.56/~jnz1568/getInfo.php?workbook=04_01.xlsx&amp;sheet=A0&amp;row=28&amp;col=7&amp;number==&amp;sourceID=11","=")</f>
        <v>=</v>
      </c>
      <c r="H28" s="4" t="str">
        <f>HYPERLINK("http://141.218.60.56/~jnz1568/getInfo.php?workbook=04_01.xlsx&amp;sheet=A0&amp;row=28&amp;col=8&amp;number=0.14559&amp;sourceID=11","0.14559")</f>
        <v>0.14559</v>
      </c>
      <c r="I28" s="4" t="str">
        <f>HYPERLINK("http://141.218.60.56/~jnz1568/getInfo.php?workbook=04_01.xlsx&amp;sheet=A0&amp;row=28&amp;col=9&amp;number=&amp;sourceID=11","")</f>
        <v/>
      </c>
      <c r="J28" s="4" t="str">
        <f>HYPERLINK("http://141.218.60.56/~jnz1568/getInfo.php?workbook=04_01.xlsx&amp;sheet=A0&amp;row=28&amp;col=10&amp;number=&amp;sourceID=11","")</f>
        <v/>
      </c>
      <c r="K28" s="4" t="str">
        <f>HYPERLINK("http://141.218.60.56/~jnz1568/getInfo.php?workbook=04_01.xlsx&amp;sheet=A0&amp;row=28&amp;col=11&amp;number=&amp;sourceID=11","")</f>
        <v/>
      </c>
      <c r="L28" s="4" t="str">
        <f>HYPERLINK("http://141.218.60.56/~jnz1568/getInfo.php?workbook=04_01.xlsx&amp;sheet=A0&amp;row=28&amp;col=12&amp;number=0&amp;sourceID=11","0")</f>
        <v>0</v>
      </c>
      <c r="M28" s="4" t="str">
        <f>HYPERLINK("http://141.218.60.56/~jnz1568/getInfo.php?workbook=04_01.xlsx&amp;sheet=A0&amp;row=28&amp;col=13&amp;number=&amp;sourceID=11","")</f>
        <v/>
      </c>
      <c r="N28" s="4" t="str">
        <f>HYPERLINK("http://141.218.60.56/~jnz1568/getInfo.php?workbook=04_01.xlsx&amp;sheet=A0&amp;row=28&amp;col=14&amp;number=0.1456&amp;sourceID=12","0.1456")</f>
        <v>0.1456</v>
      </c>
      <c r="O28" s="4" t="str">
        <f>HYPERLINK("http://141.218.60.56/~jnz1568/getInfo.php?workbook=04_01.xlsx&amp;sheet=A0&amp;row=28&amp;col=15&amp;number=0.1456&amp;sourceID=12","0.1456")</f>
        <v>0.1456</v>
      </c>
      <c r="P28" s="4" t="str">
        <f>HYPERLINK("http://141.218.60.56/~jnz1568/getInfo.php?workbook=04_01.xlsx&amp;sheet=A0&amp;row=28&amp;col=16&amp;number=&amp;sourceID=12","")</f>
        <v/>
      </c>
      <c r="Q28" s="4" t="str">
        <f>HYPERLINK("http://141.218.60.56/~jnz1568/getInfo.php?workbook=04_01.xlsx&amp;sheet=A0&amp;row=28&amp;col=17&amp;number=&amp;sourceID=12","")</f>
        <v/>
      </c>
      <c r="R28" s="4" t="str">
        <f>HYPERLINK("http://141.218.60.56/~jnz1568/getInfo.php?workbook=04_01.xlsx&amp;sheet=A0&amp;row=28&amp;col=18&amp;number=&amp;sourceID=12","")</f>
        <v/>
      </c>
      <c r="S28" s="4" t="str">
        <f>HYPERLINK("http://141.218.60.56/~jnz1568/getInfo.php?workbook=04_01.xlsx&amp;sheet=A0&amp;row=28&amp;col=19&amp;number=0&amp;sourceID=12","0")</f>
        <v>0</v>
      </c>
      <c r="T28" s="4" t="str">
        <f>HYPERLINK("http://141.218.60.56/~jnz1568/getInfo.php?workbook=04_01.xlsx&amp;sheet=A0&amp;row=28&amp;col=20&amp;number=&amp;sourceID=12","")</f>
        <v/>
      </c>
      <c r="U28" s="4" t="str">
        <f>HYPERLINK("http://141.218.60.56/~jnz1568/getInfo.php?workbook=04_01.xlsx&amp;sheet=A0&amp;row=28&amp;col=21&amp;number=&amp;sourceID=20","")</f>
        <v/>
      </c>
    </row>
    <row r="29" spans="1:21">
      <c r="A29" s="3">
        <v>4</v>
      </c>
      <c r="B29" s="3">
        <v>1</v>
      </c>
      <c r="C29" s="3">
        <v>9</v>
      </c>
      <c r="D29" s="3">
        <v>1</v>
      </c>
      <c r="E29" s="3">
        <f>((1/(INDEX(E0!J$4:J$28,C29,1)-INDEX(E0!J$4:J$28,D29,1))))*100000000</f>
        <v>0</v>
      </c>
      <c r="F29" s="4" t="str">
        <f>HYPERLINK("http://141.218.60.56/~jnz1568/getInfo.php?workbook=04_01.xlsx&amp;sheet=A0&amp;row=29&amp;col=6&amp;number=&amp;sourceID=18","")</f>
        <v/>
      </c>
      <c r="G29" s="4" t="str">
        <f>HYPERLINK("http://141.218.60.56/~jnz1568/getInfo.php?workbook=04_01.xlsx&amp;sheet=A0&amp;row=29&amp;col=7&amp;number==&amp;sourceID=11","=")</f>
        <v>=</v>
      </c>
      <c r="H29" s="4" t="str">
        <f>HYPERLINK("http://141.218.60.56/~jnz1568/getInfo.php?workbook=04_01.xlsx&amp;sheet=A0&amp;row=29&amp;col=8&amp;number=&amp;sourceID=11","")</f>
        <v/>
      </c>
      <c r="I29" s="4" t="str">
        <f>HYPERLINK("http://141.218.60.56/~jnz1568/getInfo.php?workbook=04_01.xlsx&amp;sheet=A0&amp;row=29&amp;col=9&amp;number=2431500&amp;sourceID=11","2431500")</f>
        <v>2431500</v>
      </c>
      <c r="J29" s="4" t="str">
        <f>HYPERLINK("http://141.218.60.56/~jnz1568/getInfo.php?workbook=04_01.xlsx&amp;sheet=A0&amp;row=29&amp;col=10&amp;number=&amp;sourceID=11","")</f>
        <v/>
      </c>
      <c r="K29" s="4" t="str">
        <f>HYPERLINK("http://141.218.60.56/~jnz1568/getInfo.php?workbook=04_01.xlsx&amp;sheet=A0&amp;row=29&amp;col=11&amp;number=&amp;sourceID=11","")</f>
        <v/>
      </c>
      <c r="L29" s="4" t="str">
        <f>HYPERLINK("http://141.218.60.56/~jnz1568/getInfo.php?workbook=04_01.xlsx&amp;sheet=A0&amp;row=29&amp;col=12&amp;number=&amp;sourceID=11","")</f>
        <v/>
      </c>
      <c r="M29" s="4" t="str">
        <f>HYPERLINK("http://141.218.60.56/~jnz1568/getInfo.php?workbook=04_01.xlsx&amp;sheet=A0&amp;row=29&amp;col=13&amp;number=0.077527&amp;sourceID=11","0.077527")</f>
        <v>0.077527</v>
      </c>
      <c r="N29" s="4" t="str">
        <f>HYPERLINK("http://141.218.60.56/~jnz1568/getInfo.php?workbook=04_01.xlsx&amp;sheet=A0&amp;row=29&amp;col=14&amp;number=2431700&amp;sourceID=12","2431700")</f>
        <v>2431700</v>
      </c>
      <c r="O29" s="4" t="str">
        <f>HYPERLINK("http://141.218.60.56/~jnz1568/getInfo.php?workbook=04_01.xlsx&amp;sheet=A0&amp;row=29&amp;col=15&amp;number=&amp;sourceID=12","")</f>
        <v/>
      </c>
      <c r="P29" s="4" t="str">
        <f>HYPERLINK("http://141.218.60.56/~jnz1568/getInfo.php?workbook=04_01.xlsx&amp;sheet=A0&amp;row=29&amp;col=16&amp;number=2431700&amp;sourceID=12","2431700")</f>
        <v>2431700</v>
      </c>
      <c r="Q29" s="4" t="str">
        <f>HYPERLINK("http://141.218.60.56/~jnz1568/getInfo.php?workbook=04_01.xlsx&amp;sheet=A0&amp;row=29&amp;col=17&amp;number=&amp;sourceID=12","")</f>
        <v/>
      </c>
      <c r="R29" s="4" t="str">
        <f>HYPERLINK("http://141.218.60.56/~jnz1568/getInfo.php?workbook=04_01.xlsx&amp;sheet=A0&amp;row=29&amp;col=18&amp;number=&amp;sourceID=12","")</f>
        <v/>
      </c>
      <c r="S29" s="4" t="str">
        <f>HYPERLINK("http://141.218.60.56/~jnz1568/getInfo.php?workbook=04_01.xlsx&amp;sheet=A0&amp;row=29&amp;col=19&amp;number=&amp;sourceID=12","")</f>
        <v/>
      </c>
      <c r="T29" s="4" t="str">
        <f>HYPERLINK("http://141.218.60.56/~jnz1568/getInfo.php?workbook=04_01.xlsx&amp;sheet=A0&amp;row=29&amp;col=20&amp;number=0.077531&amp;sourceID=12","0.077531")</f>
        <v>0.077531</v>
      </c>
      <c r="U29" s="4" t="str">
        <f>HYPERLINK("http://141.218.60.56/~jnz1568/getInfo.php?workbook=04_01.xlsx&amp;sheet=A0&amp;row=29&amp;col=21&amp;number=&amp;sourceID=20","")</f>
        <v/>
      </c>
    </row>
    <row r="30" spans="1:21">
      <c r="A30" s="3">
        <v>4</v>
      </c>
      <c r="B30" s="3">
        <v>1</v>
      </c>
      <c r="C30" s="3">
        <v>9</v>
      </c>
      <c r="D30" s="3">
        <v>2</v>
      </c>
      <c r="E30" s="3">
        <f>((1/(INDEX(E0!J$4:J$28,C30,1)-INDEX(E0!J$4:J$28,D30,1))))*100000000</f>
        <v>0</v>
      </c>
      <c r="F30" s="4" t="str">
        <f>HYPERLINK("http://141.218.60.56/~jnz1568/getInfo.php?workbook=04_01.xlsx&amp;sheet=A0&amp;row=30&amp;col=6&amp;number=&amp;sourceID=18","")</f>
        <v/>
      </c>
      <c r="G30" s="4" t="str">
        <f>HYPERLINK("http://141.218.60.56/~jnz1568/getInfo.php?workbook=04_01.xlsx&amp;sheet=A0&amp;row=30&amp;col=7&amp;number==&amp;sourceID=11","=")</f>
        <v>=</v>
      </c>
      <c r="H30" s="4" t="str">
        <f>HYPERLINK("http://141.218.60.56/~jnz1568/getInfo.php?workbook=04_01.xlsx&amp;sheet=A0&amp;row=30&amp;col=8&amp;number=&amp;sourceID=11","")</f>
        <v/>
      </c>
      <c r="I30" s="4" t="str">
        <f>HYPERLINK("http://141.218.60.56/~jnz1568/getInfo.php?workbook=04_01.xlsx&amp;sheet=A0&amp;row=30&amp;col=9&amp;number=&amp;sourceID=11","")</f>
        <v/>
      </c>
      <c r="J30" s="4" t="str">
        <f>HYPERLINK("http://141.218.60.56/~jnz1568/getInfo.php?workbook=04_01.xlsx&amp;sheet=A0&amp;row=30&amp;col=10&amp;number=0.82574&amp;sourceID=11","0.82574")</f>
        <v>0.82574</v>
      </c>
      <c r="K30" s="4" t="str">
        <f>HYPERLINK("http://141.218.60.56/~jnz1568/getInfo.php?workbook=04_01.xlsx&amp;sheet=A0&amp;row=30&amp;col=11&amp;number=&amp;sourceID=11","")</f>
        <v/>
      </c>
      <c r="L30" s="4" t="str">
        <f>HYPERLINK("http://141.218.60.56/~jnz1568/getInfo.php?workbook=04_01.xlsx&amp;sheet=A0&amp;row=30&amp;col=12&amp;number=2.5796&amp;sourceID=11","2.5796")</f>
        <v>2.5796</v>
      </c>
      <c r="M30" s="4" t="str">
        <f>HYPERLINK("http://141.218.60.56/~jnz1568/getInfo.php?workbook=04_01.xlsx&amp;sheet=A0&amp;row=30&amp;col=13&amp;number=&amp;sourceID=11","")</f>
        <v/>
      </c>
      <c r="N30" s="4" t="str">
        <f>HYPERLINK("http://141.218.60.56/~jnz1568/getInfo.php?workbook=04_01.xlsx&amp;sheet=A0&amp;row=30&amp;col=14&amp;number=3.4055&amp;sourceID=12","3.4055")</f>
        <v>3.4055</v>
      </c>
      <c r="O30" s="4" t="str">
        <f>HYPERLINK("http://141.218.60.56/~jnz1568/getInfo.php?workbook=04_01.xlsx&amp;sheet=A0&amp;row=30&amp;col=15&amp;number=&amp;sourceID=12","")</f>
        <v/>
      </c>
      <c r="P30" s="4" t="str">
        <f>HYPERLINK("http://141.218.60.56/~jnz1568/getInfo.php?workbook=04_01.xlsx&amp;sheet=A0&amp;row=30&amp;col=16&amp;number=&amp;sourceID=12","")</f>
        <v/>
      </c>
      <c r="Q30" s="4" t="str">
        <f>HYPERLINK("http://141.218.60.56/~jnz1568/getInfo.php?workbook=04_01.xlsx&amp;sheet=A0&amp;row=30&amp;col=17&amp;number=0.82579&amp;sourceID=12","0.82579")</f>
        <v>0.82579</v>
      </c>
      <c r="R30" s="4" t="str">
        <f>HYPERLINK("http://141.218.60.56/~jnz1568/getInfo.php?workbook=04_01.xlsx&amp;sheet=A0&amp;row=30&amp;col=18&amp;number=&amp;sourceID=12","")</f>
        <v/>
      </c>
      <c r="S30" s="4" t="str">
        <f>HYPERLINK("http://141.218.60.56/~jnz1568/getInfo.php?workbook=04_01.xlsx&amp;sheet=A0&amp;row=30&amp;col=19&amp;number=2.5797&amp;sourceID=12","2.5797")</f>
        <v>2.5797</v>
      </c>
      <c r="T30" s="4" t="str">
        <f>HYPERLINK("http://141.218.60.56/~jnz1568/getInfo.php?workbook=04_01.xlsx&amp;sheet=A0&amp;row=30&amp;col=20&amp;number=&amp;sourceID=12","")</f>
        <v/>
      </c>
      <c r="U30" s="4" t="str">
        <f>HYPERLINK("http://141.218.60.56/~jnz1568/getInfo.php?workbook=04_01.xlsx&amp;sheet=A0&amp;row=30&amp;col=21&amp;number=3.4053&amp;sourceID=20","3.4053")</f>
        <v>3.4053</v>
      </c>
    </row>
    <row r="31" spans="1:21">
      <c r="A31" s="3">
        <v>4</v>
      </c>
      <c r="B31" s="3">
        <v>1</v>
      </c>
      <c r="C31" s="3">
        <v>9</v>
      </c>
      <c r="D31" s="3">
        <v>3</v>
      </c>
      <c r="E31" s="3">
        <f>((1/(INDEX(E0!J$4:J$28,C31,1)-INDEX(E0!J$4:J$28,D31,1))))*100000000</f>
        <v>0</v>
      </c>
      <c r="F31" s="4" t="str">
        <f>HYPERLINK("http://141.218.60.56/~jnz1568/getInfo.php?workbook=04_01.xlsx&amp;sheet=A0&amp;row=31&amp;col=6&amp;number=&amp;sourceID=18","")</f>
        <v/>
      </c>
      <c r="G31" s="4" t="str">
        <f>HYPERLINK("http://141.218.60.56/~jnz1568/getInfo.php?workbook=04_01.xlsx&amp;sheet=A0&amp;row=31&amp;col=7&amp;number==&amp;sourceID=11","=")</f>
        <v>=</v>
      </c>
      <c r="H31" s="4" t="str">
        <f>HYPERLINK("http://141.218.60.56/~jnz1568/getInfo.php?workbook=04_01.xlsx&amp;sheet=A0&amp;row=31&amp;col=8&amp;number=&amp;sourceID=11","")</f>
        <v/>
      </c>
      <c r="I31" s="4" t="str">
        <f>HYPERLINK("http://141.218.60.56/~jnz1568/getInfo.php?workbook=04_01.xlsx&amp;sheet=A0&amp;row=31&amp;col=9&amp;number=209250&amp;sourceID=11","209250")</f>
        <v>209250</v>
      </c>
      <c r="J31" s="4" t="str">
        <f>HYPERLINK("http://141.218.60.56/~jnz1568/getInfo.php?workbook=04_01.xlsx&amp;sheet=A0&amp;row=31&amp;col=10&amp;number=&amp;sourceID=11","")</f>
        <v/>
      </c>
      <c r="K31" s="4" t="str">
        <f>HYPERLINK("http://141.218.60.56/~jnz1568/getInfo.php?workbook=04_01.xlsx&amp;sheet=A0&amp;row=31&amp;col=11&amp;number=&amp;sourceID=11","")</f>
        <v/>
      </c>
      <c r="L31" s="4" t="str">
        <f>HYPERLINK("http://141.218.60.56/~jnz1568/getInfo.php?workbook=04_01.xlsx&amp;sheet=A0&amp;row=31&amp;col=12&amp;number=&amp;sourceID=11","")</f>
        <v/>
      </c>
      <c r="M31" s="4" t="str">
        <f>HYPERLINK("http://141.218.60.56/~jnz1568/getInfo.php?workbook=04_01.xlsx&amp;sheet=A0&amp;row=31&amp;col=13&amp;number=0.00016293&amp;sourceID=11","0.00016293")</f>
        <v>0.00016293</v>
      </c>
      <c r="N31" s="4" t="str">
        <f>HYPERLINK("http://141.218.60.56/~jnz1568/getInfo.php?workbook=04_01.xlsx&amp;sheet=A0&amp;row=31&amp;col=14&amp;number=209260&amp;sourceID=12","209260")</f>
        <v>209260</v>
      </c>
      <c r="O31" s="4" t="str">
        <f>HYPERLINK("http://141.218.60.56/~jnz1568/getInfo.php?workbook=04_01.xlsx&amp;sheet=A0&amp;row=31&amp;col=15&amp;number=&amp;sourceID=12","")</f>
        <v/>
      </c>
      <c r="P31" s="4" t="str">
        <f>HYPERLINK("http://141.218.60.56/~jnz1568/getInfo.php?workbook=04_01.xlsx&amp;sheet=A0&amp;row=31&amp;col=16&amp;number=209260&amp;sourceID=12","209260")</f>
        <v>209260</v>
      </c>
      <c r="Q31" s="4" t="str">
        <f>HYPERLINK("http://141.218.60.56/~jnz1568/getInfo.php?workbook=04_01.xlsx&amp;sheet=A0&amp;row=31&amp;col=17&amp;number=&amp;sourceID=12","")</f>
        <v/>
      </c>
      <c r="R31" s="4" t="str">
        <f>HYPERLINK("http://141.218.60.56/~jnz1568/getInfo.php?workbook=04_01.xlsx&amp;sheet=A0&amp;row=31&amp;col=18&amp;number=&amp;sourceID=12","")</f>
        <v/>
      </c>
      <c r="S31" s="4" t="str">
        <f>HYPERLINK("http://141.218.60.56/~jnz1568/getInfo.php?workbook=04_01.xlsx&amp;sheet=A0&amp;row=31&amp;col=19&amp;number=&amp;sourceID=12","")</f>
        <v/>
      </c>
      <c r="T31" s="4" t="str">
        <f>HYPERLINK("http://141.218.60.56/~jnz1568/getInfo.php?workbook=04_01.xlsx&amp;sheet=A0&amp;row=31&amp;col=20&amp;number=0.00016294&amp;sourceID=12","0.00016294")</f>
        <v>0.00016294</v>
      </c>
      <c r="U31" s="4" t="str">
        <f>HYPERLINK("http://141.218.60.56/~jnz1568/getInfo.php?workbook=04_01.xlsx&amp;sheet=A0&amp;row=31&amp;col=21&amp;number=209250&amp;sourceID=20","209250")</f>
        <v>209250</v>
      </c>
    </row>
    <row r="32" spans="1:21">
      <c r="A32" s="3">
        <v>4</v>
      </c>
      <c r="B32" s="3">
        <v>1</v>
      </c>
      <c r="C32" s="3">
        <v>9</v>
      </c>
      <c r="D32" s="3">
        <v>4</v>
      </c>
      <c r="E32" s="3">
        <f>((1/(INDEX(E0!J$4:J$28,C32,1)-INDEX(E0!J$4:J$28,D32,1))))*100000000</f>
        <v>0</v>
      </c>
      <c r="F32" s="4" t="str">
        <f>HYPERLINK("http://141.218.60.56/~jnz1568/getInfo.php?workbook=04_01.xlsx&amp;sheet=A0&amp;row=32&amp;col=6&amp;number=&amp;sourceID=18","")</f>
        <v/>
      </c>
      <c r="G32" s="4" t="str">
        <f>HYPERLINK("http://141.218.60.56/~jnz1568/getInfo.php?workbook=04_01.xlsx&amp;sheet=A0&amp;row=32&amp;col=7&amp;number==&amp;sourceID=11","=")</f>
        <v>=</v>
      </c>
      <c r="H32" s="4" t="str">
        <f>HYPERLINK("http://141.218.60.56/~jnz1568/getInfo.php?workbook=04_01.xlsx&amp;sheet=A0&amp;row=32&amp;col=8&amp;number=16558000000&amp;sourceID=11","16558000000")</f>
        <v>16558000000</v>
      </c>
      <c r="I32" s="4" t="str">
        <f>HYPERLINK("http://141.218.60.56/~jnz1568/getInfo.php?workbook=04_01.xlsx&amp;sheet=A0&amp;row=32&amp;col=9&amp;number=&amp;sourceID=11","")</f>
        <v/>
      </c>
      <c r="J32" s="4" t="str">
        <f>HYPERLINK("http://141.218.60.56/~jnz1568/getInfo.php?workbook=04_01.xlsx&amp;sheet=A0&amp;row=32&amp;col=10&amp;number=0.65964&amp;sourceID=11","0.65964")</f>
        <v>0.65964</v>
      </c>
      <c r="K32" s="4" t="str">
        <f>HYPERLINK("http://141.218.60.56/~jnz1568/getInfo.php?workbook=04_01.xlsx&amp;sheet=A0&amp;row=32&amp;col=11&amp;number=&amp;sourceID=11","")</f>
        <v/>
      </c>
      <c r="L32" s="4" t="str">
        <f>HYPERLINK("http://141.218.60.56/~jnz1568/getInfo.php?workbook=04_01.xlsx&amp;sheet=A0&amp;row=32&amp;col=12&amp;number=14.091&amp;sourceID=11","14.091")</f>
        <v>14.091</v>
      </c>
      <c r="M32" s="4" t="str">
        <f>HYPERLINK("http://141.218.60.56/~jnz1568/getInfo.php?workbook=04_01.xlsx&amp;sheet=A0&amp;row=32&amp;col=13&amp;number=&amp;sourceID=11","")</f>
        <v/>
      </c>
      <c r="N32" s="4" t="str">
        <f>HYPERLINK("http://141.218.60.56/~jnz1568/getInfo.php?workbook=04_01.xlsx&amp;sheet=A0&amp;row=32&amp;col=14&amp;number=16559000000&amp;sourceID=12","16559000000")</f>
        <v>16559000000</v>
      </c>
      <c r="O32" s="4" t="str">
        <f>HYPERLINK("http://141.218.60.56/~jnz1568/getInfo.php?workbook=04_01.xlsx&amp;sheet=A0&amp;row=32&amp;col=15&amp;number=16559000000&amp;sourceID=12","16559000000")</f>
        <v>16559000000</v>
      </c>
      <c r="P32" s="4" t="str">
        <f>HYPERLINK("http://141.218.60.56/~jnz1568/getInfo.php?workbook=04_01.xlsx&amp;sheet=A0&amp;row=32&amp;col=16&amp;number=&amp;sourceID=12","")</f>
        <v/>
      </c>
      <c r="Q32" s="4" t="str">
        <f>HYPERLINK("http://141.218.60.56/~jnz1568/getInfo.php?workbook=04_01.xlsx&amp;sheet=A0&amp;row=32&amp;col=17&amp;number=0.65968&amp;sourceID=12","0.65968")</f>
        <v>0.65968</v>
      </c>
      <c r="R32" s="4" t="str">
        <f>HYPERLINK("http://141.218.60.56/~jnz1568/getInfo.php?workbook=04_01.xlsx&amp;sheet=A0&amp;row=32&amp;col=18&amp;number=&amp;sourceID=12","")</f>
        <v/>
      </c>
      <c r="S32" s="4" t="str">
        <f>HYPERLINK("http://141.218.60.56/~jnz1568/getInfo.php?workbook=04_01.xlsx&amp;sheet=A0&amp;row=32&amp;col=19&amp;number=14.092&amp;sourceID=12","14.092")</f>
        <v>14.092</v>
      </c>
      <c r="T32" s="4" t="str">
        <f>HYPERLINK("http://141.218.60.56/~jnz1568/getInfo.php?workbook=04_01.xlsx&amp;sheet=A0&amp;row=32&amp;col=20&amp;number=&amp;sourceID=12","")</f>
        <v/>
      </c>
      <c r="U32" s="4" t="str">
        <f>HYPERLINK("http://141.218.60.56/~jnz1568/getInfo.php?workbook=04_01.xlsx&amp;sheet=A0&amp;row=32&amp;col=21&amp;number=16558000000&amp;sourceID=20","16558000000")</f>
        <v>16558000000</v>
      </c>
    </row>
    <row r="33" spans="1:21">
      <c r="A33" s="3">
        <v>4</v>
      </c>
      <c r="B33" s="3">
        <v>1</v>
      </c>
      <c r="C33" s="3">
        <v>9</v>
      </c>
      <c r="D33" s="3">
        <v>5</v>
      </c>
      <c r="E33" s="3">
        <f>((1/(INDEX(E0!J$4:J$28,C33,1)-INDEX(E0!J$4:J$28,D33,1))))*100000000</f>
        <v>0</v>
      </c>
      <c r="F33" s="4" t="str">
        <f>HYPERLINK("http://141.218.60.56/~jnz1568/getInfo.php?workbook=04_01.xlsx&amp;sheet=A0&amp;row=33&amp;col=6&amp;number=&amp;sourceID=18","")</f>
        <v/>
      </c>
      <c r="G33" s="4" t="str">
        <f>HYPERLINK("http://141.218.60.56/~jnz1568/getInfo.php?workbook=04_01.xlsx&amp;sheet=A0&amp;row=33&amp;col=7&amp;number==&amp;sourceID=11","=")</f>
        <v>=</v>
      </c>
      <c r="H33" s="4" t="str">
        <f>HYPERLINK("http://141.218.60.56/~jnz1568/getInfo.php?workbook=04_01.xlsx&amp;sheet=A0&amp;row=33&amp;col=8&amp;number=&amp;sourceID=11","")</f>
        <v/>
      </c>
      <c r="I33" s="4" t="str">
        <f>HYPERLINK("http://141.218.60.56/~jnz1568/getInfo.php?workbook=04_01.xlsx&amp;sheet=A0&amp;row=33&amp;col=9&amp;number=&amp;sourceID=11","")</f>
        <v/>
      </c>
      <c r="J33" s="4" t="str">
        <f>HYPERLINK("http://141.218.60.56/~jnz1568/getInfo.php?workbook=04_01.xlsx&amp;sheet=A0&amp;row=33&amp;col=10&amp;number=0&amp;sourceID=11","0")</f>
        <v>0</v>
      </c>
      <c r="K33" s="4" t="str">
        <f>HYPERLINK("http://141.218.60.56/~jnz1568/getInfo.php?workbook=04_01.xlsx&amp;sheet=A0&amp;row=33&amp;col=11&amp;number=&amp;sourceID=11","")</f>
        <v/>
      </c>
      <c r="L33" s="4" t="str">
        <f>HYPERLINK("http://141.218.60.56/~jnz1568/getInfo.php?workbook=04_01.xlsx&amp;sheet=A0&amp;row=33&amp;col=12&amp;number=0&amp;sourceID=11","0")</f>
        <v>0</v>
      </c>
      <c r="M33" s="4" t="str">
        <f>HYPERLINK("http://141.218.60.56/~jnz1568/getInfo.php?workbook=04_01.xlsx&amp;sheet=A0&amp;row=33&amp;col=13&amp;number=&amp;sourceID=11","")</f>
        <v/>
      </c>
      <c r="N33" s="4" t="str">
        <f>HYPERLINK("http://141.218.60.56/~jnz1568/getInfo.php?workbook=04_01.xlsx&amp;sheet=A0&amp;row=33&amp;col=14&amp;number=0&amp;sourceID=12","0")</f>
        <v>0</v>
      </c>
      <c r="O33" s="4" t="str">
        <f>HYPERLINK("http://141.218.60.56/~jnz1568/getInfo.php?workbook=04_01.xlsx&amp;sheet=A0&amp;row=33&amp;col=15&amp;number=&amp;sourceID=12","")</f>
        <v/>
      </c>
      <c r="P33" s="4" t="str">
        <f>HYPERLINK("http://141.218.60.56/~jnz1568/getInfo.php?workbook=04_01.xlsx&amp;sheet=A0&amp;row=33&amp;col=16&amp;number=&amp;sourceID=12","")</f>
        <v/>
      </c>
      <c r="Q33" s="4" t="str">
        <f>HYPERLINK("http://141.218.60.56/~jnz1568/getInfo.php?workbook=04_01.xlsx&amp;sheet=A0&amp;row=33&amp;col=17&amp;number=0&amp;sourceID=12","0")</f>
        <v>0</v>
      </c>
      <c r="R33" s="4" t="str">
        <f>HYPERLINK("http://141.218.60.56/~jnz1568/getInfo.php?workbook=04_01.xlsx&amp;sheet=A0&amp;row=33&amp;col=18&amp;number=&amp;sourceID=12","")</f>
        <v/>
      </c>
      <c r="S33" s="4" t="str">
        <f>HYPERLINK("http://141.218.60.56/~jnz1568/getInfo.php?workbook=04_01.xlsx&amp;sheet=A0&amp;row=33&amp;col=19&amp;number=0&amp;sourceID=12","0")</f>
        <v>0</v>
      </c>
      <c r="T33" s="4" t="str">
        <f>HYPERLINK("http://141.218.60.56/~jnz1568/getInfo.php?workbook=04_01.xlsx&amp;sheet=A0&amp;row=33&amp;col=20&amp;number=&amp;sourceID=12","")</f>
        <v/>
      </c>
      <c r="U33" s="4" t="str">
        <f>HYPERLINK("http://141.218.60.56/~jnz1568/getInfo.php?workbook=04_01.xlsx&amp;sheet=A0&amp;row=33&amp;col=21&amp;number=&amp;sourceID=20","")</f>
        <v/>
      </c>
    </row>
    <row r="34" spans="1:21">
      <c r="A34" s="3">
        <v>4</v>
      </c>
      <c r="B34" s="3">
        <v>1</v>
      </c>
      <c r="C34" s="3">
        <v>9</v>
      </c>
      <c r="D34" s="3">
        <v>6</v>
      </c>
      <c r="E34" s="3">
        <f>((1/(INDEX(E0!J$4:J$28,C34,1)-INDEX(E0!J$4:J$28,D34,1))))*100000000</f>
        <v>0</v>
      </c>
      <c r="F34" s="4" t="str">
        <f>HYPERLINK("http://141.218.60.56/~jnz1568/getInfo.php?workbook=04_01.xlsx&amp;sheet=A0&amp;row=34&amp;col=6&amp;number=&amp;sourceID=18","")</f>
        <v/>
      </c>
      <c r="G34" s="4" t="str">
        <f>HYPERLINK("http://141.218.60.56/~jnz1568/getInfo.php?workbook=04_01.xlsx&amp;sheet=A0&amp;row=34&amp;col=7&amp;number==&amp;sourceID=11","=")</f>
        <v>=</v>
      </c>
      <c r="H34" s="4" t="str">
        <f>HYPERLINK("http://141.218.60.56/~jnz1568/getInfo.php?workbook=04_01.xlsx&amp;sheet=A0&amp;row=34&amp;col=8&amp;number=&amp;sourceID=11","")</f>
        <v/>
      </c>
      <c r="I34" s="4" t="str">
        <f>HYPERLINK("http://141.218.60.56/~jnz1568/getInfo.php?workbook=04_01.xlsx&amp;sheet=A0&amp;row=34&amp;col=9&amp;number=1.22e-13&amp;sourceID=11","1.22e-13")</f>
        <v>1.22e-13</v>
      </c>
      <c r="J34" s="4" t="str">
        <f>HYPERLINK("http://141.218.60.56/~jnz1568/getInfo.php?workbook=04_01.xlsx&amp;sheet=A0&amp;row=34&amp;col=10&amp;number=&amp;sourceID=11","")</f>
        <v/>
      </c>
      <c r="K34" s="4" t="str">
        <f>HYPERLINK("http://141.218.60.56/~jnz1568/getInfo.php?workbook=04_01.xlsx&amp;sheet=A0&amp;row=34&amp;col=11&amp;number=&amp;sourceID=11","")</f>
        <v/>
      </c>
      <c r="L34" s="4" t="str">
        <f>HYPERLINK("http://141.218.60.56/~jnz1568/getInfo.php?workbook=04_01.xlsx&amp;sheet=A0&amp;row=34&amp;col=12&amp;number=&amp;sourceID=11","")</f>
        <v/>
      </c>
      <c r="M34" s="4" t="str">
        <f>HYPERLINK("http://141.218.60.56/~jnz1568/getInfo.php?workbook=04_01.xlsx&amp;sheet=A0&amp;row=34&amp;col=13&amp;number=0&amp;sourceID=11","0")</f>
        <v>0</v>
      </c>
      <c r="N34" s="4" t="str">
        <f>HYPERLINK("http://141.218.60.56/~jnz1568/getInfo.php?workbook=04_01.xlsx&amp;sheet=A0&amp;row=34&amp;col=14&amp;number=1.22e-13&amp;sourceID=12","1.22e-13")</f>
        <v>1.22e-13</v>
      </c>
      <c r="O34" s="4" t="str">
        <f>HYPERLINK("http://141.218.60.56/~jnz1568/getInfo.php?workbook=04_01.xlsx&amp;sheet=A0&amp;row=34&amp;col=15&amp;number=&amp;sourceID=12","")</f>
        <v/>
      </c>
      <c r="P34" s="4" t="str">
        <f>HYPERLINK("http://141.218.60.56/~jnz1568/getInfo.php?workbook=04_01.xlsx&amp;sheet=A0&amp;row=34&amp;col=16&amp;number=1.22e-13&amp;sourceID=12","1.22e-13")</f>
        <v>1.22e-13</v>
      </c>
      <c r="Q34" s="4" t="str">
        <f>HYPERLINK("http://141.218.60.56/~jnz1568/getInfo.php?workbook=04_01.xlsx&amp;sheet=A0&amp;row=34&amp;col=17&amp;number=&amp;sourceID=12","")</f>
        <v/>
      </c>
      <c r="R34" s="4" t="str">
        <f>HYPERLINK("http://141.218.60.56/~jnz1568/getInfo.php?workbook=04_01.xlsx&amp;sheet=A0&amp;row=34&amp;col=18&amp;number=&amp;sourceID=12","")</f>
        <v/>
      </c>
      <c r="S34" s="4" t="str">
        <f>HYPERLINK("http://141.218.60.56/~jnz1568/getInfo.php?workbook=04_01.xlsx&amp;sheet=A0&amp;row=34&amp;col=19&amp;number=&amp;sourceID=12","")</f>
        <v/>
      </c>
      <c r="T34" s="4" t="str">
        <f>HYPERLINK("http://141.218.60.56/~jnz1568/getInfo.php?workbook=04_01.xlsx&amp;sheet=A0&amp;row=34&amp;col=20&amp;number=0&amp;sourceID=12","0")</f>
        <v>0</v>
      </c>
      <c r="U34" s="4" t="str">
        <f>HYPERLINK("http://141.218.60.56/~jnz1568/getInfo.php?workbook=04_01.xlsx&amp;sheet=A0&amp;row=34&amp;col=21&amp;number=&amp;sourceID=20","")</f>
        <v/>
      </c>
    </row>
    <row r="35" spans="1:21">
      <c r="A35" s="3">
        <v>4</v>
      </c>
      <c r="B35" s="3">
        <v>1</v>
      </c>
      <c r="C35" s="3">
        <v>9</v>
      </c>
      <c r="D35" s="3">
        <v>7</v>
      </c>
      <c r="E35" s="3">
        <f>((1/(INDEX(E0!J$4:J$28,C35,1)-INDEX(E0!J$4:J$28,D35,1))))*100000000</f>
        <v>0</v>
      </c>
      <c r="F35" s="4" t="str">
        <f>HYPERLINK("http://141.218.60.56/~jnz1568/getInfo.php?workbook=04_01.xlsx&amp;sheet=A0&amp;row=35&amp;col=6&amp;number=&amp;sourceID=18","")</f>
        <v/>
      </c>
      <c r="G35" s="4" t="str">
        <f>HYPERLINK("http://141.218.60.56/~jnz1568/getInfo.php?workbook=04_01.xlsx&amp;sheet=A0&amp;row=35&amp;col=7&amp;number==&amp;sourceID=11","=")</f>
        <v>=</v>
      </c>
      <c r="H35" s="4" t="str">
        <f>HYPERLINK("http://141.218.60.56/~jnz1568/getInfo.php?workbook=04_01.xlsx&amp;sheet=A0&amp;row=35&amp;col=8&amp;number=&amp;sourceID=11","")</f>
        <v/>
      </c>
      <c r="I35" s="4" t="str">
        <f>HYPERLINK("http://141.218.60.56/~jnz1568/getInfo.php?workbook=04_01.xlsx&amp;sheet=A0&amp;row=35&amp;col=9&amp;number=0&amp;sourceID=11","0")</f>
        <v>0</v>
      </c>
      <c r="J35" s="4" t="str">
        <f>HYPERLINK("http://141.218.60.56/~jnz1568/getInfo.php?workbook=04_01.xlsx&amp;sheet=A0&amp;row=35&amp;col=10&amp;number=&amp;sourceID=11","")</f>
        <v/>
      </c>
      <c r="K35" s="4" t="str">
        <f>HYPERLINK("http://141.218.60.56/~jnz1568/getInfo.php?workbook=04_01.xlsx&amp;sheet=A0&amp;row=35&amp;col=11&amp;number=8.4991e-09&amp;sourceID=11","8.4991e-09")</f>
        <v>8.4991e-09</v>
      </c>
      <c r="L35" s="4" t="str">
        <f>HYPERLINK("http://141.218.60.56/~jnz1568/getInfo.php?workbook=04_01.xlsx&amp;sheet=A0&amp;row=35&amp;col=12&amp;number=&amp;sourceID=11","")</f>
        <v/>
      </c>
      <c r="M35" s="4" t="str">
        <f>HYPERLINK("http://141.218.60.56/~jnz1568/getInfo.php?workbook=04_01.xlsx&amp;sheet=A0&amp;row=35&amp;col=13&amp;number=0&amp;sourceID=11","0")</f>
        <v>0</v>
      </c>
      <c r="N35" s="4" t="str">
        <f>HYPERLINK("http://141.218.60.56/~jnz1568/getInfo.php?workbook=04_01.xlsx&amp;sheet=A0&amp;row=35&amp;col=14&amp;number=8.4997e-09&amp;sourceID=12","8.4997e-09")</f>
        <v>8.4997e-09</v>
      </c>
      <c r="O35" s="4" t="str">
        <f>HYPERLINK("http://141.218.60.56/~jnz1568/getInfo.php?workbook=04_01.xlsx&amp;sheet=A0&amp;row=35&amp;col=15&amp;number=&amp;sourceID=12","")</f>
        <v/>
      </c>
      <c r="P35" s="4" t="str">
        <f>HYPERLINK("http://141.218.60.56/~jnz1568/getInfo.php?workbook=04_01.xlsx&amp;sheet=A0&amp;row=35&amp;col=16&amp;number=0&amp;sourceID=12","0")</f>
        <v>0</v>
      </c>
      <c r="Q35" s="4" t="str">
        <f>HYPERLINK("http://141.218.60.56/~jnz1568/getInfo.php?workbook=04_01.xlsx&amp;sheet=A0&amp;row=35&amp;col=17&amp;number=&amp;sourceID=12","")</f>
        <v/>
      </c>
      <c r="R35" s="4" t="str">
        <f>HYPERLINK("http://141.218.60.56/~jnz1568/getInfo.php?workbook=04_01.xlsx&amp;sheet=A0&amp;row=35&amp;col=18&amp;number=8.4997e-09&amp;sourceID=12","8.4997e-09")</f>
        <v>8.4997e-09</v>
      </c>
      <c r="S35" s="4" t="str">
        <f>HYPERLINK("http://141.218.60.56/~jnz1568/getInfo.php?workbook=04_01.xlsx&amp;sheet=A0&amp;row=35&amp;col=19&amp;number=&amp;sourceID=12","")</f>
        <v/>
      </c>
      <c r="T35" s="4" t="str">
        <f>HYPERLINK("http://141.218.60.56/~jnz1568/getInfo.php?workbook=04_01.xlsx&amp;sheet=A0&amp;row=35&amp;col=20&amp;number=0&amp;sourceID=12","0")</f>
        <v>0</v>
      </c>
      <c r="U35" s="4" t="str">
        <f>HYPERLINK("http://141.218.60.56/~jnz1568/getInfo.php?workbook=04_01.xlsx&amp;sheet=A0&amp;row=35&amp;col=21&amp;number=&amp;sourceID=20","")</f>
        <v/>
      </c>
    </row>
    <row r="36" spans="1:21">
      <c r="A36" s="3">
        <v>4</v>
      </c>
      <c r="B36" s="3">
        <v>1</v>
      </c>
      <c r="C36" s="3">
        <v>9</v>
      </c>
      <c r="D36" s="3">
        <v>8</v>
      </c>
      <c r="E36" s="3">
        <f>((1/(INDEX(E0!J$4:J$28,C36,1)-INDEX(E0!J$4:J$28,D36,1))))*100000000</f>
        <v>0</v>
      </c>
      <c r="F36" s="4" t="str">
        <f>HYPERLINK("http://141.218.60.56/~jnz1568/getInfo.php?workbook=04_01.xlsx&amp;sheet=A0&amp;row=36&amp;col=6&amp;number=&amp;sourceID=18","")</f>
        <v/>
      </c>
      <c r="G36" s="4" t="str">
        <f>HYPERLINK("http://141.218.60.56/~jnz1568/getInfo.php?workbook=04_01.xlsx&amp;sheet=A0&amp;row=36&amp;col=7&amp;number==&amp;sourceID=11","=")</f>
        <v>=</v>
      </c>
      <c r="H36" s="4" t="str">
        <f>HYPERLINK("http://141.218.60.56/~jnz1568/getInfo.php?workbook=04_01.xlsx&amp;sheet=A0&amp;row=36&amp;col=8&amp;number=0.0040398&amp;sourceID=11","0.0040398")</f>
        <v>0.0040398</v>
      </c>
      <c r="I36" s="4" t="str">
        <f>HYPERLINK("http://141.218.60.56/~jnz1568/getInfo.php?workbook=04_01.xlsx&amp;sheet=A0&amp;row=36&amp;col=9&amp;number=&amp;sourceID=11","")</f>
        <v/>
      </c>
      <c r="J36" s="4" t="str">
        <f>HYPERLINK("http://141.218.60.56/~jnz1568/getInfo.php?workbook=04_01.xlsx&amp;sheet=A0&amp;row=36&amp;col=10&amp;number=0&amp;sourceID=11","0")</f>
        <v>0</v>
      </c>
      <c r="K36" s="4" t="str">
        <f>HYPERLINK("http://141.218.60.56/~jnz1568/getInfo.php?workbook=04_01.xlsx&amp;sheet=A0&amp;row=36&amp;col=11&amp;number=&amp;sourceID=11","")</f>
        <v/>
      </c>
      <c r="L36" s="4" t="str">
        <f>HYPERLINK("http://141.218.60.56/~jnz1568/getInfo.php?workbook=04_01.xlsx&amp;sheet=A0&amp;row=36&amp;col=12&amp;number=0&amp;sourceID=11","0")</f>
        <v>0</v>
      </c>
      <c r="M36" s="4" t="str">
        <f>HYPERLINK("http://141.218.60.56/~jnz1568/getInfo.php?workbook=04_01.xlsx&amp;sheet=A0&amp;row=36&amp;col=13&amp;number=&amp;sourceID=11","")</f>
        <v/>
      </c>
      <c r="N36" s="4" t="str">
        <f>HYPERLINK("http://141.218.60.56/~jnz1568/getInfo.php?workbook=04_01.xlsx&amp;sheet=A0&amp;row=36&amp;col=14&amp;number=0.0040401&amp;sourceID=12","0.0040401")</f>
        <v>0.0040401</v>
      </c>
      <c r="O36" s="4" t="str">
        <f>HYPERLINK("http://141.218.60.56/~jnz1568/getInfo.php?workbook=04_01.xlsx&amp;sheet=A0&amp;row=36&amp;col=15&amp;number=0.0040401&amp;sourceID=12","0.0040401")</f>
        <v>0.0040401</v>
      </c>
      <c r="P36" s="4" t="str">
        <f>HYPERLINK("http://141.218.60.56/~jnz1568/getInfo.php?workbook=04_01.xlsx&amp;sheet=A0&amp;row=36&amp;col=16&amp;number=&amp;sourceID=12","")</f>
        <v/>
      </c>
      <c r="Q36" s="4" t="str">
        <f>HYPERLINK("http://141.218.60.56/~jnz1568/getInfo.php?workbook=04_01.xlsx&amp;sheet=A0&amp;row=36&amp;col=17&amp;number=0&amp;sourceID=12","0")</f>
        <v>0</v>
      </c>
      <c r="R36" s="4" t="str">
        <f>HYPERLINK("http://141.218.60.56/~jnz1568/getInfo.php?workbook=04_01.xlsx&amp;sheet=A0&amp;row=36&amp;col=18&amp;number=&amp;sourceID=12","")</f>
        <v/>
      </c>
      <c r="S36" s="4" t="str">
        <f>HYPERLINK("http://141.218.60.56/~jnz1568/getInfo.php?workbook=04_01.xlsx&amp;sheet=A0&amp;row=36&amp;col=19&amp;number=0&amp;sourceID=12","0")</f>
        <v>0</v>
      </c>
      <c r="T36" s="4" t="str">
        <f>HYPERLINK("http://141.218.60.56/~jnz1568/getInfo.php?workbook=04_01.xlsx&amp;sheet=A0&amp;row=36&amp;col=20&amp;number=&amp;sourceID=12","")</f>
        <v/>
      </c>
      <c r="U36" s="4" t="str">
        <f>HYPERLINK("http://141.218.60.56/~jnz1568/getInfo.php?workbook=04_01.xlsx&amp;sheet=A0&amp;row=36&amp;col=21&amp;number=&amp;sourceID=20","")</f>
        <v/>
      </c>
    </row>
    <row r="37" spans="1:21">
      <c r="A37" s="3">
        <v>4</v>
      </c>
      <c r="B37" s="3">
        <v>1</v>
      </c>
      <c r="C37" s="3">
        <v>10</v>
      </c>
      <c r="D37" s="3">
        <v>1</v>
      </c>
      <c r="E37" s="3">
        <f>((1/(INDEX(E0!J$4:J$28,C37,1)-INDEX(E0!J$4:J$28,D37,1))))*100000000</f>
        <v>0</v>
      </c>
      <c r="F37" s="4" t="str">
        <f>HYPERLINK("http://141.218.60.56/~jnz1568/getInfo.php?workbook=04_01.xlsx&amp;sheet=A0&amp;row=37&amp;col=6&amp;number=&amp;sourceID=18","")</f>
        <v/>
      </c>
      <c r="G37" s="4" t="str">
        <f>HYPERLINK("http://141.218.60.56/~jnz1568/getInfo.php?workbook=04_01.xlsx&amp;sheet=A0&amp;row=37&amp;col=7&amp;number==&amp;sourceID=11","=")</f>
        <v>=</v>
      </c>
      <c r="H37" s="4" t="str">
        <f>HYPERLINK("http://141.218.60.56/~jnz1568/getInfo.php?workbook=04_01.xlsx&amp;sheet=A0&amp;row=37&amp;col=8&amp;number=17460000000&amp;sourceID=11","17460000000")</f>
        <v>17460000000</v>
      </c>
      <c r="I37" s="4" t="str">
        <f>HYPERLINK("http://141.218.60.56/~jnz1568/getInfo.php?workbook=04_01.xlsx&amp;sheet=A0&amp;row=37&amp;col=9&amp;number=&amp;sourceID=11","")</f>
        <v/>
      </c>
      <c r="J37" s="4" t="str">
        <f>HYPERLINK("http://141.218.60.56/~jnz1568/getInfo.php?workbook=04_01.xlsx&amp;sheet=A0&amp;row=37&amp;col=10&amp;number=&amp;sourceID=11","")</f>
        <v/>
      </c>
      <c r="K37" s="4" t="str">
        <f>HYPERLINK("http://141.218.60.56/~jnz1568/getInfo.php?workbook=04_01.xlsx&amp;sheet=A0&amp;row=37&amp;col=11&amp;number=&amp;sourceID=11","")</f>
        <v/>
      </c>
      <c r="L37" s="4" t="str">
        <f>HYPERLINK("http://141.218.60.56/~jnz1568/getInfo.php?workbook=04_01.xlsx&amp;sheet=A0&amp;row=37&amp;col=12&amp;number=&amp;sourceID=11","")</f>
        <v/>
      </c>
      <c r="M37" s="4" t="str">
        <f>HYPERLINK("http://141.218.60.56/~jnz1568/getInfo.php?workbook=04_01.xlsx&amp;sheet=A0&amp;row=37&amp;col=13&amp;number=&amp;sourceID=11","")</f>
        <v/>
      </c>
      <c r="N37" s="4" t="str">
        <f>HYPERLINK("http://141.218.60.56/~jnz1568/getInfo.php?workbook=04_01.xlsx&amp;sheet=A0&amp;row=37&amp;col=14&amp;number=17461000000&amp;sourceID=12","17461000000")</f>
        <v>17461000000</v>
      </c>
      <c r="O37" s="4" t="str">
        <f>HYPERLINK("http://141.218.60.56/~jnz1568/getInfo.php?workbook=04_01.xlsx&amp;sheet=A0&amp;row=37&amp;col=15&amp;number=17461000000&amp;sourceID=12","17461000000")</f>
        <v>17461000000</v>
      </c>
      <c r="P37" s="4" t="str">
        <f>HYPERLINK("http://141.218.60.56/~jnz1568/getInfo.php?workbook=04_01.xlsx&amp;sheet=A0&amp;row=37&amp;col=16&amp;number=&amp;sourceID=12","")</f>
        <v/>
      </c>
      <c r="Q37" s="4" t="str">
        <f>HYPERLINK("http://141.218.60.56/~jnz1568/getInfo.php?workbook=04_01.xlsx&amp;sheet=A0&amp;row=37&amp;col=17&amp;number=&amp;sourceID=12","")</f>
        <v/>
      </c>
      <c r="R37" s="4" t="str">
        <f>HYPERLINK("http://141.218.60.56/~jnz1568/getInfo.php?workbook=04_01.xlsx&amp;sheet=A0&amp;row=37&amp;col=18&amp;number=&amp;sourceID=12","")</f>
        <v/>
      </c>
      <c r="S37" s="4" t="str">
        <f>HYPERLINK("http://141.218.60.56/~jnz1568/getInfo.php?workbook=04_01.xlsx&amp;sheet=A0&amp;row=37&amp;col=19&amp;number=&amp;sourceID=12","")</f>
        <v/>
      </c>
      <c r="T37" s="4" t="str">
        <f>HYPERLINK("http://141.218.60.56/~jnz1568/getInfo.php?workbook=04_01.xlsx&amp;sheet=A0&amp;row=37&amp;col=20&amp;number=&amp;sourceID=12","")</f>
        <v/>
      </c>
      <c r="U37" s="4" t="str">
        <f>HYPERLINK("http://141.218.60.56/~jnz1568/getInfo.php?workbook=04_01.xlsx&amp;sheet=A0&amp;row=37&amp;col=21&amp;number=17460000000&amp;sourceID=20","17460000000")</f>
        <v>17460000000</v>
      </c>
    </row>
    <row r="38" spans="1:21">
      <c r="A38" s="3">
        <v>4</v>
      </c>
      <c r="B38" s="3">
        <v>1</v>
      </c>
      <c r="C38" s="3">
        <v>10</v>
      </c>
      <c r="D38" s="3">
        <v>2</v>
      </c>
      <c r="E38" s="3">
        <f>((1/(INDEX(E0!J$4:J$28,C38,1)-INDEX(E0!J$4:J$28,D38,1))))*100000000</f>
        <v>0</v>
      </c>
      <c r="F38" s="4" t="str">
        <f>HYPERLINK("http://141.218.60.56/~jnz1568/getInfo.php?workbook=04_01.xlsx&amp;sheet=A0&amp;row=38&amp;col=6&amp;number=&amp;sourceID=18","")</f>
        <v/>
      </c>
      <c r="G38" s="4" t="str">
        <f>HYPERLINK("http://141.218.60.56/~jnz1568/getInfo.php?workbook=04_01.xlsx&amp;sheet=A0&amp;row=38&amp;col=7&amp;number==&amp;sourceID=11","=")</f>
        <v>=</v>
      </c>
      <c r="H38" s="4" t="str">
        <f>HYPERLINK("http://141.218.60.56/~jnz1568/getInfo.php?workbook=04_01.xlsx&amp;sheet=A0&amp;row=38&amp;col=8&amp;number=&amp;sourceID=11","")</f>
        <v/>
      </c>
      <c r="I38" s="4" t="str">
        <f>HYPERLINK("http://141.218.60.56/~jnz1568/getInfo.php?workbook=04_01.xlsx&amp;sheet=A0&amp;row=38&amp;col=9&amp;number=&amp;sourceID=11","")</f>
        <v/>
      </c>
      <c r="J38" s="4" t="str">
        <f>HYPERLINK("http://141.218.60.56/~jnz1568/getInfo.php?workbook=04_01.xlsx&amp;sheet=A0&amp;row=38&amp;col=10&amp;number=&amp;sourceID=11","")</f>
        <v/>
      </c>
      <c r="K38" s="4" t="str">
        <f>HYPERLINK("http://141.218.60.56/~jnz1568/getInfo.php?workbook=04_01.xlsx&amp;sheet=A0&amp;row=38&amp;col=11&amp;number=0.00040435&amp;sourceID=11","0.00040435")</f>
        <v>0.00040435</v>
      </c>
      <c r="L38" s="4" t="str">
        <f>HYPERLINK("http://141.218.60.56/~jnz1568/getInfo.php?workbook=04_01.xlsx&amp;sheet=A0&amp;row=38&amp;col=12&amp;number=&amp;sourceID=11","")</f>
        <v/>
      </c>
      <c r="M38" s="4" t="str">
        <f>HYPERLINK("http://141.218.60.56/~jnz1568/getInfo.php?workbook=04_01.xlsx&amp;sheet=A0&amp;row=38&amp;col=13&amp;number=&amp;sourceID=11","")</f>
        <v/>
      </c>
      <c r="N38" s="4" t="str">
        <f>HYPERLINK("http://141.218.60.56/~jnz1568/getInfo.php?workbook=04_01.xlsx&amp;sheet=A0&amp;row=38&amp;col=14&amp;number=0.00040435&amp;sourceID=12","0.00040435")</f>
        <v>0.00040435</v>
      </c>
      <c r="O38" s="4" t="str">
        <f>HYPERLINK("http://141.218.60.56/~jnz1568/getInfo.php?workbook=04_01.xlsx&amp;sheet=A0&amp;row=38&amp;col=15&amp;number=&amp;sourceID=12","")</f>
        <v/>
      </c>
      <c r="P38" s="4" t="str">
        <f>HYPERLINK("http://141.218.60.56/~jnz1568/getInfo.php?workbook=04_01.xlsx&amp;sheet=A0&amp;row=38&amp;col=16&amp;number=&amp;sourceID=12","")</f>
        <v/>
      </c>
      <c r="Q38" s="4" t="str">
        <f>HYPERLINK("http://141.218.60.56/~jnz1568/getInfo.php?workbook=04_01.xlsx&amp;sheet=A0&amp;row=38&amp;col=17&amp;number=&amp;sourceID=12","")</f>
        <v/>
      </c>
      <c r="R38" s="4" t="str">
        <f>HYPERLINK("http://141.218.60.56/~jnz1568/getInfo.php?workbook=04_01.xlsx&amp;sheet=A0&amp;row=38&amp;col=18&amp;number=0.00040435&amp;sourceID=12","0.00040435")</f>
        <v>0.00040435</v>
      </c>
      <c r="S38" s="4" t="str">
        <f>HYPERLINK("http://141.218.60.56/~jnz1568/getInfo.php?workbook=04_01.xlsx&amp;sheet=A0&amp;row=38&amp;col=19&amp;number=&amp;sourceID=12","")</f>
        <v/>
      </c>
      <c r="T38" s="4" t="str">
        <f>HYPERLINK("http://141.218.60.56/~jnz1568/getInfo.php?workbook=04_01.xlsx&amp;sheet=A0&amp;row=38&amp;col=20&amp;number=&amp;sourceID=12","")</f>
        <v/>
      </c>
      <c r="U38" s="4" t="str">
        <f>HYPERLINK("http://141.218.60.56/~jnz1568/getInfo.php?workbook=04_01.xlsx&amp;sheet=A0&amp;row=38&amp;col=21&amp;number=&amp;sourceID=20","")</f>
        <v/>
      </c>
    </row>
    <row r="39" spans="1:21">
      <c r="A39" s="3">
        <v>4</v>
      </c>
      <c r="B39" s="3">
        <v>1</v>
      </c>
      <c r="C39" s="3">
        <v>10</v>
      </c>
      <c r="D39" s="3">
        <v>3</v>
      </c>
      <c r="E39" s="3">
        <f>((1/(INDEX(E0!J$4:J$28,C39,1)-INDEX(E0!J$4:J$28,D39,1))))*100000000</f>
        <v>0</v>
      </c>
      <c r="F39" s="4" t="str">
        <f>HYPERLINK("http://141.218.60.56/~jnz1568/getInfo.php?workbook=04_01.xlsx&amp;sheet=A0&amp;row=39&amp;col=6&amp;number=&amp;sourceID=18","")</f>
        <v/>
      </c>
      <c r="G39" s="4" t="str">
        <f>HYPERLINK("http://141.218.60.56/~jnz1568/getInfo.php?workbook=04_01.xlsx&amp;sheet=A0&amp;row=39&amp;col=7&amp;number==&amp;sourceID=11","=")</f>
        <v>=</v>
      </c>
      <c r="H39" s="4" t="str">
        <f>HYPERLINK("http://141.218.60.56/~jnz1568/getInfo.php?workbook=04_01.xlsx&amp;sheet=A0&amp;row=39&amp;col=8&amp;number=2477400000&amp;sourceID=11","2477400000")</f>
        <v>2477400000</v>
      </c>
      <c r="I39" s="4" t="str">
        <f>HYPERLINK("http://141.218.60.56/~jnz1568/getInfo.php?workbook=04_01.xlsx&amp;sheet=A0&amp;row=39&amp;col=9&amp;number=&amp;sourceID=11","")</f>
        <v/>
      </c>
      <c r="J39" s="4" t="str">
        <f>HYPERLINK("http://141.218.60.56/~jnz1568/getInfo.php?workbook=04_01.xlsx&amp;sheet=A0&amp;row=39&amp;col=10&amp;number=&amp;sourceID=11","")</f>
        <v/>
      </c>
      <c r="K39" s="4" t="str">
        <f>HYPERLINK("http://141.218.60.56/~jnz1568/getInfo.php?workbook=04_01.xlsx&amp;sheet=A0&amp;row=39&amp;col=11&amp;number=&amp;sourceID=11","")</f>
        <v/>
      </c>
      <c r="L39" s="4" t="str">
        <f>HYPERLINK("http://141.218.60.56/~jnz1568/getInfo.php?workbook=04_01.xlsx&amp;sheet=A0&amp;row=39&amp;col=12&amp;number=&amp;sourceID=11","")</f>
        <v/>
      </c>
      <c r="M39" s="4" t="str">
        <f>HYPERLINK("http://141.218.60.56/~jnz1568/getInfo.php?workbook=04_01.xlsx&amp;sheet=A0&amp;row=39&amp;col=13&amp;number=&amp;sourceID=11","")</f>
        <v/>
      </c>
      <c r="N39" s="4" t="str">
        <f>HYPERLINK("http://141.218.60.56/~jnz1568/getInfo.php?workbook=04_01.xlsx&amp;sheet=A0&amp;row=39&amp;col=14&amp;number=2477500000&amp;sourceID=12","2477500000")</f>
        <v>2477500000</v>
      </c>
      <c r="O39" s="4" t="str">
        <f>HYPERLINK("http://141.218.60.56/~jnz1568/getInfo.php?workbook=04_01.xlsx&amp;sheet=A0&amp;row=39&amp;col=15&amp;number=2477500000&amp;sourceID=12","2477500000")</f>
        <v>2477500000</v>
      </c>
      <c r="P39" s="4" t="str">
        <f>HYPERLINK("http://141.218.60.56/~jnz1568/getInfo.php?workbook=04_01.xlsx&amp;sheet=A0&amp;row=39&amp;col=16&amp;number=&amp;sourceID=12","")</f>
        <v/>
      </c>
      <c r="Q39" s="4" t="str">
        <f>HYPERLINK("http://141.218.60.56/~jnz1568/getInfo.php?workbook=04_01.xlsx&amp;sheet=A0&amp;row=39&amp;col=17&amp;number=&amp;sourceID=12","")</f>
        <v/>
      </c>
      <c r="R39" s="4" t="str">
        <f>HYPERLINK("http://141.218.60.56/~jnz1568/getInfo.php?workbook=04_01.xlsx&amp;sheet=A0&amp;row=39&amp;col=18&amp;number=&amp;sourceID=12","")</f>
        <v/>
      </c>
      <c r="S39" s="4" t="str">
        <f>HYPERLINK("http://141.218.60.56/~jnz1568/getInfo.php?workbook=04_01.xlsx&amp;sheet=A0&amp;row=39&amp;col=19&amp;number=&amp;sourceID=12","")</f>
        <v/>
      </c>
      <c r="T39" s="4" t="str">
        <f>HYPERLINK("http://141.218.60.56/~jnz1568/getInfo.php?workbook=04_01.xlsx&amp;sheet=A0&amp;row=39&amp;col=20&amp;number=&amp;sourceID=12","")</f>
        <v/>
      </c>
      <c r="U39" s="4" t="str">
        <f>HYPERLINK("http://141.218.60.56/~jnz1568/getInfo.php?workbook=04_01.xlsx&amp;sheet=A0&amp;row=39&amp;col=21&amp;number=&amp;sourceID=20","")</f>
        <v/>
      </c>
    </row>
    <row r="40" spans="1:21">
      <c r="A40" s="3">
        <v>4</v>
      </c>
      <c r="B40" s="3">
        <v>1</v>
      </c>
      <c r="C40" s="3">
        <v>10</v>
      </c>
      <c r="D40" s="3">
        <v>4</v>
      </c>
      <c r="E40" s="3">
        <f>((1/(INDEX(E0!J$4:J$28,C40,1)-INDEX(E0!J$4:J$28,D40,1))))*100000000</f>
        <v>0</v>
      </c>
      <c r="F40" s="4" t="str">
        <f>HYPERLINK("http://141.218.60.56/~jnz1568/getInfo.php?workbook=04_01.xlsx&amp;sheet=A0&amp;row=40&amp;col=6&amp;number=&amp;sourceID=18","")</f>
        <v/>
      </c>
      <c r="G40" s="4" t="str">
        <f>HYPERLINK("http://141.218.60.56/~jnz1568/getInfo.php?workbook=04_01.xlsx&amp;sheet=A0&amp;row=40&amp;col=7&amp;number==&amp;sourceID=11","=")</f>
        <v>=</v>
      </c>
      <c r="H40" s="4" t="str">
        <f>HYPERLINK("http://141.218.60.56/~jnz1568/getInfo.php?workbook=04_01.xlsx&amp;sheet=A0&amp;row=40&amp;col=8&amp;number=&amp;sourceID=11","")</f>
        <v/>
      </c>
      <c r="I40" s="4" t="str">
        <f>HYPERLINK("http://141.218.60.56/~jnz1568/getInfo.php?workbook=04_01.xlsx&amp;sheet=A0&amp;row=40&amp;col=9&amp;number=42181&amp;sourceID=11","42181")</f>
        <v>42181</v>
      </c>
      <c r="J40" s="4" t="str">
        <f>HYPERLINK("http://141.218.60.56/~jnz1568/getInfo.php?workbook=04_01.xlsx&amp;sheet=A0&amp;row=40&amp;col=10&amp;number=&amp;sourceID=11","")</f>
        <v/>
      </c>
      <c r="K40" s="4" t="str">
        <f>HYPERLINK("http://141.218.60.56/~jnz1568/getInfo.php?workbook=04_01.xlsx&amp;sheet=A0&amp;row=40&amp;col=11&amp;number=0.0078933&amp;sourceID=11","0.0078933")</f>
        <v>0.0078933</v>
      </c>
      <c r="L40" s="4" t="str">
        <f>HYPERLINK("http://141.218.60.56/~jnz1568/getInfo.php?workbook=04_01.xlsx&amp;sheet=A0&amp;row=40&amp;col=12&amp;number=&amp;sourceID=11","")</f>
        <v/>
      </c>
      <c r="M40" s="4" t="str">
        <f>HYPERLINK("http://141.218.60.56/~jnz1568/getInfo.php?workbook=04_01.xlsx&amp;sheet=A0&amp;row=40&amp;col=13&amp;number=&amp;sourceID=11","")</f>
        <v/>
      </c>
      <c r="N40" s="4" t="str">
        <f>HYPERLINK("http://141.218.60.56/~jnz1568/getInfo.php?workbook=04_01.xlsx&amp;sheet=A0&amp;row=40&amp;col=14&amp;number=42184&amp;sourceID=12","42184")</f>
        <v>42184</v>
      </c>
      <c r="O40" s="4" t="str">
        <f>HYPERLINK("http://141.218.60.56/~jnz1568/getInfo.php?workbook=04_01.xlsx&amp;sheet=A0&amp;row=40&amp;col=15&amp;number=&amp;sourceID=12","")</f>
        <v/>
      </c>
      <c r="P40" s="4" t="str">
        <f>HYPERLINK("http://141.218.60.56/~jnz1568/getInfo.php?workbook=04_01.xlsx&amp;sheet=A0&amp;row=40&amp;col=16&amp;number=42184&amp;sourceID=12","42184")</f>
        <v>42184</v>
      </c>
      <c r="Q40" s="4" t="str">
        <f>HYPERLINK("http://141.218.60.56/~jnz1568/getInfo.php?workbook=04_01.xlsx&amp;sheet=A0&amp;row=40&amp;col=17&amp;number=&amp;sourceID=12","")</f>
        <v/>
      </c>
      <c r="R40" s="4" t="str">
        <f>HYPERLINK("http://141.218.60.56/~jnz1568/getInfo.php?workbook=04_01.xlsx&amp;sheet=A0&amp;row=40&amp;col=18&amp;number=0.0078939&amp;sourceID=12","0.0078939")</f>
        <v>0.0078939</v>
      </c>
      <c r="S40" s="4" t="str">
        <f>HYPERLINK("http://141.218.60.56/~jnz1568/getInfo.php?workbook=04_01.xlsx&amp;sheet=A0&amp;row=40&amp;col=19&amp;number=&amp;sourceID=12","")</f>
        <v/>
      </c>
      <c r="T40" s="4" t="str">
        <f>HYPERLINK("http://141.218.60.56/~jnz1568/getInfo.php?workbook=04_01.xlsx&amp;sheet=A0&amp;row=40&amp;col=20&amp;number=&amp;sourceID=12","")</f>
        <v/>
      </c>
      <c r="U40" s="4" t="str">
        <f>HYPERLINK("http://141.218.60.56/~jnz1568/getInfo.php?workbook=04_01.xlsx&amp;sheet=A0&amp;row=40&amp;col=21&amp;number=&amp;sourceID=20","")</f>
        <v/>
      </c>
    </row>
    <row r="41" spans="1:21">
      <c r="A41" s="3">
        <v>4</v>
      </c>
      <c r="B41" s="3">
        <v>1</v>
      </c>
      <c r="C41" s="3">
        <v>10</v>
      </c>
      <c r="D41" s="3">
        <v>5</v>
      </c>
      <c r="E41" s="3">
        <f>((1/(INDEX(E0!J$4:J$28,C41,1)-INDEX(E0!J$4:J$28,D41,1))))*100000000</f>
        <v>0</v>
      </c>
      <c r="F41" s="4" t="str">
        <f>HYPERLINK("http://141.218.60.56/~jnz1568/getInfo.php?workbook=04_01.xlsx&amp;sheet=A0&amp;row=41&amp;col=6&amp;number=&amp;sourceID=18","")</f>
        <v/>
      </c>
      <c r="G41" s="4" t="str">
        <f>HYPERLINK("http://141.218.60.56/~jnz1568/getInfo.php?workbook=04_01.xlsx&amp;sheet=A0&amp;row=41&amp;col=7&amp;number==&amp;sourceID=11","=")</f>
        <v>=</v>
      </c>
      <c r="H41" s="4" t="str">
        <f>HYPERLINK("http://141.218.60.56/~jnz1568/getInfo.php?workbook=04_01.xlsx&amp;sheet=A0&amp;row=41&amp;col=8&amp;number=&amp;sourceID=11","")</f>
        <v/>
      </c>
      <c r="I41" s="4" t="str">
        <f>HYPERLINK("http://141.218.60.56/~jnz1568/getInfo.php?workbook=04_01.xlsx&amp;sheet=A0&amp;row=41&amp;col=9&amp;number=&amp;sourceID=11","")</f>
        <v/>
      </c>
      <c r="J41" s="4" t="str">
        <f>HYPERLINK("http://141.218.60.56/~jnz1568/getInfo.php?workbook=04_01.xlsx&amp;sheet=A0&amp;row=41&amp;col=10&amp;number=&amp;sourceID=11","")</f>
        <v/>
      </c>
      <c r="K41" s="4" t="str">
        <f>HYPERLINK("http://141.218.60.56/~jnz1568/getInfo.php?workbook=04_01.xlsx&amp;sheet=A0&amp;row=41&amp;col=11&amp;number=6.7288e-06&amp;sourceID=11","6.7288e-06")</f>
        <v>6.7288e-06</v>
      </c>
      <c r="L41" s="4" t="str">
        <f>HYPERLINK("http://141.218.60.56/~jnz1568/getInfo.php?workbook=04_01.xlsx&amp;sheet=A0&amp;row=41&amp;col=12&amp;number=&amp;sourceID=11","")</f>
        <v/>
      </c>
      <c r="M41" s="4" t="str">
        <f>HYPERLINK("http://141.218.60.56/~jnz1568/getInfo.php?workbook=04_01.xlsx&amp;sheet=A0&amp;row=41&amp;col=13&amp;number=&amp;sourceID=11","")</f>
        <v/>
      </c>
      <c r="N41" s="4" t="str">
        <f>HYPERLINK("http://141.218.60.56/~jnz1568/getInfo.php?workbook=04_01.xlsx&amp;sheet=A0&amp;row=41&amp;col=14&amp;number=6.7292e-06&amp;sourceID=12","6.7292e-06")</f>
        <v>6.7292e-06</v>
      </c>
      <c r="O41" s="4" t="str">
        <f>HYPERLINK("http://141.218.60.56/~jnz1568/getInfo.php?workbook=04_01.xlsx&amp;sheet=A0&amp;row=41&amp;col=15&amp;number=&amp;sourceID=12","")</f>
        <v/>
      </c>
      <c r="P41" s="4" t="str">
        <f>HYPERLINK("http://141.218.60.56/~jnz1568/getInfo.php?workbook=04_01.xlsx&amp;sheet=A0&amp;row=41&amp;col=16&amp;number=&amp;sourceID=12","")</f>
        <v/>
      </c>
      <c r="Q41" s="4" t="str">
        <f>HYPERLINK("http://141.218.60.56/~jnz1568/getInfo.php?workbook=04_01.xlsx&amp;sheet=A0&amp;row=41&amp;col=17&amp;number=&amp;sourceID=12","")</f>
        <v/>
      </c>
      <c r="R41" s="4" t="str">
        <f>HYPERLINK("http://141.218.60.56/~jnz1568/getInfo.php?workbook=04_01.xlsx&amp;sheet=A0&amp;row=41&amp;col=18&amp;number=6.7292e-06&amp;sourceID=12","6.7292e-06")</f>
        <v>6.7292e-06</v>
      </c>
      <c r="S41" s="4" t="str">
        <f>HYPERLINK("http://141.218.60.56/~jnz1568/getInfo.php?workbook=04_01.xlsx&amp;sheet=A0&amp;row=41&amp;col=19&amp;number=&amp;sourceID=12","")</f>
        <v/>
      </c>
      <c r="T41" s="4" t="str">
        <f>HYPERLINK("http://141.218.60.56/~jnz1568/getInfo.php?workbook=04_01.xlsx&amp;sheet=A0&amp;row=41&amp;col=20&amp;number=&amp;sourceID=12","")</f>
        <v/>
      </c>
      <c r="U41" s="4" t="str">
        <f>HYPERLINK("http://141.218.60.56/~jnz1568/getInfo.php?workbook=04_01.xlsx&amp;sheet=A0&amp;row=41&amp;col=21&amp;number=&amp;sourceID=20","")</f>
        <v/>
      </c>
    </row>
    <row r="42" spans="1:21">
      <c r="A42" s="3">
        <v>4</v>
      </c>
      <c r="B42" s="3">
        <v>1</v>
      </c>
      <c r="C42" s="3">
        <v>10</v>
      </c>
      <c r="D42" s="3">
        <v>6</v>
      </c>
      <c r="E42" s="3">
        <f>((1/(INDEX(E0!J$4:J$28,C42,1)-INDEX(E0!J$4:J$28,D42,1))))*100000000</f>
        <v>0</v>
      </c>
      <c r="F42" s="4" t="str">
        <f>HYPERLINK("http://141.218.60.56/~jnz1568/getInfo.php?workbook=04_01.xlsx&amp;sheet=A0&amp;row=42&amp;col=6&amp;number=&amp;sourceID=18","")</f>
        <v/>
      </c>
      <c r="G42" s="4" t="str">
        <f>HYPERLINK("http://141.218.60.56/~jnz1568/getInfo.php?workbook=04_01.xlsx&amp;sheet=A0&amp;row=42&amp;col=7&amp;number==&amp;sourceID=11","=")</f>
        <v>=</v>
      </c>
      <c r="H42" s="4" t="str">
        <f>HYPERLINK("http://141.218.60.56/~jnz1568/getInfo.php?workbook=04_01.xlsx&amp;sheet=A0&amp;row=42&amp;col=8&amp;number=785440000&amp;sourceID=11","785440000")</f>
        <v>785440000</v>
      </c>
      <c r="I42" s="4" t="str">
        <f>HYPERLINK("http://141.218.60.56/~jnz1568/getInfo.php?workbook=04_01.xlsx&amp;sheet=A0&amp;row=42&amp;col=9&amp;number=&amp;sourceID=11","")</f>
        <v/>
      </c>
      <c r="J42" s="4" t="str">
        <f>HYPERLINK("http://141.218.60.56/~jnz1568/getInfo.php?workbook=04_01.xlsx&amp;sheet=A0&amp;row=42&amp;col=10&amp;number=&amp;sourceID=11","")</f>
        <v/>
      </c>
      <c r="K42" s="4" t="str">
        <f>HYPERLINK("http://141.218.60.56/~jnz1568/getInfo.php?workbook=04_01.xlsx&amp;sheet=A0&amp;row=42&amp;col=11&amp;number=&amp;sourceID=11","")</f>
        <v/>
      </c>
      <c r="L42" s="4" t="str">
        <f>HYPERLINK("http://141.218.60.56/~jnz1568/getInfo.php?workbook=04_01.xlsx&amp;sheet=A0&amp;row=42&amp;col=12&amp;number=&amp;sourceID=11","")</f>
        <v/>
      </c>
      <c r="M42" s="4" t="str">
        <f>HYPERLINK("http://141.218.60.56/~jnz1568/getInfo.php?workbook=04_01.xlsx&amp;sheet=A0&amp;row=42&amp;col=13&amp;number=&amp;sourceID=11","")</f>
        <v/>
      </c>
      <c r="N42" s="4" t="str">
        <f>HYPERLINK("http://141.218.60.56/~jnz1568/getInfo.php?workbook=04_01.xlsx&amp;sheet=A0&amp;row=42&amp;col=14&amp;number=785490000&amp;sourceID=12","785490000")</f>
        <v>785490000</v>
      </c>
      <c r="O42" s="4" t="str">
        <f>HYPERLINK("http://141.218.60.56/~jnz1568/getInfo.php?workbook=04_01.xlsx&amp;sheet=A0&amp;row=42&amp;col=15&amp;number=785490000&amp;sourceID=12","785490000")</f>
        <v>785490000</v>
      </c>
      <c r="P42" s="4" t="str">
        <f>HYPERLINK("http://141.218.60.56/~jnz1568/getInfo.php?workbook=04_01.xlsx&amp;sheet=A0&amp;row=42&amp;col=16&amp;number=&amp;sourceID=12","")</f>
        <v/>
      </c>
      <c r="Q42" s="4" t="str">
        <f>HYPERLINK("http://141.218.60.56/~jnz1568/getInfo.php?workbook=04_01.xlsx&amp;sheet=A0&amp;row=42&amp;col=17&amp;number=&amp;sourceID=12","")</f>
        <v/>
      </c>
      <c r="R42" s="4" t="str">
        <f>HYPERLINK("http://141.218.60.56/~jnz1568/getInfo.php?workbook=04_01.xlsx&amp;sheet=A0&amp;row=42&amp;col=18&amp;number=&amp;sourceID=12","")</f>
        <v/>
      </c>
      <c r="S42" s="4" t="str">
        <f>HYPERLINK("http://141.218.60.56/~jnz1568/getInfo.php?workbook=04_01.xlsx&amp;sheet=A0&amp;row=42&amp;col=19&amp;number=&amp;sourceID=12","")</f>
        <v/>
      </c>
      <c r="T42" s="4" t="str">
        <f>HYPERLINK("http://141.218.60.56/~jnz1568/getInfo.php?workbook=04_01.xlsx&amp;sheet=A0&amp;row=42&amp;col=20&amp;number=&amp;sourceID=12","")</f>
        <v/>
      </c>
      <c r="U42" s="4" t="str">
        <f>HYPERLINK("http://141.218.60.56/~jnz1568/getInfo.php?workbook=04_01.xlsx&amp;sheet=A0&amp;row=42&amp;col=21&amp;number=&amp;sourceID=20","")</f>
        <v/>
      </c>
    </row>
    <row r="43" spans="1:21">
      <c r="A43" s="3">
        <v>4</v>
      </c>
      <c r="B43" s="3">
        <v>1</v>
      </c>
      <c r="C43" s="3">
        <v>10</v>
      </c>
      <c r="D43" s="3">
        <v>7</v>
      </c>
      <c r="E43" s="3">
        <f>((1/(INDEX(E0!J$4:J$28,C43,1)-INDEX(E0!J$4:J$28,D43,1))))*100000000</f>
        <v>0</v>
      </c>
      <c r="F43" s="4" t="str">
        <f>HYPERLINK("http://141.218.60.56/~jnz1568/getInfo.php?workbook=04_01.xlsx&amp;sheet=A0&amp;row=43&amp;col=6&amp;number=&amp;sourceID=18","")</f>
        <v/>
      </c>
      <c r="G43" s="4" t="str">
        <f>HYPERLINK("http://141.218.60.56/~jnz1568/getInfo.php?workbook=04_01.xlsx&amp;sheet=A0&amp;row=43&amp;col=7&amp;number==&amp;sourceID=11","=")</f>
        <v>=</v>
      </c>
      <c r="H43" s="4" t="str">
        <f>HYPERLINK("http://141.218.60.56/~jnz1568/getInfo.php?workbook=04_01.xlsx&amp;sheet=A0&amp;row=43&amp;col=8&amp;number=89244000&amp;sourceID=11","89244000")</f>
        <v>89244000</v>
      </c>
      <c r="I43" s="4" t="str">
        <f>HYPERLINK("http://141.218.60.56/~jnz1568/getInfo.php?workbook=04_01.xlsx&amp;sheet=A0&amp;row=43&amp;col=9&amp;number=&amp;sourceID=11","")</f>
        <v/>
      </c>
      <c r="J43" s="4" t="str">
        <f>HYPERLINK("http://141.218.60.56/~jnz1568/getInfo.php?workbook=04_01.xlsx&amp;sheet=A0&amp;row=43&amp;col=10&amp;number=&amp;sourceID=11","")</f>
        <v/>
      </c>
      <c r="K43" s="4" t="str">
        <f>HYPERLINK("http://141.218.60.56/~jnz1568/getInfo.php?workbook=04_01.xlsx&amp;sheet=A0&amp;row=43&amp;col=11&amp;number=&amp;sourceID=11","")</f>
        <v/>
      </c>
      <c r="L43" s="4" t="str">
        <f>HYPERLINK("http://141.218.60.56/~jnz1568/getInfo.php?workbook=04_01.xlsx&amp;sheet=A0&amp;row=43&amp;col=12&amp;number=0.00028704&amp;sourceID=11","0.00028704")</f>
        <v>0.00028704</v>
      </c>
      <c r="M43" s="4" t="str">
        <f>HYPERLINK("http://141.218.60.56/~jnz1568/getInfo.php?workbook=04_01.xlsx&amp;sheet=A0&amp;row=43&amp;col=13&amp;number=&amp;sourceID=11","")</f>
        <v/>
      </c>
      <c r="N43" s="4" t="str">
        <f>HYPERLINK("http://141.218.60.56/~jnz1568/getInfo.php?workbook=04_01.xlsx&amp;sheet=A0&amp;row=43&amp;col=14&amp;number=89250000&amp;sourceID=12","89250000")</f>
        <v>89250000</v>
      </c>
      <c r="O43" s="4" t="str">
        <f>HYPERLINK("http://141.218.60.56/~jnz1568/getInfo.php?workbook=04_01.xlsx&amp;sheet=A0&amp;row=43&amp;col=15&amp;number=89250000&amp;sourceID=12","89250000")</f>
        <v>89250000</v>
      </c>
      <c r="P43" s="4" t="str">
        <f>HYPERLINK("http://141.218.60.56/~jnz1568/getInfo.php?workbook=04_01.xlsx&amp;sheet=A0&amp;row=43&amp;col=16&amp;number=&amp;sourceID=12","")</f>
        <v/>
      </c>
      <c r="Q43" s="4" t="str">
        <f>HYPERLINK("http://141.218.60.56/~jnz1568/getInfo.php?workbook=04_01.xlsx&amp;sheet=A0&amp;row=43&amp;col=17&amp;number=&amp;sourceID=12","")</f>
        <v/>
      </c>
      <c r="R43" s="4" t="str">
        <f>HYPERLINK("http://141.218.60.56/~jnz1568/getInfo.php?workbook=04_01.xlsx&amp;sheet=A0&amp;row=43&amp;col=18&amp;number=&amp;sourceID=12","")</f>
        <v/>
      </c>
      <c r="S43" s="4" t="str">
        <f>HYPERLINK("http://141.218.60.56/~jnz1568/getInfo.php?workbook=04_01.xlsx&amp;sheet=A0&amp;row=43&amp;col=19&amp;number=0.00028706&amp;sourceID=12","0.00028706")</f>
        <v>0.00028706</v>
      </c>
      <c r="T43" s="4" t="str">
        <f>HYPERLINK("http://141.218.60.56/~jnz1568/getInfo.php?workbook=04_01.xlsx&amp;sheet=A0&amp;row=43&amp;col=20&amp;number=&amp;sourceID=12","")</f>
        <v/>
      </c>
      <c r="U43" s="4" t="str">
        <f>HYPERLINK("http://141.218.60.56/~jnz1568/getInfo.php?workbook=04_01.xlsx&amp;sheet=A0&amp;row=43&amp;col=21&amp;number=&amp;sourceID=20","")</f>
        <v/>
      </c>
    </row>
    <row r="44" spans="1:21">
      <c r="A44" s="3">
        <v>4</v>
      </c>
      <c r="B44" s="3">
        <v>1</v>
      </c>
      <c r="C44" s="3">
        <v>10</v>
      </c>
      <c r="D44" s="3">
        <v>8</v>
      </c>
      <c r="E44" s="3">
        <f>((1/(INDEX(E0!J$4:J$28,C44,1)-INDEX(E0!J$4:J$28,D44,1))))*100000000</f>
        <v>0</v>
      </c>
      <c r="F44" s="4" t="str">
        <f>HYPERLINK("http://141.218.60.56/~jnz1568/getInfo.php?workbook=04_01.xlsx&amp;sheet=A0&amp;row=44&amp;col=6&amp;number=&amp;sourceID=18","")</f>
        <v/>
      </c>
      <c r="G44" s="4" t="str">
        <f>HYPERLINK("http://141.218.60.56/~jnz1568/getInfo.php?workbook=04_01.xlsx&amp;sheet=A0&amp;row=44&amp;col=7&amp;number==&amp;sourceID=11","=")</f>
        <v>=</v>
      </c>
      <c r="H44" s="4" t="str">
        <f>HYPERLINK("http://141.218.60.56/~jnz1568/getInfo.php?workbook=04_01.xlsx&amp;sheet=A0&amp;row=44&amp;col=8&amp;number=&amp;sourceID=11","")</f>
        <v/>
      </c>
      <c r="I44" s="4" t="str">
        <f>HYPERLINK("http://141.218.60.56/~jnz1568/getInfo.php?workbook=04_01.xlsx&amp;sheet=A0&amp;row=44&amp;col=9&amp;number=10451&amp;sourceID=11","10451")</f>
        <v>10451</v>
      </c>
      <c r="J44" s="4" t="str">
        <f>HYPERLINK("http://141.218.60.56/~jnz1568/getInfo.php?workbook=04_01.xlsx&amp;sheet=A0&amp;row=44&amp;col=10&amp;number=&amp;sourceID=11","")</f>
        <v/>
      </c>
      <c r="K44" s="4" t="str">
        <f>HYPERLINK("http://141.218.60.56/~jnz1568/getInfo.php?workbook=04_01.xlsx&amp;sheet=A0&amp;row=44&amp;col=11&amp;number=0.00056368&amp;sourceID=11","0.00056368")</f>
        <v>0.00056368</v>
      </c>
      <c r="L44" s="4" t="str">
        <f>HYPERLINK("http://141.218.60.56/~jnz1568/getInfo.php?workbook=04_01.xlsx&amp;sheet=A0&amp;row=44&amp;col=12&amp;number=&amp;sourceID=11","")</f>
        <v/>
      </c>
      <c r="M44" s="4" t="str">
        <f>HYPERLINK("http://141.218.60.56/~jnz1568/getInfo.php?workbook=04_01.xlsx&amp;sheet=A0&amp;row=44&amp;col=13&amp;number=&amp;sourceID=11","")</f>
        <v/>
      </c>
      <c r="N44" s="4" t="str">
        <f>HYPERLINK("http://141.218.60.56/~jnz1568/getInfo.php?workbook=04_01.xlsx&amp;sheet=A0&amp;row=44&amp;col=14&amp;number=10451&amp;sourceID=12","10451")</f>
        <v>10451</v>
      </c>
      <c r="O44" s="4" t="str">
        <f>HYPERLINK("http://141.218.60.56/~jnz1568/getInfo.php?workbook=04_01.xlsx&amp;sheet=A0&amp;row=44&amp;col=15&amp;number=&amp;sourceID=12","")</f>
        <v/>
      </c>
      <c r="P44" s="4" t="str">
        <f>HYPERLINK("http://141.218.60.56/~jnz1568/getInfo.php?workbook=04_01.xlsx&amp;sheet=A0&amp;row=44&amp;col=16&amp;number=10451&amp;sourceID=12","10451")</f>
        <v>10451</v>
      </c>
      <c r="Q44" s="4" t="str">
        <f>HYPERLINK("http://141.218.60.56/~jnz1568/getInfo.php?workbook=04_01.xlsx&amp;sheet=A0&amp;row=44&amp;col=17&amp;number=&amp;sourceID=12","")</f>
        <v/>
      </c>
      <c r="R44" s="4" t="str">
        <f>HYPERLINK("http://141.218.60.56/~jnz1568/getInfo.php?workbook=04_01.xlsx&amp;sheet=A0&amp;row=44&amp;col=18&amp;number=0.00056372&amp;sourceID=12","0.00056372")</f>
        <v>0.00056372</v>
      </c>
      <c r="S44" s="4" t="str">
        <f>HYPERLINK("http://141.218.60.56/~jnz1568/getInfo.php?workbook=04_01.xlsx&amp;sheet=A0&amp;row=44&amp;col=19&amp;number=&amp;sourceID=12","")</f>
        <v/>
      </c>
      <c r="T44" s="4" t="str">
        <f>HYPERLINK("http://141.218.60.56/~jnz1568/getInfo.php?workbook=04_01.xlsx&amp;sheet=A0&amp;row=44&amp;col=20&amp;number=&amp;sourceID=12","")</f>
        <v/>
      </c>
      <c r="U44" s="4" t="str">
        <f>HYPERLINK("http://141.218.60.56/~jnz1568/getInfo.php?workbook=04_01.xlsx&amp;sheet=A0&amp;row=44&amp;col=21&amp;number=&amp;sourceID=20","")</f>
        <v/>
      </c>
    </row>
    <row r="45" spans="1:21">
      <c r="A45" s="3">
        <v>4</v>
      </c>
      <c r="B45" s="3">
        <v>1</v>
      </c>
      <c r="C45" s="3">
        <v>10</v>
      </c>
      <c r="D45" s="3">
        <v>9</v>
      </c>
      <c r="E45" s="3">
        <f>((1/(INDEX(E0!J$4:J$28,C45,1)-INDEX(E0!J$4:J$28,D45,1))))*100000000</f>
        <v>0</v>
      </c>
      <c r="F45" s="4" t="str">
        <f>HYPERLINK("http://141.218.60.56/~jnz1568/getInfo.php?workbook=04_01.xlsx&amp;sheet=A0&amp;row=45&amp;col=6&amp;number=&amp;sourceID=18","")</f>
        <v/>
      </c>
      <c r="G45" s="4" t="str">
        <f>HYPERLINK("http://141.218.60.56/~jnz1568/getInfo.php?workbook=04_01.xlsx&amp;sheet=A0&amp;row=45&amp;col=7&amp;number==&amp;sourceID=11","=")</f>
        <v>=</v>
      </c>
      <c r="H45" s="4" t="str">
        <f>HYPERLINK("http://141.218.60.56/~jnz1568/getInfo.php?workbook=04_01.xlsx&amp;sheet=A0&amp;row=45&amp;col=8&amp;number=&amp;sourceID=11","")</f>
        <v/>
      </c>
      <c r="I45" s="4" t="str">
        <f>HYPERLINK("http://141.218.60.56/~jnz1568/getInfo.php?workbook=04_01.xlsx&amp;sheet=A0&amp;row=45&amp;col=9&amp;number=&amp;sourceID=11","")</f>
        <v/>
      </c>
      <c r="J45" s="4" t="str">
        <f>HYPERLINK("http://141.218.60.56/~jnz1568/getInfo.php?workbook=04_01.xlsx&amp;sheet=A0&amp;row=45&amp;col=10&amp;number=0.030763&amp;sourceID=11","0.030763")</f>
        <v>0.030763</v>
      </c>
      <c r="K45" s="4" t="str">
        <f>HYPERLINK("http://141.218.60.56/~jnz1568/getInfo.php?workbook=04_01.xlsx&amp;sheet=A0&amp;row=45&amp;col=11&amp;number=&amp;sourceID=11","")</f>
        <v/>
      </c>
      <c r="L45" s="4" t="str">
        <f>HYPERLINK("http://141.218.60.56/~jnz1568/getInfo.php?workbook=04_01.xlsx&amp;sheet=A0&amp;row=45&amp;col=12&amp;number=0.0030633&amp;sourceID=11","0.0030633")</f>
        <v>0.0030633</v>
      </c>
      <c r="M45" s="4" t="str">
        <f>HYPERLINK("http://141.218.60.56/~jnz1568/getInfo.php?workbook=04_01.xlsx&amp;sheet=A0&amp;row=45&amp;col=13&amp;number=&amp;sourceID=11","")</f>
        <v/>
      </c>
      <c r="N45" s="4" t="str">
        <f>HYPERLINK("http://141.218.60.56/~jnz1568/getInfo.php?workbook=04_01.xlsx&amp;sheet=A0&amp;row=45&amp;col=14&amp;number=0.033828&amp;sourceID=12","0.033828")</f>
        <v>0.033828</v>
      </c>
      <c r="O45" s="4" t="str">
        <f>HYPERLINK("http://141.218.60.56/~jnz1568/getInfo.php?workbook=04_01.xlsx&amp;sheet=A0&amp;row=45&amp;col=15&amp;number=&amp;sourceID=12","")</f>
        <v/>
      </c>
      <c r="P45" s="4" t="str">
        <f>HYPERLINK("http://141.218.60.56/~jnz1568/getInfo.php?workbook=04_01.xlsx&amp;sheet=A0&amp;row=45&amp;col=16&amp;number=&amp;sourceID=12","")</f>
        <v/>
      </c>
      <c r="Q45" s="4" t="str">
        <f>HYPERLINK("http://141.218.60.56/~jnz1568/getInfo.php?workbook=04_01.xlsx&amp;sheet=A0&amp;row=45&amp;col=17&amp;number=0.030765&amp;sourceID=12","0.030765")</f>
        <v>0.030765</v>
      </c>
      <c r="R45" s="4" t="str">
        <f>HYPERLINK("http://141.218.60.56/~jnz1568/getInfo.php?workbook=04_01.xlsx&amp;sheet=A0&amp;row=45&amp;col=18&amp;number=&amp;sourceID=12","")</f>
        <v/>
      </c>
      <c r="S45" s="4" t="str">
        <f>HYPERLINK("http://141.218.60.56/~jnz1568/getInfo.php?workbook=04_01.xlsx&amp;sheet=A0&amp;row=45&amp;col=19&amp;number=0.0030635&amp;sourceID=12","0.0030635")</f>
        <v>0.0030635</v>
      </c>
      <c r="T45" s="4" t="str">
        <f>HYPERLINK("http://141.218.60.56/~jnz1568/getInfo.php?workbook=04_01.xlsx&amp;sheet=A0&amp;row=45&amp;col=20&amp;number=&amp;sourceID=12","")</f>
        <v/>
      </c>
      <c r="U45" s="4" t="str">
        <f>HYPERLINK("http://141.218.60.56/~jnz1568/getInfo.php?workbook=04_01.xlsx&amp;sheet=A0&amp;row=45&amp;col=21&amp;number=&amp;sourceID=20","")</f>
        <v/>
      </c>
    </row>
    <row r="46" spans="1:21">
      <c r="A46" s="3">
        <v>4</v>
      </c>
      <c r="B46" s="3">
        <v>1</v>
      </c>
      <c r="C46" s="3">
        <v>11</v>
      </c>
      <c r="D46" s="3">
        <v>1</v>
      </c>
      <c r="E46" s="3">
        <f>((1/(INDEX(E0!J$4:J$28,C46,1)-INDEX(E0!J$4:J$28,D46,1))))*100000000</f>
        <v>0</v>
      </c>
      <c r="F46" s="4" t="str">
        <f>HYPERLINK("http://141.218.60.56/~jnz1568/getInfo.php?workbook=04_01.xlsx&amp;sheet=A0&amp;row=46&amp;col=6&amp;number=&amp;sourceID=18","")</f>
        <v/>
      </c>
      <c r="G46" s="4" t="str">
        <f>HYPERLINK("http://141.218.60.56/~jnz1568/getInfo.php?workbook=04_01.xlsx&amp;sheet=A0&amp;row=46&amp;col=7&amp;number==&amp;sourceID=11","=")</f>
        <v>=</v>
      </c>
      <c r="H46" s="4" t="str">
        <f>HYPERLINK("http://141.218.60.56/~jnz1568/getInfo.php?workbook=04_01.xlsx&amp;sheet=A0&amp;row=46&amp;col=8&amp;number=&amp;sourceID=11","")</f>
        <v/>
      </c>
      <c r="I46" s="4" t="str">
        <f>HYPERLINK("http://141.218.60.56/~jnz1568/getInfo.php?workbook=04_01.xlsx&amp;sheet=A0&amp;row=46&amp;col=9&amp;number=&amp;sourceID=11","")</f>
        <v/>
      </c>
      <c r="J46" s="4" t="str">
        <f>HYPERLINK("http://141.218.60.56/~jnz1568/getInfo.php?workbook=04_01.xlsx&amp;sheet=A0&amp;row=46&amp;col=10&amp;number=&amp;sourceID=11","")</f>
        <v/>
      </c>
      <c r="K46" s="4" t="str">
        <f>HYPERLINK("http://141.218.60.56/~jnz1568/getInfo.php?workbook=04_01.xlsx&amp;sheet=A0&amp;row=46&amp;col=11&amp;number=0.5567&amp;sourceID=11","0.5567")</f>
        <v>0.5567</v>
      </c>
      <c r="L46" s="4" t="str">
        <f>HYPERLINK("http://141.218.60.56/~jnz1568/getInfo.php?workbook=04_01.xlsx&amp;sheet=A0&amp;row=46&amp;col=12&amp;number=&amp;sourceID=11","")</f>
        <v/>
      </c>
      <c r="M46" s="4" t="str">
        <f>HYPERLINK("http://141.218.60.56/~jnz1568/getInfo.php?workbook=04_01.xlsx&amp;sheet=A0&amp;row=46&amp;col=13&amp;number=&amp;sourceID=11","")</f>
        <v/>
      </c>
      <c r="N46" s="4" t="str">
        <f>HYPERLINK("http://141.218.60.56/~jnz1568/getInfo.php?workbook=04_01.xlsx&amp;sheet=A0&amp;row=46&amp;col=14&amp;number=0.55656&amp;sourceID=12","0.55656")</f>
        <v>0.55656</v>
      </c>
      <c r="O46" s="4" t="str">
        <f>HYPERLINK("http://141.218.60.56/~jnz1568/getInfo.php?workbook=04_01.xlsx&amp;sheet=A0&amp;row=46&amp;col=15&amp;number=&amp;sourceID=12","")</f>
        <v/>
      </c>
      <c r="P46" s="4" t="str">
        <f>HYPERLINK("http://141.218.60.56/~jnz1568/getInfo.php?workbook=04_01.xlsx&amp;sheet=A0&amp;row=46&amp;col=16&amp;number=&amp;sourceID=12","")</f>
        <v/>
      </c>
      <c r="Q46" s="4" t="str">
        <f>HYPERLINK("http://141.218.60.56/~jnz1568/getInfo.php?workbook=04_01.xlsx&amp;sheet=A0&amp;row=46&amp;col=17&amp;number=&amp;sourceID=12","")</f>
        <v/>
      </c>
      <c r="R46" s="4" t="str">
        <f>HYPERLINK("http://141.218.60.56/~jnz1568/getInfo.php?workbook=04_01.xlsx&amp;sheet=A0&amp;row=46&amp;col=18&amp;number=0.55656&amp;sourceID=12","0.55656")</f>
        <v>0.55656</v>
      </c>
      <c r="S46" s="4" t="str">
        <f>HYPERLINK("http://141.218.60.56/~jnz1568/getInfo.php?workbook=04_01.xlsx&amp;sheet=A0&amp;row=46&amp;col=19&amp;number=&amp;sourceID=12","")</f>
        <v/>
      </c>
      <c r="T46" s="4" t="str">
        <f>HYPERLINK("http://141.218.60.56/~jnz1568/getInfo.php?workbook=04_01.xlsx&amp;sheet=A0&amp;row=46&amp;col=20&amp;number=&amp;sourceID=12","")</f>
        <v/>
      </c>
      <c r="U46" s="4" t="str">
        <f>HYPERLINK("http://141.218.60.56/~jnz1568/getInfo.php?workbook=04_01.xlsx&amp;sheet=A0&amp;row=46&amp;col=21&amp;number=&amp;sourceID=20","")</f>
        <v/>
      </c>
    </row>
    <row r="47" spans="1:21">
      <c r="A47" s="3">
        <v>4</v>
      </c>
      <c r="B47" s="3">
        <v>1</v>
      </c>
      <c r="C47" s="3">
        <v>11</v>
      </c>
      <c r="D47" s="3">
        <v>2</v>
      </c>
      <c r="E47" s="3">
        <f>((1/(INDEX(E0!J$4:J$28,C47,1)-INDEX(E0!J$4:J$28,D47,1))))*100000000</f>
        <v>0</v>
      </c>
      <c r="F47" s="4" t="str">
        <f>HYPERLINK("http://141.218.60.56/~jnz1568/getInfo.php?workbook=04_01.xlsx&amp;sheet=A0&amp;row=47&amp;col=6&amp;number=&amp;sourceID=18","")</f>
        <v/>
      </c>
      <c r="G47" s="4" t="str">
        <f>HYPERLINK("http://141.218.60.56/~jnz1568/getInfo.php?workbook=04_01.xlsx&amp;sheet=A0&amp;row=47&amp;col=7&amp;number==&amp;sourceID=11","=")</f>
        <v>=</v>
      </c>
      <c r="H47" s="4" t="str">
        <f>HYPERLINK("http://141.218.60.56/~jnz1568/getInfo.php?workbook=04_01.xlsx&amp;sheet=A0&amp;row=47&amp;col=8&amp;number=220220000&amp;sourceID=11","220220000")</f>
        <v>220220000</v>
      </c>
      <c r="I47" s="4" t="str">
        <f>HYPERLINK("http://141.218.60.56/~jnz1568/getInfo.php?workbook=04_01.xlsx&amp;sheet=A0&amp;row=47&amp;col=9&amp;number=&amp;sourceID=11","")</f>
        <v/>
      </c>
      <c r="J47" s="4" t="str">
        <f>HYPERLINK("http://141.218.60.56/~jnz1568/getInfo.php?workbook=04_01.xlsx&amp;sheet=A0&amp;row=47&amp;col=10&amp;number=&amp;sourceID=11","")</f>
        <v/>
      </c>
      <c r="K47" s="4" t="str">
        <f>HYPERLINK("http://141.218.60.56/~jnz1568/getInfo.php?workbook=04_01.xlsx&amp;sheet=A0&amp;row=47&amp;col=11&amp;number=&amp;sourceID=11","")</f>
        <v/>
      </c>
      <c r="L47" s="4" t="str">
        <f>HYPERLINK("http://141.218.60.56/~jnz1568/getInfo.php?workbook=04_01.xlsx&amp;sheet=A0&amp;row=47&amp;col=12&amp;number=&amp;sourceID=11","")</f>
        <v/>
      </c>
      <c r="M47" s="4" t="str">
        <f>HYPERLINK("http://141.218.60.56/~jnz1568/getInfo.php?workbook=04_01.xlsx&amp;sheet=A0&amp;row=47&amp;col=13&amp;number=&amp;sourceID=11","")</f>
        <v/>
      </c>
      <c r="N47" s="4" t="str">
        <f>HYPERLINK("http://141.218.60.56/~jnz1568/getInfo.php?workbook=04_01.xlsx&amp;sheet=A0&amp;row=47&amp;col=14&amp;number=220240000&amp;sourceID=12","220240000")</f>
        <v>220240000</v>
      </c>
      <c r="O47" s="4" t="str">
        <f>HYPERLINK("http://141.218.60.56/~jnz1568/getInfo.php?workbook=04_01.xlsx&amp;sheet=A0&amp;row=47&amp;col=15&amp;number=220240000&amp;sourceID=12","220240000")</f>
        <v>220240000</v>
      </c>
      <c r="P47" s="4" t="str">
        <f>HYPERLINK("http://141.218.60.56/~jnz1568/getInfo.php?workbook=04_01.xlsx&amp;sheet=A0&amp;row=47&amp;col=16&amp;number=&amp;sourceID=12","")</f>
        <v/>
      </c>
      <c r="Q47" s="4" t="str">
        <f>HYPERLINK("http://141.218.60.56/~jnz1568/getInfo.php?workbook=04_01.xlsx&amp;sheet=A0&amp;row=47&amp;col=17&amp;number=&amp;sourceID=12","")</f>
        <v/>
      </c>
      <c r="R47" s="4" t="str">
        <f>HYPERLINK("http://141.218.60.56/~jnz1568/getInfo.php?workbook=04_01.xlsx&amp;sheet=A0&amp;row=47&amp;col=18&amp;number=&amp;sourceID=12","")</f>
        <v/>
      </c>
      <c r="S47" s="4" t="str">
        <f>HYPERLINK("http://141.218.60.56/~jnz1568/getInfo.php?workbook=04_01.xlsx&amp;sheet=A0&amp;row=47&amp;col=19&amp;number=&amp;sourceID=12","")</f>
        <v/>
      </c>
      <c r="T47" s="4" t="str">
        <f>HYPERLINK("http://141.218.60.56/~jnz1568/getInfo.php?workbook=04_01.xlsx&amp;sheet=A0&amp;row=47&amp;col=20&amp;number=&amp;sourceID=12","")</f>
        <v/>
      </c>
      <c r="U47" s="4" t="str">
        <f>HYPERLINK("http://141.218.60.56/~jnz1568/getInfo.php?workbook=04_01.xlsx&amp;sheet=A0&amp;row=47&amp;col=21&amp;number=&amp;sourceID=20","")</f>
        <v/>
      </c>
    </row>
    <row r="48" spans="1:21">
      <c r="A48" s="3">
        <v>4</v>
      </c>
      <c r="B48" s="3">
        <v>1</v>
      </c>
      <c r="C48" s="3">
        <v>11</v>
      </c>
      <c r="D48" s="3">
        <v>3</v>
      </c>
      <c r="E48" s="3">
        <f>((1/(INDEX(E0!J$4:J$28,C48,1)-INDEX(E0!J$4:J$28,D48,1))))*100000000</f>
        <v>0</v>
      </c>
      <c r="F48" s="4" t="str">
        <f>HYPERLINK("http://141.218.60.56/~jnz1568/getInfo.php?workbook=04_01.xlsx&amp;sheet=A0&amp;row=48&amp;col=6&amp;number=&amp;sourceID=18","")</f>
        <v/>
      </c>
      <c r="G48" s="4" t="str">
        <f>HYPERLINK("http://141.218.60.56/~jnz1568/getInfo.php?workbook=04_01.xlsx&amp;sheet=A0&amp;row=48&amp;col=7&amp;number==&amp;sourceID=11","=")</f>
        <v>=</v>
      </c>
      <c r="H48" s="4" t="str">
        <f>HYPERLINK("http://141.218.60.56/~jnz1568/getInfo.php?workbook=04_01.xlsx&amp;sheet=A0&amp;row=48&amp;col=8&amp;number=&amp;sourceID=11","")</f>
        <v/>
      </c>
      <c r="I48" s="4" t="str">
        <f>HYPERLINK("http://141.218.60.56/~jnz1568/getInfo.php?workbook=04_01.xlsx&amp;sheet=A0&amp;row=48&amp;col=9&amp;number=&amp;sourceID=11","")</f>
        <v/>
      </c>
      <c r="J48" s="4" t="str">
        <f>HYPERLINK("http://141.218.60.56/~jnz1568/getInfo.php?workbook=04_01.xlsx&amp;sheet=A0&amp;row=48&amp;col=10&amp;number=&amp;sourceID=11","")</f>
        <v/>
      </c>
      <c r="K48" s="4" t="str">
        <f>HYPERLINK("http://141.218.60.56/~jnz1568/getInfo.php?workbook=04_01.xlsx&amp;sheet=A0&amp;row=48&amp;col=11&amp;number=0.0016988&amp;sourceID=11","0.0016988")</f>
        <v>0.0016988</v>
      </c>
      <c r="L48" s="4" t="str">
        <f>HYPERLINK("http://141.218.60.56/~jnz1568/getInfo.php?workbook=04_01.xlsx&amp;sheet=A0&amp;row=48&amp;col=12&amp;number=&amp;sourceID=11","")</f>
        <v/>
      </c>
      <c r="M48" s="4" t="str">
        <f>HYPERLINK("http://141.218.60.56/~jnz1568/getInfo.php?workbook=04_01.xlsx&amp;sheet=A0&amp;row=48&amp;col=13&amp;number=&amp;sourceID=11","")</f>
        <v/>
      </c>
      <c r="N48" s="4" t="str">
        <f>HYPERLINK("http://141.218.60.56/~jnz1568/getInfo.php?workbook=04_01.xlsx&amp;sheet=A0&amp;row=48&amp;col=14&amp;number=0.001699&amp;sourceID=12","0.001699")</f>
        <v>0.001699</v>
      </c>
      <c r="O48" s="4" t="str">
        <f>HYPERLINK("http://141.218.60.56/~jnz1568/getInfo.php?workbook=04_01.xlsx&amp;sheet=A0&amp;row=48&amp;col=15&amp;number=&amp;sourceID=12","")</f>
        <v/>
      </c>
      <c r="P48" s="4" t="str">
        <f>HYPERLINK("http://141.218.60.56/~jnz1568/getInfo.php?workbook=04_01.xlsx&amp;sheet=A0&amp;row=48&amp;col=16&amp;number=&amp;sourceID=12","")</f>
        <v/>
      </c>
      <c r="Q48" s="4" t="str">
        <f>HYPERLINK("http://141.218.60.56/~jnz1568/getInfo.php?workbook=04_01.xlsx&amp;sheet=A0&amp;row=48&amp;col=17&amp;number=&amp;sourceID=12","")</f>
        <v/>
      </c>
      <c r="R48" s="4" t="str">
        <f>HYPERLINK("http://141.218.60.56/~jnz1568/getInfo.php?workbook=04_01.xlsx&amp;sheet=A0&amp;row=48&amp;col=18&amp;number=0.001699&amp;sourceID=12","0.001699")</f>
        <v>0.001699</v>
      </c>
      <c r="S48" s="4" t="str">
        <f>HYPERLINK("http://141.218.60.56/~jnz1568/getInfo.php?workbook=04_01.xlsx&amp;sheet=A0&amp;row=48&amp;col=19&amp;number=&amp;sourceID=12","")</f>
        <v/>
      </c>
      <c r="T48" s="4" t="str">
        <f>HYPERLINK("http://141.218.60.56/~jnz1568/getInfo.php?workbook=04_01.xlsx&amp;sheet=A0&amp;row=48&amp;col=20&amp;number=&amp;sourceID=12","")</f>
        <v/>
      </c>
      <c r="U48" s="4" t="str">
        <f>HYPERLINK("http://141.218.60.56/~jnz1568/getInfo.php?workbook=04_01.xlsx&amp;sheet=A0&amp;row=48&amp;col=21&amp;number=&amp;sourceID=20","")</f>
        <v/>
      </c>
    </row>
    <row r="49" spans="1:21">
      <c r="A49" s="3">
        <v>4</v>
      </c>
      <c r="B49" s="3">
        <v>1</v>
      </c>
      <c r="C49" s="3">
        <v>11</v>
      </c>
      <c r="D49" s="3">
        <v>4</v>
      </c>
      <c r="E49" s="3">
        <f>((1/(INDEX(E0!J$4:J$28,C49,1)-INDEX(E0!J$4:J$28,D49,1))))*100000000</f>
        <v>0</v>
      </c>
      <c r="F49" s="4" t="str">
        <f>HYPERLINK("http://141.218.60.56/~jnz1568/getInfo.php?workbook=04_01.xlsx&amp;sheet=A0&amp;row=49&amp;col=6&amp;number=&amp;sourceID=18","")</f>
        <v/>
      </c>
      <c r="G49" s="4" t="str">
        <f>HYPERLINK("http://141.218.60.56/~jnz1568/getInfo.php?workbook=04_01.xlsx&amp;sheet=A0&amp;row=49&amp;col=7&amp;number==&amp;sourceID=11","=")</f>
        <v>=</v>
      </c>
      <c r="H49" s="4" t="str">
        <f>HYPERLINK("http://141.218.60.56/~jnz1568/getInfo.php?workbook=04_01.xlsx&amp;sheet=A0&amp;row=49&amp;col=8&amp;number=441180000&amp;sourceID=11","441180000")</f>
        <v>441180000</v>
      </c>
      <c r="I49" s="4" t="str">
        <f>HYPERLINK("http://141.218.60.56/~jnz1568/getInfo.php?workbook=04_01.xlsx&amp;sheet=A0&amp;row=49&amp;col=9&amp;number=&amp;sourceID=11","")</f>
        <v/>
      </c>
      <c r="J49" s="4" t="str">
        <f>HYPERLINK("http://141.218.60.56/~jnz1568/getInfo.php?workbook=04_01.xlsx&amp;sheet=A0&amp;row=49&amp;col=10&amp;number=&amp;sourceID=11","")</f>
        <v/>
      </c>
      <c r="K49" s="4" t="str">
        <f>HYPERLINK("http://141.218.60.56/~jnz1568/getInfo.php?workbook=04_01.xlsx&amp;sheet=A0&amp;row=49&amp;col=11&amp;number=&amp;sourceID=11","")</f>
        <v/>
      </c>
      <c r="L49" s="4" t="str">
        <f>HYPERLINK("http://141.218.60.56/~jnz1568/getInfo.php?workbook=04_01.xlsx&amp;sheet=A0&amp;row=49&amp;col=12&amp;number=0.5279&amp;sourceID=11","0.5279")</f>
        <v>0.5279</v>
      </c>
      <c r="M49" s="4" t="str">
        <f>HYPERLINK("http://141.218.60.56/~jnz1568/getInfo.php?workbook=04_01.xlsx&amp;sheet=A0&amp;row=49&amp;col=13&amp;number=&amp;sourceID=11","")</f>
        <v/>
      </c>
      <c r="N49" s="4" t="str">
        <f>HYPERLINK("http://141.218.60.56/~jnz1568/getInfo.php?workbook=04_01.xlsx&amp;sheet=A0&amp;row=49&amp;col=14&amp;number=441200000&amp;sourceID=12","441200000")</f>
        <v>441200000</v>
      </c>
      <c r="O49" s="4" t="str">
        <f>HYPERLINK("http://141.218.60.56/~jnz1568/getInfo.php?workbook=04_01.xlsx&amp;sheet=A0&amp;row=49&amp;col=15&amp;number=441200000&amp;sourceID=12","441200000")</f>
        <v>441200000</v>
      </c>
      <c r="P49" s="4" t="str">
        <f>HYPERLINK("http://141.218.60.56/~jnz1568/getInfo.php?workbook=04_01.xlsx&amp;sheet=A0&amp;row=49&amp;col=16&amp;number=&amp;sourceID=12","")</f>
        <v/>
      </c>
      <c r="Q49" s="4" t="str">
        <f>HYPERLINK("http://141.218.60.56/~jnz1568/getInfo.php?workbook=04_01.xlsx&amp;sheet=A0&amp;row=49&amp;col=17&amp;number=&amp;sourceID=12","")</f>
        <v/>
      </c>
      <c r="R49" s="4" t="str">
        <f>HYPERLINK("http://141.218.60.56/~jnz1568/getInfo.php?workbook=04_01.xlsx&amp;sheet=A0&amp;row=49&amp;col=18&amp;number=&amp;sourceID=12","")</f>
        <v/>
      </c>
      <c r="S49" s="4" t="str">
        <f>HYPERLINK("http://141.218.60.56/~jnz1568/getInfo.php?workbook=04_01.xlsx&amp;sheet=A0&amp;row=49&amp;col=19&amp;number=0.52793&amp;sourceID=12","0.52793")</f>
        <v>0.52793</v>
      </c>
      <c r="T49" s="4" t="str">
        <f>HYPERLINK("http://141.218.60.56/~jnz1568/getInfo.php?workbook=04_01.xlsx&amp;sheet=A0&amp;row=49&amp;col=20&amp;number=&amp;sourceID=12","")</f>
        <v/>
      </c>
      <c r="U49" s="4" t="str">
        <f>HYPERLINK("http://141.218.60.56/~jnz1568/getInfo.php?workbook=04_01.xlsx&amp;sheet=A0&amp;row=49&amp;col=21&amp;number=&amp;sourceID=20","")</f>
        <v/>
      </c>
    </row>
    <row r="50" spans="1:21">
      <c r="A50" s="3">
        <v>4</v>
      </c>
      <c r="B50" s="3">
        <v>1</v>
      </c>
      <c r="C50" s="3">
        <v>11</v>
      </c>
      <c r="D50" s="3">
        <v>5</v>
      </c>
      <c r="E50" s="3">
        <f>((1/(INDEX(E0!J$4:J$28,C50,1)-INDEX(E0!J$4:J$28,D50,1))))*100000000</f>
        <v>0</v>
      </c>
      <c r="F50" s="4" t="str">
        <f>HYPERLINK("http://141.218.60.56/~jnz1568/getInfo.php?workbook=04_01.xlsx&amp;sheet=A0&amp;row=50&amp;col=6&amp;number=&amp;sourceID=18","")</f>
        <v/>
      </c>
      <c r="G50" s="4" t="str">
        <f>HYPERLINK("http://141.218.60.56/~jnz1568/getInfo.php?workbook=04_01.xlsx&amp;sheet=A0&amp;row=50&amp;col=7&amp;number==&amp;sourceID=11","=")</f>
        <v>=</v>
      </c>
      <c r="H50" s="4" t="str">
        <f>HYPERLINK("http://141.218.60.56/~jnz1568/getInfo.php?workbook=04_01.xlsx&amp;sheet=A0&amp;row=50&amp;col=8&amp;number=156770000&amp;sourceID=11","156770000")</f>
        <v>156770000</v>
      </c>
      <c r="I50" s="4" t="str">
        <f>HYPERLINK("http://141.218.60.56/~jnz1568/getInfo.php?workbook=04_01.xlsx&amp;sheet=A0&amp;row=50&amp;col=9&amp;number=&amp;sourceID=11","")</f>
        <v/>
      </c>
      <c r="J50" s="4" t="str">
        <f>HYPERLINK("http://141.218.60.56/~jnz1568/getInfo.php?workbook=04_01.xlsx&amp;sheet=A0&amp;row=50&amp;col=10&amp;number=&amp;sourceID=11","")</f>
        <v/>
      </c>
      <c r="K50" s="4" t="str">
        <f>HYPERLINK("http://141.218.60.56/~jnz1568/getInfo.php?workbook=04_01.xlsx&amp;sheet=A0&amp;row=50&amp;col=11&amp;number=&amp;sourceID=11","")</f>
        <v/>
      </c>
      <c r="L50" s="4" t="str">
        <f>HYPERLINK("http://141.218.60.56/~jnz1568/getInfo.php?workbook=04_01.xlsx&amp;sheet=A0&amp;row=50&amp;col=12&amp;number=&amp;sourceID=11","")</f>
        <v/>
      </c>
      <c r="M50" s="4" t="str">
        <f>HYPERLINK("http://141.218.60.56/~jnz1568/getInfo.php?workbook=04_01.xlsx&amp;sheet=A0&amp;row=50&amp;col=13&amp;number=&amp;sourceID=11","")</f>
        <v/>
      </c>
      <c r="N50" s="4" t="str">
        <f>HYPERLINK("http://141.218.60.56/~jnz1568/getInfo.php?workbook=04_01.xlsx&amp;sheet=A0&amp;row=50&amp;col=14&amp;number=156780000&amp;sourceID=12","156780000")</f>
        <v>156780000</v>
      </c>
      <c r="O50" s="4" t="str">
        <f>HYPERLINK("http://141.218.60.56/~jnz1568/getInfo.php?workbook=04_01.xlsx&amp;sheet=A0&amp;row=50&amp;col=15&amp;number=156780000&amp;sourceID=12","156780000")</f>
        <v>156780000</v>
      </c>
      <c r="P50" s="4" t="str">
        <f>HYPERLINK("http://141.218.60.56/~jnz1568/getInfo.php?workbook=04_01.xlsx&amp;sheet=A0&amp;row=50&amp;col=16&amp;number=&amp;sourceID=12","")</f>
        <v/>
      </c>
      <c r="Q50" s="4" t="str">
        <f>HYPERLINK("http://141.218.60.56/~jnz1568/getInfo.php?workbook=04_01.xlsx&amp;sheet=A0&amp;row=50&amp;col=17&amp;number=&amp;sourceID=12","")</f>
        <v/>
      </c>
      <c r="R50" s="4" t="str">
        <f>HYPERLINK("http://141.218.60.56/~jnz1568/getInfo.php?workbook=04_01.xlsx&amp;sheet=A0&amp;row=50&amp;col=18&amp;number=&amp;sourceID=12","")</f>
        <v/>
      </c>
      <c r="S50" s="4" t="str">
        <f>HYPERLINK("http://141.218.60.56/~jnz1568/getInfo.php?workbook=04_01.xlsx&amp;sheet=A0&amp;row=50&amp;col=19&amp;number=&amp;sourceID=12","")</f>
        <v/>
      </c>
      <c r="T50" s="4" t="str">
        <f>HYPERLINK("http://141.218.60.56/~jnz1568/getInfo.php?workbook=04_01.xlsx&amp;sheet=A0&amp;row=50&amp;col=20&amp;number=&amp;sourceID=12","")</f>
        <v/>
      </c>
      <c r="U50" s="4" t="str">
        <f>HYPERLINK("http://141.218.60.56/~jnz1568/getInfo.php?workbook=04_01.xlsx&amp;sheet=A0&amp;row=50&amp;col=21&amp;number=&amp;sourceID=20","")</f>
        <v/>
      </c>
    </row>
    <row r="51" spans="1:21">
      <c r="A51" s="3">
        <v>4</v>
      </c>
      <c r="B51" s="3">
        <v>1</v>
      </c>
      <c r="C51" s="3">
        <v>11</v>
      </c>
      <c r="D51" s="3">
        <v>6</v>
      </c>
      <c r="E51" s="3">
        <f>((1/(INDEX(E0!J$4:J$28,C51,1)-INDEX(E0!J$4:J$28,D51,1))))*100000000</f>
        <v>0</v>
      </c>
      <c r="F51" s="4" t="str">
        <f>HYPERLINK("http://141.218.60.56/~jnz1568/getInfo.php?workbook=04_01.xlsx&amp;sheet=A0&amp;row=51&amp;col=6&amp;number=&amp;sourceID=18","")</f>
        <v/>
      </c>
      <c r="G51" s="4" t="str">
        <f>HYPERLINK("http://141.218.60.56/~jnz1568/getInfo.php?workbook=04_01.xlsx&amp;sheet=A0&amp;row=51&amp;col=7&amp;number==&amp;sourceID=11","=")</f>
        <v>=</v>
      </c>
      <c r="H51" s="4" t="str">
        <f>HYPERLINK("http://141.218.60.56/~jnz1568/getInfo.php?workbook=04_01.xlsx&amp;sheet=A0&amp;row=51&amp;col=8&amp;number=&amp;sourceID=11","")</f>
        <v/>
      </c>
      <c r="I51" s="4" t="str">
        <f>HYPERLINK("http://141.218.60.56/~jnz1568/getInfo.php?workbook=04_01.xlsx&amp;sheet=A0&amp;row=51&amp;col=9&amp;number=&amp;sourceID=11","")</f>
        <v/>
      </c>
      <c r="J51" s="4" t="str">
        <f>HYPERLINK("http://141.218.60.56/~jnz1568/getInfo.php?workbook=04_01.xlsx&amp;sheet=A0&amp;row=51&amp;col=10&amp;number=&amp;sourceID=11","")</f>
        <v/>
      </c>
      <c r="K51" s="4" t="str">
        <f>HYPERLINK("http://141.218.60.56/~jnz1568/getInfo.php?workbook=04_01.xlsx&amp;sheet=A0&amp;row=51&amp;col=11&amp;number=2.1484e-05&amp;sourceID=11","2.1484e-05")</f>
        <v>2.1484e-05</v>
      </c>
      <c r="L51" s="4" t="str">
        <f>HYPERLINK("http://141.218.60.56/~jnz1568/getInfo.php?workbook=04_01.xlsx&amp;sheet=A0&amp;row=51&amp;col=12&amp;number=&amp;sourceID=11","")</f>
        <v/>
      </c>
      <c r="M51" s="4" t="str">
        <f>HYPERLINK("http://141.218.60.56/~jnz1568/getInfo.php?workbook=04_01.xlsx&amp;sheet=A0&amp;row=51&amp;col=13&amp;number=&amp;sourceID=11","")</f>
        <v/>
      </c>
      <c r="N51" s="4" t="str">
        <f>HYPERLINK("http://141.218.60.56/~jnz1568/getInfo.php?workbook=04_01.xlsx&amp;sheet=A0&amp;row=51&amp;col=14&amp;number=2.1486e-05&amp;sourceID=12","2.1486e-05")</f>
        <v>2.1486e-05</v>
      </c>
      <c r="O51" s="4" t="str">
        <f>HYPERLINK("http://141.218.60.56/~jnz1568/getInfo.php?workbook=04_01.xlsx&amp;sheet=A0&amp;row=51&amp;col=15&amp;number=&amp;sourceID=12","")</f>
        <v/>
      </c>
      <c r="P51" s="4" t="str">
        <f>HYPERLINK("http://141.218.60.56/~jnz1568/getInfo.php?workbook=04_01.xlsx&amp;sheet=A0&amp;row=51&amp;col=16&amp;number=&amp;sourceID=12","")</f>
        <v/>
      </c>
      <c r="Q51" s="4" t="str">
        <f>HYPERLINK("http://141.218.60.56/~jnz1568/getInfo.php?workbook=04_01.xlsx&amp;sheet=A0&amp;row=51&amp;col=17&amp;number=&amp;sourceID=12","")</f>
        <v/>
      </c>
      <c r="R51" s="4" t="str">
        <f>HYPERLINK("http://141.218.60.56/~jnz1568/getInfo.php?workbook=04_01.xlsx&amp;sheet=A0&amp;row=51&amp;col=18&amp;number=2.1486e-05&amp;sourceID=12","2.1486e-05")</f>
        <v>2.1486e-05</v>
      </c>
      <c r="S51" s="4" t="str">
        <f>HYPERLINK("http://141.218.60.56/~jnz1568/getInfo.php?workbook=04_01.xlsx&amp;sheet=A0&amp;row=51&amp;col=19&amp;number=&amp;sourceID=12","")</f>
        <v/>
      </c>
      <c r="T51" s="4" t="str">
        <f>HYPERLINK("http://141.218.60.56/~jnz1568/getInfo.php?workbook=04_01.xlsx&amp;sheet=A0&amp;row=51&amp;col=20&amp;number=&amp;sourceID=12","")</f>
        <v/>
      </c>
      <c r="U51" s="4" t="str">
        <f>HYPERLINK("http://141.218.60.56/~jnz1568/getInfo.php?workbook=04_01.xlsx&amp;sheet=A0&amp;row=51&amp;col=21&amp;number=&amp;sourceID=20","")</f>
        <v/>
      </c>
    </row>
    <row r="52" spans="1:21">
      <c r="A52" s="3">
        <v>4</v>
      </c>
      <c r="B52" s="3">
        <v>1</v>
      </c>
      <c r="C52" s="3">
        <v>11</v>
      </c>
      <c r="D52" s="3">
        <v>7</v>
      </c>
      <c r="E52" s="3">
        <f>((1/(INDEX(E0!J$4:J$28,C52,1)-INDEX(E0!J$4:J$28,D52,1))))*100000000</f>
        <v>0</v>
      </c>
      <c r="F52" s="4" t="str">
        <f>HYPERLINK("http://141.218.60.56/~jnz1568/getInfo.php?workbook=04_01.xlsx&amp;sheet=A0&amp;row=52&amp;col=6&amp;number=&amp;sourceID=18","")</f>
        <v/>
      </c>
      <c r="G52" s="4" t="str">
        <f>HYPERLINK("http://141.218.60.56/~jnz1568/getInfo.php?workbook=04_01.xlsx&amp;sheet=A0&amp;row=52&amp;col=7&amp;number==&amp;sourceID=11","=")</f>
        <v>=</v>
      </c>
      <c r="H52" s="4" t="str">
        <f>HYPERLINK("http://141.218.60.56/~jnz1568/getInfo.php?workbook=04_01.xlsx&amp;sheet=A0&amp;row=52&amp;col=8&amp;number=&amp;sourceID=11","")</f>
        <v/>
      </c>
      <c r="I52" s="4" t="str">
        <f>HYPERLINK("http://141.218.60.56/~jnz1568/getInfo.php?workbook=04_01.xlsx&amp;sheet=A0&amp;row=52&amp;col=9&amp;number=1686.6&amp;sourceID=11","1686.6")</f>
        <v>1686.6</v>
      </c>
      <c r="J52" s="4" t="str">
        <f>HYPERLINK("http://141.218.60.56/~jnz1568/getInfo.php?workbook=04_01.xlsx&amp;sheet=A0&amp;row=52&amp;col=10&amp;number=&amp;sourceID=11","")</f>
        <v/>
      </c>
      <c r="K52" s="4" t="str">
        <f>HYPERLINK("http://141.218.60.56/~jnz1568/getInfo.php?workbook=04_01.xlsx&amp;sheet=A0&amp;row=52&amp;col=11&amp;number=7.1256e-09&amp;sourceID=11","7.1256e-09")</f>
        <v>7.1256e-09</v>
      </c>
      <c r="L52" s="4" t="str">
        <f>HYPERLINK("http://141.218.60.56/~jnz1568/getInfo.php?workbook=04_01.xlsx&amp;sheet=A0&amp;row=52&amp;col=12&amp;number=&amp;sourceID=11","")</f>
        <v/>
      </c>
      <c r="M52" s="4" t="str">
        <f>HYPERLINK("http://141.218.60.56/~jnz1568/getInfo.php?workbook=04_01.xlsx&amp;sheet=A0&amp;row=52&amp;col=13&amp;number=&amp;sourceID=11","")</f>
        <v/>
      </c>
      <c r="N52" s="4" t="str">
        <f>HYPERLINK("http://141.218.60.56/~jnz1568/getInfo.php?workbook=04_01.xlsx&amp;sheet=A0&amp;row=52&amp;col=14&amp;number=1686.7&amp;sourceID=12","1686.7")</f>
        <v>1686.7</v>
      </c>
      <c r="O52" s="4" t="str">
        <f>HYPERLINK("http://141.218.60.56/~jnz1568/getInfo.php?workbook=04_01.xlsx&amp;sheet=A0&amp;row=52&amp;col=15&amp;number=&amp;sourceID=12","")</f>
        <v/>
      </c>
      <c r="P52" s="4" t="str">
        <f>HYPERLINK("http://141.218.60.56/~jnz1568/getInfo.php?workbook=04_01.xlsx&amp;sheet=A0&amp;row=52&amp;col=16&amp;number=1686.7&amp;sourceID=12","1686.7")</f>
        <v>1686.7</v>
      </c>
      <c r="Q52" s="4" t="str">
        <f>HYPERLINK("http://141.218.60.56/~jnz1568/getInfo.php?workbook=04_01.xlsx&amp;sheet=A0&amp;row=52&amp;col=17&amp;number=&amp;sourceID=12","")</f>
        <v/>
      </c>
      <c r="R52" s="4" t="str">
        <f>HYPERLINK("http://141.218.60.56/~jnz1568/getInfo.php?workbook=04_01.xlsx&amp;sheet=A0&amp;row=52&amp;col=18&amp;number=7.127e-09&amp;sourceID=12","7.127e-09")</f>
        <v>7.127e-09</v>
      </c>
      <c r="S52" s="4" t="str">
        <f>HYPERLINK("http://141.218.60.56/~jnz1568/getInfo.php?workbook=04_01.xlsx&amp;sheet=A0&amp;row=52&amp;col=19&amp;number=&amp;sourceID=12","")</f>
        <v/>
      </c>
      <c r="T52" s="4" t="str">
        <f>HYPERLINK("http://141.218.60.56/~jnz1568/getInfo.php?workbook=04_01.xlsx&amp;sheet=A0&amp;row=52&amp;col=20&amp;number=&amp;sourceID=12","")</f>
        <v/>
      </c>
      <c r="U52" s="4" t="str">
        <f>HYPERLINK("http://141.218.60.56/~jnz1568/getInfo.php?workbook=04_01.xlsx&amp;sheet=A0&amp;row=52&amp;col=21&amp;number=&amp;sourceID=20","")</f>
        <v/>
      </c>
    </row>
    <row r="53" spans="1:21">
      <c r="A53" s="3">
        <v>4</v>
      </c>
      <c r="B53" s="3">
        <v>1</v>
      </c>
      <c r="C53" s="3">
        <v>11</v>
      </c>
      <c r="D53" s="3">
        <v>8</v>
      </c>
      <c r="E53" s="3">
        <f>((1/(INDEX(E0!J$4:J$28,C53,1)-INDEX(E0!J$4:J$28,D53,1))))*100000000</f>
        <v>0</v>
      </c>
      <c r="F53" s="4" t="str">
        <f>HYPERLINK("http://141.218.60.56/~jnz1568/getInfo.php?workbook=04_01.xlsx&amp;sheet=A0&amp;row=53&amp;col=6&amp;number=&amp;sourceID=18","")</f>
        <v/>
      </c>
      <c r="G53" s="4" t="str">
        <f>HYPERLINK("http://141.218.60.56/~jnz1568/getInfo.php?workbook=04_01.xlsx&amp;sheet=A0&amp;row=53&amp;col=7&amp;number==&amp;sourceID=11","=")</f>
        <v>=</v>
      </c>
      <c r="H53" s="4" t="str">
        <f>HYPERLINK("http://141.218.60.56/~jnz1568/getInfo.php?workbook=04_01.xlsx&amp;sheet=A0&amp;row=53&amp;col=8&amp;number=314040000&amp;sourceID=11","314040000")</f>
        <v>314040000</v>
      </c>
      <c r="I53" s="4" t="str">
        <f>HYPERLINK("http://141.218.60.56/~jnz1568/getInfo.php?workbook=04_01.xlsx&amp;sheet=A0&amp;row=53&amp;col=9&amp;number=&amp;sourceID=11","")</f>
        <v/>
      </c>
      <c r="J53" s="4" t="str">
        <f>HYPERLINK("http://141.218.60.56/~jnz1568/getInfo.php?workbook=04_01.xlsx&amp;sheet=A0&amp;row=53&amp;col=10&amp;number=&amp;sourceID=11","")</f>
        <v/>
      </c>
      <c r="K53" s="4" t="str">
        <f>HYPERLINK("http://141.218.60.56/~jnz1568/getInfo.php?workbook=04_01.xlsx&amp;sheet=A0&amp;row=53&amp;col=11&amp;number=&amp;sourceID=11","")</f>
        <v/>
      </c>
      <c r="L53" s="4" t="str">
        <f>HYPERLINK("http://141.218.60.56/~jnz1568/getInfo.php?workbook=04_01.xlsx&amp;sheet=A0&amp;row=53&amp;col=12&amp;number=0.025251&amp;sourceID=11","0.025251")</f>
        <v>0.025251</v>
      </c>
      <c r="M53" s="4" t="str">
        <f>HYPERLINK("http://141.218.60.56/~jnz1568/getInfo.php?workbook=04_01.xlsx&amp;sheet=A0&amp;row=53&amp;col=13&amp;number=&amp;sourceID=11","")</f>
        <v/>
      </c>
      <c r="N53" s="4" t="str">
        <f>HYPERLINK("http://141.218.60.56/~jnz1568/getInfo.php?workbook=04_01.xlsx&amp;sheet=A0&amp;row=53&amp;col=14&amp;number=314060000&amp;sourceID=12","314060000")</f>
        <v>314060000</v>
      </c>
      <c r="O53" s="4" t="str">
        <f>HYPERLINK("http://141.218.60.56/~jnz1568/getInfo.php?workbook=04_01.xlsx&amp;sheet=A0&amp;row=53&amp;col=15&amp;number=314060000&amp;sourceID=12","314060000")</f>
        <v>314060000</v>
      </c>
      <c r="P53" s="4" t="str">
        <f>HYPERLINK("http://141.218.60.56/~jnz1568/getInfo.php?workbook=04_01.xlsx&amp;sheet=A0&amp;row=53&amp;col=16&amp;number=&amp;sourceID=12","")</f>
        <v/>
      </c>
      <c r="Q53" s="4" t="str">
        <f>HYPERLINK("http://141.218.60.56/~jnz1568/getInfo.php?workbook=04_01.xlsx&amp;sheet=A0&amp;row=53&amp;col=17&amp;number=&amp;sourceID=12","")</f>
        <v/>
      </c>
      <c r="R53" s="4" t="str">
        <f>HYPERLINK("http://141.218.60.56/~jnz1568/getInfo.php?workbook=04_01.xlsx&amp;sheet=A0&amp;row=53&amp;col=18&amp;number=&amp;sourceID=12","")</f>
        <v/>
      </c>
      <c r="S53" s="4" t="str">
        <f>HYPERLINK("http://141.218.60.56/~jnz1568/getInfo.php?workbook=04_01.xlsx&amp;sheet=A0&amp;row=53&amp;col=19&amp;number=0.025252&amp;sourceID=12","0.025252")</f>
        <v>0.025252</v>
      </c>
      <c r="T53" s="4" t="str">
        <f>HYPERLINK("http://141.218.60.56/~jnz1568/getInfo.php?workbook=04_01.xlsx&amp;sheet=A0&amp;row=53&amp;col=20&amp;number=&amp;sourceID=12","")</f>
        <v/>
      </c>
      <c r="U53" s="4" t="str">
        <f>HYPERLINK("http://141.218.60.56/~jnz1568/getInfo.php?workbook=04_01.xlsx&amp;sheet=A0&amp;row=53&amp;col=21&amp;number=&amp;sourceID=20","")</f>
        <v/>
      </c>
    </row>
    <row r="54" spans="1:21">
      <c r="A54" s="3">
        <v>4</v>
      </c>
      <c r="B54" s="3">
        <v>1</v>
      </c>
      <c r="C54" s="3">
        <v>11</v>
      </c>
      <c r="D54" s="3">
        <v>9</v>
      </c>
      <c r="E54" s="3">
        <f>((1/(INDEX(E0!J$4:J$28,C54,1)-INDEX(E0!J$4:J$28,D54,1))))*100000000</f>
        <v>0</v>
      </c>
      <c r="F54" s="4" t="str">
        <f>HYPERLINK("http://141.218.60.56/~jnz1568/getInfo.php?workbook=04_01.xlsx&amp;sheet=A0&amp;row=54&amp;col=6&amp;number=&amp;sourceID=18","")</f>
        <v/>
      </c>
      <c r="G54" s="4" t="str">
        <f>HYPERLINK("http://141.218.60.56/~jnz1568/getInfo.php?workbook=04_01.xlsx&amp;sheet=A0&amp;row=54&amp;col=7&amp;number==&amp;sourceID=11","=")</f>
        <v>=</v>
      </c>
      <c r="H54" s="4" t="str">
        <f>HYPERLINK("http://141.218.60.56/~jnz1568/getInfo.php?workbook=04_01.xlsx&amp;sheet=A0&amp;row=54&amp;col=8&amp;number=&amp;sourceID=11","")</f>
        <v/>
      </c>
      <c r="I54" s="4" t="str">
        <f>HYPERLINK("http://141.218.60.56/~jnz1568/getInfo.php?workbook=04_01.xlsx&amp;sheet=A0&amp;row=54&amp;col=9&amp;number=2530.1&amp;sourceID=11","2530.1")</f>
        <v>2530.1</v>
      </c>
      <c r="J54" s="4" t="str">
        <f>HYPERLINK("http://141.218.60.56/~jnz1568/getInfo.php?workbook=04_01.xlsx&amp;sheet=A0&amp;row=54&amp;col=10&amp;number=&amp;sourceID=11","")</f>
        <v/>
      </c>
      <c r="K54" s="4" t="str">
        <f>HYPERLINK("http://141.218.60.56/~jnz1568/getInfo.php?workbook=04_01.xlsx&amp;sheet=A0&amp;row=54&amp;col=11&amp;number=&amp;sourceID=11","")</f>
        <v/>
      </c>
      <c r="L54" s="4" t="str">
        <f>HYPERLINK("http://141.218.60.56/~jnz1568/getInfo.php?workbook=04_01.xlsx&amp;sheet=A0&amp;row=54&amp;col=12&amp;number=&amp;sourceID=11","")</f>
        <v/>
      </c>
      <c r="M54" s="4" t="str">
        <f>HYPERLINK("http://141.218.60.56/~jnz1568/getInfo.php?workbook=04_01.xlsx&amp;sheet=A0&amp;row=54&amp;col=13&amp;number=2.4105e-07&amp;sourceID=11","2.4105e-07")</f>
        <v>2.4105e-07</v>
      </c>
      <c r="N54" s="4" t="str">
        <f>HYPERLINK("http://141.218.60.56/~jnz1568/getInfo.php?workbook=04_01.xlsx&amp;sheet=A0&amp;row=54&amp;col=14&amp;number=2530.3&amp;sourceID=12","2530.3")</f>
        <v>2530.3</v>
      </c>
      <c r="O54" s="4" t="str">
        <f>HYPERLINK("http://141.218.60.56/~jnz1568/getInfo.php?workbook=04_01.xlsx&amp;sheet=A0&amp;row=54&amp;col=15&amp;number=&amp;sourceID=12","")</f>
        <v/>
      </c>
      <c r="P54" s="4" t="str">
        <f>HYPERLINK("http://141.218.60.56/~jnz1568/getInfo.php?workbook=04_01.xlsx&amp;sheet=A0&amp;row=54&amp;col=16&amp;number=2530.3&amp;sourceID=12","2530.3")</f>
        <v>2530.3</v>
      </c>
      <c r="Q54" s="4" t="str">
        <f>HYPERLINK("http://141.218.60.56/~jnz1568/getInfo.php?workbook=04_01.xlsx&amp;sheet=A0&amp;row=54&amp;col=17&amp;number=&amp;sourceID=12","")</f>
        <v/>
      </c>
      <c r="R54" s="4" t="str">
        <f>HYPERLINK("http://141.218.60.56/~jnz1568/getInfo.php?workbook=04_01.xlsx&amp;sheet=A0&amp;row=54&amp;col=18&amp;number=&amp;sourceID=12","")</f>
        <v/>
      </c>
      <c r="S54" s="4" t="str">
        <f>HYPERLINK("http://141.218.60.56/~jnz1568/getInfo.php?workbook=04_01.xlsx&amp;sheet=A0&amp;row=54&amp;col=19&amp;number=&amp;sourceID=12","")</f>
        <v/>
      </c>
      <c r="T54" s="4" t="str">
        <f>HYPERLINK("http://141.218.60.56/~jnz1568/getInfo.php?workbook=04_01.xlsx&amp;sheet=A0&amp;row=54&amp;col=20&amp;number=2.4106e-07&amp;sourceID=12","2.4106e-07")</f>
        <v>2.4106e-07</v>
      </c>
      <c r="U54" s="4" t="str">
        <f>HYPERLINK("http://141.218.60.56/~jnz1568/getInfo.php?workbook=04_01.xlsx&amp;sheet=A0&amp;row=54&amp;col=21&amp;number=&amp;sourceID=20","")</f>
        <v/>
      </c>
    </row>
    <row r="55" spans="1:21">
      <c r="A55" s="3">
        <v>4</v>
      </c>
      <c r="B55" s="3">
        <v>1</v>
      </c>
      <c r="C55" s="3">
        <v>12</v>
      </c>
      <c r="D55" s="3">
        <v>1</v>
      </c>
      <c r="E55" s="3">
        <f>((1/(INDEX(E0!J$4:J$28,C55,1)-INDEX(E0!J$4:J$28,D55,1))))*100000000</f>
        <v>0</v>
      </c>
      <c r="F55" s="4" t="str">
        <f>HYPERLINK("http://141.218.60.56/~jnz1568/getInfo.php?workbook=04_01.xlsx&amp;sheet=A0&amp;row=55&amp;col=6&amp;number=&amp;sourceID=18","")</f>
        <v/>
      </c>
      <c r="G55" s="4" t="str">
        <f>HYPERLINK("http://141.218.60.56/~jnz1568/getInfo.php?workbook=04_01.xlsx&amp;sheet=A0&amp;row=55&amp;col=7&amp;number==&amp;sourceID=11","=")</f>
        <v>=</v>
      </c>
      <c r="H55" s="4" t="str">
        <f>HYPERLINK("http://141.218.60.56/~jnz1568/getInfo.php?workbook=04_01.xlsx&amp;sheet=A0&amp;row=55&amp;col=8&amp;number=&amp;sourceID=11","")</f>
        <v/>
      </c>
      <c r="I55" s="4" t="str">
        <f>HYPERLINK("http://141.218.60.56/~jnz1568/getInfo.php?workbook=04_01.xlsx&amp;sheet=A0&amp;row=55&amp;col=9&amp;number=1338800&amp;sourceID=11","1338800")</f>
        <v>1338800</v>
      </c>
      <c r="J55" s="4" t="str">
        <f>HYPERLINK("http://141.218.60.56/~jnz1568/getInfo.php?workbook=04_01.xlsx&amp;sheet=A0&amp;row=55&amp;col=10&amp;number=&amp;sourceID=11","")</f>
        <v/>
      </c>
      <c r="K55" s="4" t="str">
        <f>HYPERLINK("http://141.218.60.56/~jnz1568/getInfo.php?workbook=04_01.xlsx&amp;sheet=A0&amp;row=55&amp;col=11&amp;number=0.004534&amp;sourceID=11","0.004534")</f>
        <v>0.004534</v>
      </c>
      <c r="L55" s="4" t="str">
        <f>HYPERLINK("http://141.218.60.56/~jnz1568/getInfo.php?workbook=04_01.xlsx&amp;sheet=A0&amp;row=55&amp;col=12&amp;number=&amp;sourceID=11","")</f>
        <v/>
      </c>
      <c r="M55" s="4" t="str">
        <f>HYPERLINK("http://141.218.60.56/~jnz1568/getInfo.php?workbook=04_01.xlsx&amp;sheet=A0&amp;row=55&amp;col=13&amp;number=&amp;sourceID=11","")</f>
        <v/>
      </c>
      <c r="N55" s="4" t="str">
        <f>HYPERLINK("http://141.218.60.56/~jnz1568/getInfo.php?workbook=04_01.xlsx&amp;sheet=A0&amp;row=55&amp;col=14&amp;number=1338900&amp;sourceID=12","1338900")</f>
        <v>1338900</v>
      </c>
      <c r="O55" s="4" t="str">
        <f>HYPERLINK("http://141.218.60.56/~jnz1568/getInfo.php?workbook=04_01.xlsx&amp;sheet=A0&amp;row=55&amp;col=15&amp;number=&amp;sourceID=12","")</f>
        <v/>
      </c>
      <c r="P55" s="4" t="str">
        <f>HYPERLINK("http://141.218.60.56/~jnz1568/getInfo.php?workbook=04_01.xlsx&amp;sheet=A0&amp;row=55&amp;col=16&amp;number=1338900&amp;sourceID=12","1338900")</f>
        <v>1338900</v>
      </c>
      <c r="Q55" s="4" t="str">
        <f>HYPERLINK("http://141.218.60.56/~jnz1568/getInfo.php?workbook=04_01.xlsx&amp;sheet=A0&amp;row=55&amp;col=17&amp;number=&amp;sourceID=12","")</f>
        <v/>
      </c>
      <c r="R55" s="4" t="str">
        <f>HYPERLINK("http://141.218.60.56/~jnz1568/getInfo.php?workbook=04_01.xlsx&amp;sheet=A0&amp;row=55&amp;col=18&amp;number=0.0045411&amp;sourceID=12","0.0045411")</f>
        <v>0.0045411</v>
      </c>
      <c r="S55" s="4" t="str">
        <f>HYPERLINK("http://141.218.60.56/~jnz1568/getInfo.php?workbook=04_01.xlsx&amp;sheet=A0&amp;row=55&amp;col=19&amp;number=&amp;sourceID=12","")</f>
        <v/>
      </c>
      <c r="T55" s="4" t="str">
        <f>HYPERLINK("http://141.218.60.56/~jnz1568/getInfo.php?workbook=04_01.xlsx&amp;sheet=A0&amp;row=55&amp;col=20&amp;number=&amp;sourceID=12","")</f>
        <v/>
      </c>
      <c r="U55" s="4" t="str">
        <f>HYPERLINK("http://141.218.60.56/~jnz1568/getInfo.php?workbook=04_01.xlsx&amp;sheet=A0&amp;row=55&amp;col=21&amp;number=&amp;sourceID=20","")</f>
        <v/>
      </c>
    </row>
    <row r="56" spans="1:21">
      <c r="A56" s="3">
        <v>4</v>
      </c>
      <c r="B56" s="3">
        <v>1</v>
      </c>
      <c r="C56" s="3">
        <v>12</v>
      </c>
      <c r="D56" s="3">
        <v>2</v>
      </c>
      <c r="E56" s="3">
        <f>((1/(INDEX(E0!J$4:J$28,C56,1)-INDEX(E0!J$4:J$28,D56,1))))*100000000</f>
        <v>0</v>
      </c>
      <c r="F56" s="4" t="str">
        <f>HYPERLINK("http://141.218.60.56/~jnz1568/getInfo.php?workbook=04_01.xlsx&amp;sheet=A0&amp;row=56&amp;col=6&amp;number=&amp;sourceID=18","")</f>
        <v/>
      </c>
      <c r="G56" s="4" t="str">
        <f>HYPERLINK("http://141.218.60.56/~jnz1568/getInfo.php?workbook=04_01.xlsx&amp;sheet=A0&amp;row=56&amp;col=7&amp;number==&amp;sourceID=11","=")</f>
        <v>=</v>
      </c>
      <c r="H56" s="4" t="str">
        <f>HYPERLINK("http://141.218.60.56/~jnz1568/getInfo.php?workbook=04_01.xlsx&amp;sheet=A0&amp;row=56&amp;col=8&amp;number=4404700000&amp;sourceID=11","4404700000")</f>
        <v>4404700000</v>
      </c>
      <c r="I56" s="4" t="str">
        <f>HYPERLINK("http://141.218.60.56/~jnz1568/getInfo.php?workbook=04_01.xlsx&amp;sheet=A0&amp;row=56&amp;col=9&amp;number=&amp;sourceID=11","")</f>
        <v/>
      </c>
      <c r="J56" s="4" t="str">
        <f>HYPERLINK("http://141.218.60.56/~jnz1568/getInfo.php?workbook=04_01.xlsx&amp;sheet=A0&amp;row=56&amp;col=10&amp;number=&amp;sourceID=11","")</f>
        <v/>
      </c>
      <c r="K56" s="4" t="str">
        <f>HYPERLINK("http://141.218.60.56/~jnz1568/getInfo.php?workbook=04_01.xlsx&amp;sheet=A0&amp;row=56&amp;col=11&amp;number=&amp;sourceID=11","")</f>
        <v/>
      </c>
      <c r="L56" s="4" t="str">
        <f>HYPERLINK("http://141.218.60.56/~jnz1568/getInfo.php?workbook=04_01.xlsx&amp;sheet=A0&amp;row=56&amp;col=12&amp;number=0.21086&amp;sourceID=11","0.21086")</f>
        <v>0.21086</v>
      </c>
      <c r="M56" s="4" t="str">
        <f>HYPERLINK("http://141.218.60.56/~jnz1568/getInfo.php?workbook=04_01.xlsx&amp;sheet=A0&amp;row=56&amp;col=13&amp;number=&amp;sourceID=11","")</f>
        <v/>
      </c>
      <c r="N56" s="4" t="str">
        <f>HYPERLINK("http://141.218.60.56/~jnz1568/getInfo.php?workbook=04_01.xlsx&amp;sheet=A0&amp;row=56&amp;col=14&amp;number=4405000000&amp;sourceID=12","4405000000")</f>
        <v>4405000000</v>
      </c>
      <c r="O56" s="4" t="str">
        <f>HYPERLINK("http://141.218.60.56/~jnz1568/getInfo.php?workbook=04_01.xlsx&amp;sheet=A0&amp;row=56&amp;col=15&amp;number=4405000000&amp;sourceID=12","4405000000")</f>
        <v>4405000000</v>
      </c>
      <c r="P56" s="4" t="str">
        <f>HYPERLINK("http://141.218.60.56/~jnz1568/getInfo.php?workbook=04_01.xlsx&amp;sheet=A0&amp;row=56&amp;col=16&amp;number=&amp;sourceID=12","")</f>
        <v/>
      </c>
      <c r="Q56" s="4" t="str">
        <f>HYPERLINK("http://141.218.60.56/~jnz1568/getInfo.php?workbook=04_01.xlsx&amp;sheet=A0&amp;row=56&amp;col=17&amp;number=&amp;sourceID=12","")</f>
        <v/>
      </c>
      <c r="R56" s="4" t="str">
        <f>HYPERLINK("http://141.218.60.56/~jnz1568/getInfo.php?workbook=04_01.xlsx&amp;sheet=A0&amp;row=56&amp;col=18&amp;number=&amp;sourceID=12","")</f>
        <v/>
      </c>
      <c r="S56" s="4" t="str">
        <f>HYPERLINK("http://141.218.60.56/~jnz1568/getInfo.php?workbook=04_01.xlsx&amp;sheet=A0&amp;row=56&amp;col=19&amp;number=0.21087&amp;sourceID=12","0.21087")</f>
        <v>0.21087</v>
      </c>
      <c r="T56" s="4" t="str">
        <f>HYPERLINK("http://141.218.60.56/~jnz1568/getInfo.php?workbook=04_01.xlsx&amp;sheet=A0&amp;row=56&amp;col=20&amp;number=&amp;sourceID=12","")</f>
        <v/>
      </c>
      <c r="U56" s="4" t="str">
        <f>HYPERLINK("http://141.218.60.56/~jnz1568/getInfo.php?workbook=04_01.xlsx&amp;sheet=A0&amp;row=56&amp;col=21&amp;number=&amp;sourceID=20","")</f>
        <v/>
      </c>
    </row>
    <row r="57" spans="1:21">
      <c r="A57" s="3">
        <v>4</v>
      </c>
      <c r="B57" s="3">
        <v>1</v>
      </c>
      <c r="C57" s="3">
        <v>12</v>
      </c>
      <c r="D57" s="3">
        <v>3</v>
      </c>
      <c r="E57" s="3">
        <f>((1/(INDEX(E0!J$4:J$28,C57,1)-INDEX(E0!J$4:J$28,D57,1))))*100000000</f>
        <v>0</v>
      </c>
      <c r="F57" s="4" t="str">
        <f>HYPERLINK("http://141.218.60.56/~jnz1568/getInfo.php?workbook=04_01.xlsx&amp;sheet=A0&amp;row=57&amp;col=6&amp;number=&amp;sourceID=18","")</f>
        <v/>
      </c>
      <c r="G57" s="4" t="str">
        <f>HYPERLINK("http://141.218.60.56/~jnz1568/getInfo.php?workbook=04_01.xlsx&amp;sheet=A0&amp;row=57&amp;col=7&amp;number==&amp;sourceID=11","=")</f>
        <v>=</v>
      </c>
      <c r="H57" s="4" t="str">
        <f>HYPERLINK("http://141.218.60.56/~jnz1568/getInfo.php?workbook=04_01.xlsx&amp;sheet=A0&amp;row=57&amp;col=8&amp;number=&amp;sourceID=11","")</f>
        <v/>
      </c>
      <c r="I57" s="4" t="str">
        <f>HYPERLINK("http://141.218.60.56/~jnz1568/getInfo.php?workbook=04_01.xlsx&amp;sheet=A0&amp;row=57&amp;col=9&amp;number=21143&amp;sourceID=11","21143")</f>
        <v>21143</v>
      </c>
      <c r="J57" s="4" t="str">
        <f>HYPERLINK("http://141.218.60.56/~jnz1568/getInfo.php?workbook=04_01.xlsx&amp;sheet=A0&amp;row=57&amp;col=10&amp;number=&amp;sourceID=11","")</f>
        <v/>
      </c>
      <c r="K57" s="4" t="str">
        <f>HYPERLINK("http://141.218.60.56/~jnz1568/getInfo.php?workbook=04_01.xlsx&amp;sheet=A0&amp;row=57&amp;col=11&amp;number=6.3363e-05&amp;sourceID=11","6.3363e-05")</f>
        <v>6.3363e-05</v>
      </c>
      <c r="L57" s="4" t="str">
        <f>HYPERLINK("http://141.218.60.56/~jnz1568/getInfo.php?workbook=04_01.xlsx&amp;sheet=A0&amp;row=57&amp;col=12&amp;number=&amp;sourceID=11","")</f>
        <v/>
      </c>
      <c r="M57" s="4" t="str">
        <f>HYPERLINK("http://141.218.60.56/~jnz1568/getInfo.php?workbook=04_01.xlsx&amp;sheet=A0&amp;row=57&amp;col=13&amp;number=&amp;sourceID=11","")</f>
        <v/>
      </c>
      <c r="N57" s="4" t="str">
        <f>HYPERLINK("http://141.218.60.56/~jnz1568/getInfo.php?workbook=04_01.xlsx&amp;sheet=A0&amp;row=57&amp;col=14&amp;number=21144&amp;sourceID=12","21144")</f>
        <v>21144</v>
      </c>
      <c r="O57" s="4" t="str">
        <f>HYPERLINK("http://141.218.60.56/~jnz1568/getInfo.php?workbook=04_01.xlsx&amp;sheet=A0&amp;row=57&amp;col=15&amp;number=&amp;sourceID=12","")</f>
        <v/>
      </c>
      <c r="P57" s="4" t="str">
        <f>HYPERLINK("http://141.218.60.56/~jnz1568/getInfo.php?workbook=04_01.xlsx&amp;sheet=A0&amp;row=57&amp;col=16&amp;number=21144&amp;sourceID=12","21144")</f>
        <v>21144</v>
      </c>
      <c r="Q57" s="4" t="str">
        <f>HYPERLINK("http://141.218.60.56/~jnz1568/getInfo.php?workbook=04_01.xlsx&amp;sheet=A0&amp;row=57&amp;col=17&amp;number=&amp;sourceID=12","")</f>
        <v/>
      </c>
      <c r="R57" s="4" t="str">
        <f>HYPERLINK("http://141.218.60.56/~jnz1568/getInfo.php?workbook=04_01.xlsx&amp;sheet=A0&amp;row=57&amp;col=18&amp;number=6.3373e-05&amp;sourceID=12","6.3373e-05")</f>
        <v>6.3373e-05</v>
      </c>
      <c r="S57" s="4" t="str">
        <f>HYPERLINK("http://141.218.60.56/~jnz1568/getInfo.php?workbook=04_01.xlsx&amp;sheet=A0&amp;row=57&amp;col=19&amp;number=&amp;sourceID=12","")</f>
        <v/>
      </c>
      <c r="T57" s="4" t="str">
        <f>HYPERLINK("http://141.218.60.56/~jnz1568/getInfo.php?workbook=04_01.xlsx&amp;sheet=A0&amp;row=57&amp;col=20&amp;number=&amp;sourceID=12","")</f>
        <v/>
      </c>
      <c r="U57" s="4" t="str">
        <f>HYPERLINK("http://141.218.60.56/~jnz1568/getInfo.php?workbook=04_01.xlsx&amp;sheet=A0&amp;row=57&amp;col=21&amp;number=&amp;sourceID=20","")</f>
        <v/>
      </c>
    </row>
    <row r="58" spans="1:21">
      <c r="A58" s="3">
        <v>4</v>
      </c>
      <c r="B58" s="3">
        <v>1</v>
      </c>
      <c r="C58" s="3">
        <v>12</v>
      </c>
      <c r="D58" s="3">
        <v>4</v>
      </c>
      <c r="E58" s="3">
        <f>((1/(INDEX(E0!J$4:J$28,C58,1)-INDEX(E0!J$4:J$28,D58,1))))*100000000</f>
        <v>0</v>
      </c>
      <c r="F58" s="4" t="str">
        <f>HYPERLINK("http://141.218.60.56/~jnz1568/getInfo.php?workbook=04_01.xlsx&amp;sheet=A0&amp;row=58&amp;col=6&amp;number=&amp;sourceID=18","")</f>
        <v/>
      </c>
      <c r="G58" s="4" t="str">
        <f>HYPERLINK("http://141.218.60.56/~jnz1568/getInfo.php?workbook=04_01.xlsx&amp;sheet=A0&amp;row=58&amp;col=7&amp;number==&amp;sourceID=11","=")</f>
        <v>=</v>
      </c>
      <c r="H58" s="4" t="str">
        <f>HYPERLINK("http://141.218.60.56/~jnz1568/getInfo.php?workbook=04_01.xlsx&amp;sheet=A0&amp;row=58&amp;col=8&amp;number=880290000&amp;sourceID=11","880290000")</f>
        <v>880290000</v>
      </c>
      <c r="I58" s="4" t="str">
        <f>HYPERLINK("http://141.218.60.56/~jnz1568/getInfo.php?workbook=04_01.xlsx&amp;sheet=A0&amp;row=58&amp;col=9&amp;number=&amp;sourceID=11","")</f>
        <v/>
      </c>
      <c r="J58" s="4" t="str">
        <f>HYPERLINK("http://141.218.60.56/~jnz1568/getInfo.php?workbook=04_01.xlsx&amp;sheet=A0&amp;row=58&amp;col=10&amp;number=5.1405e-08&amp;sourceID=11","5.1405e-08")</f>
        <v>5.1405e-08</v>
      </c>
      <c r="K58" s="4" t="str">
        <f>HYPERLINK("http://141.218.60.56/~jnz1568/getInfo.php?workbook=04_01.xlsx&amp;sheet=A0&amp;row=58&amp;col=11&amp;number=&amp;sourceID=11","")</f>
        <v/>
      </c>
      <c r="L58" s="4" t="str">
        <f>HYPERLINK("http://141.218.60.56/~jnz1568/getInfo.php?workbook=04_01.xlsx&amp;sheet=A0&amp;row=58&amp;col=12&amp;number=&amp;sourceID=11","")</f>
        <v/>
      </c>
      <c r="M58" s="4" t="str">
        <f>HYPERLINK("http://141.218.60.56/~jnz1568/getInfo.php?workbook=04_01.xlsx&amp;sheet=A0&amp;row=58&amp;col=13&amp;number=&amp;sourceID=11","")</f>
        <v/>
      </c>
      <c r="N58" s="4" t="str">
        <f>HYPERLINK("http://141.218.60.56/~jnz1568/getInfo.php?workbook=04_01.xlsx&amp;sheet=A0&amp;row=58&amp;col=14&amp;number=880340000&amp;sourceID=12","880340000")</f>
        <v>880340000</v>
      </c>
      <c r="O58" s="4" t="str">
        <f>HYPERLINK("http://141.218.60.56/~jnz1568/getInfo.php?workbook=04_01.xlsx&amp;sheet=A0&amp;row=58&amp;col=15&amp;number=880340000&amp;sourceID=12","880340000")</f>
        <v>880340000</v>
      </c>
      <c r="P58" s="4" t="str">
        <f>HYPERLINK("http://141.218.60.56/~jnz1568/getInfo.php?workbook=04_01.xlsx&amp;sheet=A0&amp;row=58&amp;col=16&amp;number=&amp;sourceID=12","")</f>
        <v/>
      </c>
      <c r="Q58" s="4" t="str">
        <f>HYPERLINK("http://141.218.60.56/~jnz1568/getInfo.php?workbook=04_01.xlsx&amp;sheet=A0&amp;row=58&amp;col=17&amp;number=5.1355e-08&amp;sourceID=12","5.1355e-08")</f>
        <v>5.1355e-08</v>
      </c>
      <c r="R58" s="4" t="str">
        <f>HYPERLINK("http://141.218.60.56/~jnz1568/getInfo.php?workbook=04_01.xlsx&amp;sheet=A0&amp;row=58&amp;col=18&amp;number=&amp;sourceID=12","")</f>
        <v/>
      </c>
      <c r="S58" s="4" t="str">
        <f>HYPERLINK("http://141.218.60.56/~jnz1568/getInfo.php?workbook=04_01.xlsx&amp;sheet=A0&amp;row=58&amp;col=19&amp;number=&amp;sourceID=12","")</f>
        <v/>
      </c>
      <c r="T58" s="4" t="str">
        <f>HYPERLINK("http://141.218.60.56/~jnz1568/getInfo.php?workbook=04_01.xlsx&amp;sheet=A0&amp;row=58&amp;col=20&amp;number=&amp;sourceID=12","")</f>
        <v/>
      </c>
      <c r="U58" s="4" t="str">
        <f>HYPERLINK("http://141.218.60.56/~jnz1568/getInfo.php?workbook=04_01.xlsx&amp;sheet=A0&amp;row=58&amp;col=21&amp;number=&amp;sourceID=20","")</f>
        <v/>
      </c>
    </row>
    <row r="59" spans="1:21">
      <c r="A59" s="3">
        <v>4</v>
      </c>
      <c r="B59" s="3">
        <v>1</v>
      </c>
      <c r="C59" s="3">
        <v>12</v>
      </c>
      <c r="D59" s="3">
        <v>5</v>
      </c>
      <c r="E59" s="3">
        <f>((1/(INDEX(E0!J$4:J$28,C59,1)-INDEX(E0!J$4:J$28,D59,1))))*100000000</f>
        <v>0</v>
      </c>
      <c r="F59" s="4" t="str">
        <f>HYPERLINK("http://141.218.60.56/~jnz1568/getInfo.php?workbook=04_01.xlsx&amp;sheet=A0&amp;row=59&amp;col=6&amp;number=&amp;sourceID=18","")</f>
        <v/>
      </c>
      <c r="G59" s="4" t="str">
        <f>HYPERLINK("http://141.218.60.56/~jnz1568/getInfo.php?workbook=04_01.xlsx&amp;sheet=A0&amp;row=59&amp;col=7&amp;number==&amp;sourceID=11","=")</f>
        <v>=</v>
      </c>
      <c r="H59" s="4" t="str">
        <f>HYPERLINK("http://141.218.60.56/~jnz1568/getInfo.php?workbook=04_01.xlsx&amp;sheet=A0&amp;row=59&amp;col=8&amp;number=1502100000&amp;sourceID=11","1502100000")</f>
        <v>1502100000</v>
      </c>
      <c r="I59" s="4" t="str">
        <f>HYPERLINK("http://141.218.60.56/~jnz1568/getInfo.php?workbook=04_01.xlsx&amp;sheet=A0&amp;row=59&amp;col=9&amp;number=&amp;sourceID=11","")</f>
        <v/>
      </c>
      <c r="J59" s="4" t="str">
        <f>HYPERLINK("http://141.218.60.56/~jnz1568/getInfo.php?workbook=04_01.xlsx&amp;sheet=A0&amp;row=59&amp;col=10&amp;number=&amp;sourceID=11","")</f>
        <v/>
      </c>
      <c r="K59" s="4" t="str">
        <f>HYPERLINK("http://141.218.60.56/~jnz1568/getInfo.php?workbook=04_01.xlsx&amp;sheet=A0&amp;row=59&amp;col=11&amp;number=&amp;sourceID=11","")</f>
        <v/>
      </c>
      <c r="L59" s="4" t="str">
        <f>HYPERLINK("http://141.218.60.56/~jnz1568/getInfo.php?workbook=04_01.xlsx&amp;sheet=A0&amp;row=59&amp;col=12&amp;number=0.004835&amp;sourceID=11","0.004835")</f>
        <v>0.004835</v>
      </c>
      <c r="M59" s="4" t="str">
        <f>HYPERLINK("http://141.218.60.56/~jnz1568/getInfo.php?workbook=04_01.xlsx&amp;sheet=A0&amp;row=59&amp;col=13&amp;number=&amp;sourceID=11","")</f>
        <v/>
      </c>
      <c r="N59" s="4" t="str">
        <f>HYPERLINK("http://141.218.60.56/~jnz1568/getInfo.php?workbook=04_01.xlsx&amp;sheet=A0&amp;row=59&amp;col=14&amp;number=1502200000&amp;sourceID=12","1502200000")</f>
        <v>1502200000</v>
      </c>
      <c r="O59" s="4" t="str">
        <f>HYPERLINK("http://141.218.60.56/~jnz1568/getInfo.php?workbook=04_01.xlsx&amp;sheet=A0&amp;row=59&amp;col=15&amp;number=1502200000&amp;sourceID=12","1502200000")</f>
        <v>1502200000</v>
      </c>
      <c r="P59" s="4" t="str">
        <f>HYPERLINK("http://141.218.60.56/~jnz1568/getInfo.php?workbook=04_01.xlsx&amp;sheet=A0&amp;row=59&amp;col=16&amp;number=&amp;sourceID=12","")</f>
        <v/>
      </c>
      <c r="Q59" s="4" t="str">
        <f>HYPERLINK("http://141.218.60.56/~jnz1568/getInfo.php?workbook=04_01.xlsx&amp;sheet=A0&amp;row=59&amp;col=17&amp;number=&amp;sourceID=12","")</f>
        <v/>
      </c>
      <c r="R59" s="4" t="str">
        <f>HYPERLINK("http://141.218.60.56/~jnz1568/getInfo.php?workbook=04_01.xlsx&amp;sheet=A0&amp;row=59&amp;col=18&amp;number=&amp;sourceID=12","")</f>
        <v/>
      </c>
      <c r="S59" s="4" t="str">
        <f>HYPERLINK("http://141.218.60.56/~jnz1568/getInfo.php?workbook=04_01.xlsx&amp;sheet=A0&amp;row=59&amp;col=19&amp;number=0.0048353&amp;sourceID=12","0.0048353")</f>
        <v>0.0048353</v>
      </c>
      <c r="T59" s="4" t="str">
        <f>HYPERLINK("http://141.218.60.56/~jnz1568/getInfo.php?workbook=04_01.xlsx&amp;sheet=A0&amp;row=59&amp;col=20&amp;number=&amp;sourceID=12","")</f>
        <v/>
      </c>
      <c r="U59" s="4" t="str">
        <f>HYPERLINK("http://141.218.60.56/~jnz1568/getInfo.php?workbook=04_01.xlsx&amp;sheet=A0&amp;row=59&amp;col=21&amp;number=&amp;sourceID=20","")</f>
        <v/>
      </c>
    </row>
    <row r="60" spans="1:21">
      <c r="A60" s="3">
        <v>4</v>
      </c>
      <c r="B60" s="3">
        <v>1</v>
      </c>
      <c r="C60" s="3">
        <v>12</v>
      </c>
      <c r="D60" s="3">
        <v>6</v>
      </c>
      <c r="E60" s="3">
        <f>((1/(INDEX(E0!J$4:J$28,C60,1)-INDEX(E0!J$4:J$28,D60,1))))*100000000</f>
        <v>0</v>
      </c>
      <c r="F60" s="4" t="str">
        <f>HYPERLINK("http://141.218.60.56/~jnz1568/getInfo.php?workbook=04_01.xlsx&amp;sheet=A0&amp;row=60&amp;col=6&amp;number=&amp;sourceID=18","")</f>
        <v/>
      </c>
      <c r="G60" s="4" t="str">
        <f>HYPERLINK("http://141.218.60.56/~jnz1568/getInfo.php?workbook=04_01.xlsx&amp;sheet=A0&amp;row=60&amp;col=7&amp;number==&amp;sourceID=11","=")</f>
        <v>=</v>
      </c>
      <c r="H60" s="4" t="str">
        <f>HYPERLINK("http://141.218.60.56/~jnz1568/getInfo.php?workbook=04_01.xlsx&amp;sheet=A0&amp;row=60&amp;col=8&amp;number=&amp;sourceID=11","")</f>
        <v/>
      </c>
      <c r="I60" s="4" t="str">
        <f>HYPERLINK("http://141.218.60.56/~jnz1568/getInfo.php?workbook=04_01.xlsx&amp;sheet=A0&amp;row=60&amp;col=9&amp;number=15419&amp;sourceID=11","15419")</f>
        <v>15419</v>
      </c>
      <c r="J60" s="4" t="str">
        <f>HYPERLINK("http://141.218.60.56/~jnz1568/getInfo.php?workbook=04_01.xlsx&amp;sheet=A0&amp;row=60&amp;col=10&amp;number=&amp;sourceID=11","")</f>
        <v/>
      </c>
      <c r="K60" s="4" t="str">
        <f>HYPERLINK("http://141.218.60.56/~jnz1568/getInfo.php?workbook=04_01.xlsx&amp;sheet=A0&amp;row=60&amp;col=11&amp;number=5.6709e-07&amp;sourceID=11","5.6709e-07")</f>
        <v>5.6709e-07</v>
      </c>
      <c r="L60" s="4" t="str">
        <f>HYPERLINK("http://141.218.60.56/~jnz1568/getInfo.php?workbook=04_01.xlsx&amp;sheet=A0&amp;row=60&amp;col=12&amp;number=&amp;sourceID=11","")</f>
        <v/>
      </c>
      <c r="M60" s="4" t="str">
        <f>HYPERLINK("http://141.218.60.56/~jnz1568/getInfo.php?workbook=04_01.xlsx&amp;sheet=A0&amp;row=60&amp;col=13&amp;number=&amp;sourceID=11","")</f>
        <v/>
      </c>
      <c r="N60" s="4" t="str">
        <f>HYPERLINK("http://141.218.60.56/~jnz1568/getInfo.php?workbook=04_01.xlsx&amp;sheet=A0&amp;row=60&amp;col=14&amp;number=15420&amp;sourceID=12","15420")</f>
        <v>15420</v>
      </c>
      <c r="O60" s="4" t="str">
        <f>HYPERLINK("http://141.218.60.56/~jnz1568/getInfo.php?workbook=04_01.xlsx&amp;sheet=A0&amp;row=60&amp;col=15&amp;number=&amp;sourceID=12","")</f>
        <v/>
      </c>
      <c r="P60" s="4" t="str">
        <f>HYPERLINK("http://141.218.60.56/~jnz1568/getInfo.php?workbook=04_01.xlsx&amp;sheet=A0&amp;row=60&amp;col=16&amp;number=15420&amp;sourceID=12","15420")</f>
        <v>15420</v>
      </c>
      <c r="Q60" s="4" t="str">
        <f>HYPERLINK("http://141.218.60.56/~jnz1568/getInfo.php?workbook=04_01.xlsx&amp;sheet=A0&amp;row=60&amp;col=17&amp;number=&amp;sourceID=12","")</f>
        <v/>
      </c>
      <c r="R60" s="4" t="str">
        <f>HYPERLINK("http://141.218.60.56/~jnz1568/getInfo.php?workbook=04_01.xlsx&amp;sheet=A0&amp;row=60&amp;col=18&amp;number=5.6713e-07&amp;sourceID=12","5.6713e-07")</f>
        <v>5.6713e-07</v>
      </c>
      <c r="S60" s="4" t="str">
        <f>HYPERLINK("http://141.218.60.56/~jnz1568/getInfo.php?workbook=04_01.xlsx&amp;sheet=A0&amp;row=60&amp;col=19&amp;number=&amp;sourceID=12","")</f>
        <v/>
      </c>
      <c r="T60" s="4" t="str">
        <f>HYPERLINK("http://141.218.60.56/~jnz1568/getInfo.php?workbook=04_01.xlsx&amp;sheet=A0&amp;row=60&amp;col=20&amp;number=&amp;sourceID=12","")</f>
        <v/>
      </c>
      <c r="U60" s="4" t="str">
        <f>HYPERLINK("http://141.218.60.56/~jnz1568/getInfo.php?workbook=04_01.xlsx&amp;sheet=A0&amp;row=60&amp;col=21&amp;number=&amp;sourceID=20","")</f>
        <v/>
      </c>
    </row>
    <row r="61" spans="1:21">
      <c r="A61" s="3">
        <v>4</v>
      </c>
      <c r="B61" s="3">
        <v>1</v>
      </c>
      <c r="C61" s="3">
        <v>12</v>
      </c>
      <c r="D61" s="3">
        <v>7</v>
      </c>
      <c r="E61" s="3">
        <f>((1/(INDEX(E0!J$4:J$28,C61,1)-INDEX(E0!J$4:J$28,D61,1))))*100000000</f>
        <v>0</v>
      </c>
      <c r="F61" s="4" t="str">
        <f>HYPERLINK("http://141.218.60.56/~jnz1568/getInfo.php?workbook=04_01.xlsx&amp;sheet=A0&amp;row=61&amp;col=6&amp;number=&amp;sourceID=18","")</f>
        <v/>
      </c>
      <c r="G61" s="4" t="str">
        <f>HYPERLINK("http://141.218.60.56/~jnz1568/getInfo.php?workbook=04_01.xlsx&amp;sheet=A0&amp;row=61&amp;col=7&amp;number==&amp;sourceID=11","=")</f>
        <v>=</v>
      </c>
      <c r="H61" s="4" t="str">
        <f>HYPERLINK("http://141.218.60.56/~jnz1568/getInfo.php?workbook=04_01.xlsx&amp;sheet=A0&amp;row=61&amp;col=8&amp;number=&amp;sourceID=11","")</f>
        <v/>
      </c>
      <c r="I61" s="4" t="str">
        <f>HYPERLINK("http://141.218.60.56/~jnz1568/getInfo.php?workbook=04_01.xlsx&amp;sheet=A0&amp;row=61&amp;col=9&amp;number=3413.1&amp;sourceID=11","3413.1")</f>
        <v>3413.1</v>
      </c>
      <c r="J61" s="4" t="str">
        <f>HYPERLINK("http://141.218.60.56/~jnz1568/getInfo.php?workbook=04_01.xlsx&amp;sheet=A0&amp;row=61&amp;col=10&amp;number=&amp;sourceID=11","")</f>
        <v/>
      </c>
      <c r="K61" s="4" t="str">
        <f>HYPERLINK("http://141.218.60.56/~jnz1568/getInfo.php?workbook=04_01.xlsx&amp;sheet=A0&amp;row=61&amp;col=11&amp;number=1.9131e-05&amp;sourceID=11","1.9131e-05")</f>
        <v>1.9131e-05</v>
      </c>
      <c r="L61" s="4" t="str">
        <f>HYPERLINK("http://141.218.60.56/~jnz1568/getInfo.php?workbook=04_01.xlsx&amp;sheet=A0&amp;row=61&amp;col=12&amp;number=&amp;sourceID=11","")</f>
        <v/>
      </c>
      <c r="M61" s="4" t="str">
        <f>HYPERLINK("http://141.218.60.56/~jnz1568/getInfo.php?workbook=04_01.xlsx&amp;sheet=A0&amp;row=61&amp;col=13&amp;number=1.195e-08&amp;sourceID=11","1.195e-08")</f>
        <v>1.195e-08</v>
      </c>
      <c r="N61" s="4" t="str">
        <f>HYPERLINK("http://141.218.60.56/~jnz1568/getInfo.php?workbook=04_01.xlsx&amp;sheet=A0&amp;row=61&amp;col=14&amp;number=3413.3&amp;sourceID=12","3413.3")</f>
        <v>3413.3</v>
      </c>
      <c r="O61" s="4" t="str">
        <f>HYPERLINK("http://141.218.60.56/~jnz1568/getInfo.php?workbook=04_01.xlsx&amp;sheet=A0&amp;row=61&amp;col=15&amp;number=&amp;sourceID=12","")</f>
        <v/>
      </c>
      <c r="P61" s="4" t="str">
        <f>HYPERLINK("http://141.218.60.56/~jnz1568/getInfo.php?workbook=04_01.xlsx&amp;sheet=A0&amp;row=61&amp;col=16&amp;number=3413.3&amp;sourceID=12","3413.3")</f>
        <v>3413.3</v>
      </c>
      <c r="Q61" s="4" t="str">
        <f>HYPERLINK("http://141.218.60.56/~jnz1568/getInfo.php?workbook=04_01.xlsx&amp;sheet=A0&amp;row=61&amp;col=17&amp;number=&amp;sourceID=12","")</f>
        <v/>
      </c>
      <c r="R61" s="4" t="str">
        <f>HYPERLINK("http://141.218.60.56/~jnz1568/getInfo.php?workbook=04_01.xlsx&amp;sheet=A0&amp;row=61&amp;col=18&amp;number=1.9132e-05&amp;sourceID=12","1.9132e-05")</f>
        <v>1.9132e-05</v>
      </c>
      <c r="S61" s="4" t="str">
        <f>HYPERLINK("http://141.218.60.56/~jnz1568/getInfo.php?workbook=04_01.xlsx&amp;sheet=A0&amp;row=61&amp;col=19&amp;number=&amp;sourceID=12","")</f>
        <v/>
      </c>
      <c r="T61" s="4" t="str">
        <f>HYPERLINK("http://141.218.60.56/~jnz1568/getInfo.php?workbook=04_01.xlsx&amp;sheet=A0&amp;row=61&amp;col=20&amp;number=1.1951e-08&amp;sourceID=12","1.1951e-08")</f>
        <v>1.1951e-08</v>
      </c>
      <c r="U61" s="4" t="str">
        <f>HYPERLINK("http://141.218.60.56/~jnz1568/getInfo.php?workbook=04_01.xlsx&amp;sheet=A0&amp;row=61&amp;col=21&amp;number=&amp;sourceID=20","")</f>
        <v/>
      </c>
    </row>
    <row r="62" spans="1:21">
      <c r="A62" s="3">
        <v>4</v>
      </c>
      <c r="B62" s="3">
        <v>1</v>
      </c>
      <c r="C62" s="3">
        <v>12</v>
      </c>
      <c r="D62" s="3">
        <v>8</v>
      </c>
      <c r="E62" s="3">
        <f>((1/(INDEX(E0!J$4:J$28,C62,1)-INDEX(E0!J$4:J$28,D62,1))))*100000000</f>
        <v>0</v>
      </c>
      <c r="F62" s="4" t="str">
        <f>HYPERLINK("http://141.218.60.56/~jnz1568/getInfo.php?workbook=04_01.xlsx&amp;sheet=A0&amp;row=62&amp;col=6&amp;number=&amp;sourceID=18","")</f>
        <v/>
      </c>
      <c r="G62" s="4" t="str">
        <f>HYPERLINK("http://141.218.60.56/~jnz1568/getInfo.php?workbook=04_01.xlsx&amp;sheet=A0&amp;row=62&amp;col=7&amp;number==&amp;sourceID=11","=")</f>
        <v>=</v>
      </c>
      <c r="H62" s="4" t="str">
        <f>HYPERLINK("http://141.218.60.56/~jnz1568/getInfo.php?workbook=04_01.xlsx&amp;sheet=A0&amp;row=62&amp;col=8&amp;number=300450000&amp;sourceID=11","300450000")</f>
        <v>300450000</v>
      </c>
      <c r="I62" s="4" t="str">
        <f>HYPERLINK("http://141.218.60.56/~jnz1568/getInfo.php?workbook=04_01.xlsx&amp;sheet=A0&amp;row=62&amp;col=9&amp;number=&amp;sourceID=11","")</f>
        <v/>
      </c>
      <c r="J62" s="4" t="str">
        <f>HYPERLINK("http://141.218.60.56/~jnz1568/getInfo.php?workbook=04_01.xlsx&amp;sheet=A0&amp;row=62&amp;col=10&amp;number=0.082428&amp;sourceID=11","0.082428")</f>
        <v>0.082428</v>
      </c>
      <c r="K62" s="4" t="str">
        <f>HYPERLINK("http://141.218.60.56/~jnz1568/getInfo.php?workbook=04_01.xlsx&amp;sheet=A0&amp;row=62&amp;col=11&amp;number=&amp;sourceID=11","")</f>
        <v/>
      </c>
      <c r="L62" s="4" t="str">
        <f>HYPERLINK("http://141.218.60.56/~jnz1568/getInfo.php?workbook=04_01.xlsx&amp;sheet=A0&amp;row=62&amp;col=12&amp;number=&amp;sourceID=11","")</f>
        <v/>
      </c>
      <c r="M62" s="4" t="str">
        <f>HYPERLINK("http://141.218.60.56/~jnz1568/getInfo.php?workbook=04_01.xlsx&amp;sheet=A0&amp;row=62&amp;col=13&amp;number=&amp;sourceID=11","")</f>
        <v/>
      </c>
      <c r="N62" s="4" t="str">
        <f>HYPERLINK("http://141.218.60.56/~jnz1568/getInfo.php?workbook=04_01.xlsx&amp;sheet=A0&amp;row=62&amp;col=14&amp;number=300470000&amp;sourceID=12","300470000")</f>
        <v>300470000</v>
      </c>
      <c r="O62" s="4" t="str">
        <f>HYPERLINK("http://141.218.60.56/~jnz1568/getInfo.php?workbook=04_01.xlsx&amp;sheet=A0&amp;row=62&amp;col=15&amp;number=300470000&amp;sourceID=12","300470000")</f>
        <v>300470000</v>
      </c>
      <c r="P62" s="4" t="str">
        <f>HYPERLINK("http://141.218.60.56/~jnz1568/getInfo.php?workbook=04_01.xlsx&amp;sheet=A0&amp;row=62&amp;col=16&amp;number=&amp;sourceID=12","")</f>
        <v/>
      </c>
      <c r="Q62" s="4" t="str">
        <f>HYPERLINK("http://141.218.60.56/~jnz1568/getInfo.php?workbook=04_01.xlsx&amp;sheet=A0&amp;row=62&amp;col=17&amp;number=0.082433&amp;sourceID=12","0.082433")</f>
        <v>0.082433</v>
      </c>
      <c r="R62" s="4" t="str">
        <f>HYPERLINK("http://141.218.60.56/~jnz1568/getInfo.php?workbook=04_01.xlsx&amp;sheet=A0&amp;row=62&amp;col=18&amp;number=&amp;sourceID=12","")</f>
        <v/>
      </c>
      <c r="S62" s="4" t="str">
        <f>HYPERLINK("http://141.218.60.56/~jnz1568/getInfo.php?workbook=04_01.xlsx&amp;sheet=A0&amp;row=62&amp;col=19&amp;number=&amp;sourceID=12","")</f>
        <v/>
      </c>
      <c r="T62" s="4" t="str">
        <f>HYPERLINK("http://141.218.60.56/~jnz1568/getInfo.php?workbook=04_01.xlsx&amp;sheet=A0&amp;row=62&amp;col=20&amp;number=&amp;sourceID=12","")</f>
        <v/>
      </c>
      <c r="U62" s="4" t="str">
        <f>HYPERLINK("http://141.218.60.56/~jnz1568/getInfo.php?workbook=04_01.xlsx&amp;sheet=A0&amp;row=62&amp;col=21&amp;number=&amp;sourceID=20","")</f>
        <v/>
      </c>
    </row>
    <row r="63" spans="1:21">
      <c r="A63" s="3">
        <v>4</v>
      </c>
      <c r="B63" s="3">
        <v>1</v>
      </c>
      <c r="C63" s="3">
        <v>12</v>
      </c>
      <c r="D63" s="3">
        <v>9</v>
      </c>
      <c r="E63" s="3">
        <f>((1/(INDEX(E0!J$4:J$28,C63,1)-INDEX(E0!J$4:J$28,D63,1))))*100000000</f>
        <v>0</v>
      </c>
      <c r="F63" s="4" t="str">
        <f>HYPERLINK("http://141.218.60.56/~jnz1568/getInfo.php?workbook=04_01.xlsx&amp;sheet=A0&amp;row=63&amp;col=6&amp;number=&amp;sourceID=18","")</f>
        <v/>
      </c>
      <c r="G63" s="4" t="str">
        <f>HYPERLINK("http://141.218.60.56/~jnz1568/getInfo.php?workbook=04_01.xlsx&amp;sheet=A0&amp;row=63&amp;col=7&amp;number==&amp;sourceID=11","=")</f>
        <v>=</v>
      </c>
      <c r="H63" s="4" t="str">
        <f>HYPERLINK("http://141.218.60.56/~jnz1568/getInfo.php?workbook=04_01.xlsx&amp;sheet=A0&amp;row=63&amp;col=8&amp;number=&amp;sourceID=11","")</f>
        <v/>
      </c>
      <c r="I63" s="4" t="str">
        <f>HYPERLINK("http://141.218.60.56/~jnz1568/getInfo.php?workbook=04_01.xlsx&amp;sheet=A0&amp;row=63&amp;col=9&amp;number=1462.6&amp;sourceID=11","1462.6")</f>
        <v>1462.6</v>
      </c>
      <c r="J63" s="4" t="str">
        <f>HYPERLINK("http://141.218.60.56/~jnz1568/getInfo.php?workbook=04_01.xlsx&amp;sheet=A0&amp;row=63&amp;col=10&amp;number=&amp;sourceID=11","")</f>
        <v/>
      </c>
      <c r="K63" s="4" t="str">
        <f>HYPERLINK("http://141.218.60.56/~jnz1568/getInfo.php?workbook=04_01.xlsx&amp;sheet=A0&amp;row=63&amp;col=11&amp;number=5.7094e-05&amp;sourceID=11","5.7094e-05")</f>
        <v>5.7094e-05</v>
      </c>
      <c r="L63" s="4" t="str">
        <f>HYPERLINK("http://141.218.60.56/~jnz1568/getInfo.php?workbook=04_01.xlsx&amp;sheet=A0&amp;row=63&amp;col=12&amp;number=&amp;sourceID=11","")</f>
        <v/>
      </c>
      <c r="M63" s="4" t="str">
        <f>HYPERLINK("http://141.218.60.56/~jnz1568/getInfo.php?workbook=04_01.xlsx&amp;sheet=A0&amp;row=63&amp;col=13&amp;number=7.9645e-09&amp;sourceID=11","7.9645e-09")</f>
        <v>7.9645e-09</v>
      </c>
      <c r="N63" s="4" t="str">
        <f>HYPERLINK("http://141.218.60.56/~jnz1568/getInfo.php?workbook=04_01.xlsx&amp;sheet=A0&amp;row=63&amp;col=14&amp;number=1462.7&amp;sourceID=12","1462.7")</f>
        <v>1462.7</v>
      </c>
      <c r="O63" s="4" t="str">
        <f>HYPERLINK("http://141.218.60.56/~jnz1568/getInfo.php?workbook=04_01.xlsx&amp;sheet=A0&amp;row=63&amp;col=15&amp;number=&amp;sourceID=12","")</f>
        <v/>
      </c>
      <c r="P63" s="4" t="str">
        <f>HYPERLINK("http://141.218.60.56/~jnz1568/getInfo.php?workbook=04_01.xlsx&amp;sheet=A0&amp;row=63&amp;col=16&amp;number=1462.7&amp;sourceID=12","1462.7")</f>
        <v>1462.7</v>
      </c>
      <c r="Q63" s="4" t="str">
        <f>HYPERLINK("http://141.218.60.56/~jnz1568/getInfo.php?workbook=04_01.xlsx&amp;sheet=A0&amp;row=63&amp;col=17&amp;number=&amp;sourceID=12","")</f>
        <v/>
      </c>
      <c r="R63" s="4" t="str">
        <f>HYPERLINK("http://141.218.60.56/~jnz1568/getInfo.php?workbook=04_01.xlsx&amp;sheet=A0&amp;row=63&amp;col=18&amp;number=5.7099e-05&amp;sourceID=12","5.7099e-05")</f>
        <v>5.7099e-05</v>
      </c>
      <c r="S63" s="4" t="str">
        <f>HYPERLINK("http://141.218.60.56/~jnz1568/getInfo.php?workbook=04_01.xlsx&amp;sheet=A0&amp;row=63&amp;col=19&amp;number=&amp;sourceID=12","")</f>
        <v/>
      </c>
      <c r="T63" s="4" t="str">
        <f>HYPERLINK("http://141.218.60.56/~jnz1568/getInfo.php?workbook=04_01.xlsx&amp;sheet=A0&amp;row=63&amp;col=20&amp;number=7.965e-09&amp;sourceID=12","7.965e-09")</f>
        <v>7.965e-09</v>
      </c>
      <c r="U63" s="4" t="str">
        <f>HYPERLINK("http://141.218.60.56/~jnz1568/getInfo.php?workbook=04_01.xlsx&amp;sheet=A0&amp;row=63&amp;col=21&amp;number=&amp;sourceID=20","")</f>
        <v/>
      </c>
    </row>
    <row r="64" spans="1:21">
      <c r="A64" s="3">
        <v>4</v>
      </c>
      <c r="B64" s="3">
        <v>1</v>
      </c>
      <c r="C64" s="3">
        <v>12</v>
      </c>
      <c r="D64" s="3">
        <v>10</v>
      </c>
      <c r="E64" s="3">
        <f>((1/(INDEX(E0!J$4:J$28,C64,1)-INDEX(E0!J$4:J$28,D64,1))))*100000000</f>
        <v>0</v>
      </c>
      <c r="F64" s="4" t="str">
        <f>HYPERLINK("http://141.218.60.56/~jnz1568/getInfo.php?workbook=04_01.xlsx&amp;sheet=A0&amp;row=64&amp;col=6&amp;number=&amp;sourceID=18","")</f>
        <v/>
      </c>
      <c r="G64" s="4" t="str">
        <f>HYPERLINK("http://141.218.60.56/~jnz1568/getInfo.php?workbook=04_01.xlsx&amp;sheet=A0&amp;row=64&amp;col=7&amp;number==&amp;sourceID=11","=")</f>
        <v>=</v>
      </c>
      <c r="H64" s="4" t="str">
        <f>HYPERLINK("http://141.218.60.56/~jnz1568/getInfo.php?workbook=04_01.xlsx&amp;sheet=A0&amp;row=64&amp;col=8&amp;number=0.029153&amp;sourceID=11","0.029153")</f>
        <v>0.029153</v>
      </c>
      <c r="I64" s="4" t="str">
        <f>HYPERLINK("http://141.218.60.56/~jnz1568/getInfo.php?workbook=04_01.xlsx&amp;sheet=A0&amp;row=64&amp;col=9&amp;number=&amp;sourceID=11","")</f>
        <v/>
      </c>
      <c r="J64" s="4" t="str">
        <f>HYPERLINK("http://141.218.60.56/~jnz1568/getInfo.php?workbook=04_01.xlsx&amp;sheet=A0&amp;row=64&amp;col=10&amp;number=&amp;sourceID=11","")</f>
        <v/>
      </c>
      <c r="K64" s="4" t="str">
        <f>HYPERLINK("http://141.218.60.56/~jnz1568/getInfo.php?workbook=04_01.xlsx&amp;sheet=A0&amp;row=64&amp;col=11&amp;number=&amp;sourceID=11","")</f>
        <v/>
      </c>
      <c r="L64" s="4" t="str">
        <f>HYPERLINK("http://141.218.60.56/~jnz1568/getInfo.php?workbook=04_01.xlsx&amp;sheet=A0&amp;row=64&amp;col=12&amp;number=0&amp;sourceID=11","0")</f>
        <v>0</v>
      </c>
      <c r="M64" s="4" t="str">
        <f>HYPERLINK("http://141.218.60.56/~jnz1568/getInfo.php?workbook=04_01.xlsx&amp;sheet=A0&amp;row=64&amp;col=13&amp;number=&amp;sourceID=11","")</f>
        <v/>
      </c>
      <c r="N64" s="4" t="str">
        <f>HYPERLINK("http://141.218.60.56/~jnz1568/getInfo.php?workbook=04_01.xlsx&amp;sheet=A0&amp;row=64&amp;col=14&amp;number=0.029156&amp;sourceID=12","0.029156")</f>
        <v>0.029156</v>
      </c>
      <c r="O64" s="4" t="str">
        <f>HYPERLINK("http://141.218.60.56/~jnz1568/getInfo.php?workbook=04_01.xlsx&amp;sheet=A0&amp;row=64&amp;col=15&amp;number=0.029156&amp;sourceID=12","0.029156")</f>
        <v>0.029156</v>
      </c>
      <c r="P64" s="4" t="str">
        <f>HYPERLINK("http://141.218.60.56/~jnz1568/getInfo.php?workbook=04_01.xlsx&amp;sheet=A0&amp;row=64&amp;col=16&amp;number=&amp;sourceID=12","")</f>
        <v/>
      </c>
      <c r="Q64" s="4" t="str">
        <f>HYPERLINK("http://141.218.60.56/~jnz1568/getInfo.php?workbook=04_01.xlsx&amp;sheet=A0&amp;row=64&amp;col=17&amp;number=&amp;sourceID=12","")</f>
        <v/>
      </c>
      <c r="R64" s="4" t="str">
        <f>HYPERLINK("http://141.218.60.56/~jnz1568/getInfo.php?workbook=04_01.xlsx&amp;sheet=A0&amp;row=64&amp;col=18&amp;number=&amp;sourceID=12","")</f>
        <v/>
      </c>
      <c r="S64" s="4" t="str">
        <f>HYPERLINK("http://141.218.60.56/~jnz1568/getInfo.php?workbook=04_01.xlsx&amp;sheet=A0&amp;row=64&amp;col=19&amp;number=0&amp;sourceID=12","0")</f>
        <v>0</v>
      </c>
      <c r="T64" s="4" t="str">
        <f>HYPERLINK("http://141.218.60.56/~jnz1568/getInfo.php?workbook=04_01.xlsx&amp;sheet=A0&amp;row=64&amp;col=20&amp;number=&amp;sourceID=12","")</f>
        <v/>
      </c>
      <c r="U64" s="4" t="str">
        <f>HYPERLINK("http://141.218.60.56/~jnz1568/getInfo.php?workbook=04_01.xlsx&amp;sheet=A0&amp;row=64&amp;col=21&amp;number=&amp;sourceID=20","")</f>
        <v/>
      </c>
    </row>
    <row r="65" spans="1:21">
      <c r="A65" s="3">
        <v>4</v>
      </c>
      <c r="B65" s="3">
        <v>1</v>
      </c>
      <c r="C65" s="3">
        <v>12</v>
      </c>
      <c r="D65" s="3">
        <v>11</v>
      </c>
      <c r="E65" s="3">
        <f>((1/(INDEX(E0!J$4:J$28,C65,1)-INDEX(E0!J$4:J$28,D65,1))))*100000000</f>
        <v>0</v>
      </c>
      <c r="F65" s="4" t="str">
        <f>HYPERLINK("http://141.218.60.56/~jnz1568/getInfo.php?workbook=04_01.xlsx&amp;sheet=A0&amp;row=65&amp;col=6&amp;number=&amp;sourceID=18","")</f>
        <v/>
      </c>
      <c r="G65" s="4" t="str">
        <f>HYPERLINK("http://141.218.60.56/~jnz1568/getInfo.php?workbook=04_01.xlsx&amp;sheet=A0&amp;row=65&amp;col=7&amp;number==&amp;sourceID=11","=")</f>
        <v>=</v>
      </c>
      <c r="H65" s="4" t="str">
        <f>HYPERLINK("http://141.218.60.56/~jnz1568/getInfo.php?workbook=04_01.xlsx&amp;sheet=A0&amp;row=65&amp;col=8&amp;number=&amp;sourceID=11","")</f>
        <v/>
      </c>
      <c r="I65" s="4" t="str">
        <f>HYPERLINK("http://141.218.60.56/~jnz1568/getInfo.php?workbook=04_01.xlsx&amp;sheet=A0&amp;row=65&amp;col=9&amp;number=6e-15&amp;sourceID=11","6e-15")</f>
        <v>6e-15</v>
      </c>
      <c r="J65" s="4" t="str">
        <f>HYPERLINK("http://141.218.60.56/~jnz1568/getInfo.php?workbook=04_01.xlsx&amp;sheet=A0&amp;row=65&amp;col=10&amp;number=&amp;sourceID=11","")</f>
        <v/>
      </c>
      <c r="K65" s="4" t="str">
        <f>HYPERLINK("http://141.218.60.56/~jnz1568/getInfo.php?workbook=04_01.xlsx&amp;sheet=A0&amp;row=65&amp;col=11&amp;number=0&amp;sourceID=11","0")</f>
        <v>0</v>
      </c>
      <c r="L65" s="4" t="str">
        <f>HYPERLINK("http://141.218.60.56/~jnz1568/getInfo.php?workbook=04_01.xlsx&amp;sheet=A0&amp;row=65&amp;col=12&amp;number=&amp;sourceID=11","")</f>
        <v/>
      </c>
      <c r="M65" s="4" t="str">
        <f>HYPERLINK("http://141.218.60.56/~jnz1568/getInfo.php?workbook=04_01.xlsx&amp;sheet=A0&amp;row=65&amp;col=13&amp;number=&amp;sourceID=11","")</f>
        <v/>
      </c>
      <c r="N65" s="4" t="str">
        <f>HYPERLINK("http://141.218.60.56/~jnz1568/getInfo.php?workbook=04_01.xlsx&amp;sheet=A0&amp;row=65&amp;col=14&amp;number=6e-15&amp;sourceID=12","6e-15")</f>
        <v>6e-15</v>
      </c>
      <c r="O65" s="4" t="str">
        <f>HYPERLINK("http://141.218.60.56/~jnz1568/getInfo.php?workbook=04_01.xlsx&amp;sheet=A0&amp;row=65&amp;col=15&amp;number=&amp;sourceID=12","")</f>
        <v/>
      </c>
      <c r="P65" s="4" t="str">
        <f>HYPERLINK("http://141.218.60.56/~jnz1568/getInfo.php?workbook=04_01.xlsx&amp;sheet=A0&amp;row=65&amp;col=16&amp;number=6e-15&amp;sourceID=12","6e-15")</f>
        <v>6e-15</v>
      </c>
      <c r="Q65" s="4" t="str">
        <f>HYPERLINK("http://141.218.60.56/~jnz1568/getInfo.php?workbook=04_01.xlsx&amp;sheet=A0&amp;row=65&amp;col=17&amp;number=&amp;sourceID=12","")</f>
        <v/>
      </c>
      <c r="R65" s="4" t="str">
        <f>HYPERLINK("http://141.218.60.56/~jnz1568/getInfo.php?workbook=04_01.xlsx&amp;sheet=A0&amp;row=65&amp;col=18&amp;number=0&amp;sourceID=12","0")</f>
        <v>0</v>
      </c>
      <c r="S65" s="4" t="str">
        <f>HYPERLINK("http://141.218.60.56/~jnz1568/getInfo.php?workbook=04_01.xlsx&amp;sheet=A0&amp;row=65&amp;col=19&amp;number=&amp;sourceID=12","")</f>
        <v/>
      </c>
      <c r="T65" s="4" t="str">
        <f>HYPERLINK("http://141.218.60.56/~jnz1568/getInfo.php?workbook=04_01.xlsx&amp;sheet=A0&amp;row=65&amp;col=20&amp;number=&amp;sourceID=12","")</f>
        <v/>
      </c>
      <c r="U65" s="4" t="str">
        <f>HYPERLINK("http://141.218.60.56/~jnz1568/getInfo.php?workbook=04_01.xlsx&amp;sheet=A0&amp;row=65&amp;col=21&amp;number=&amp;sourceID=20","")</f>
        <v/>
      </c>
    </row>
    <row r="66" spans="1:21">
      <c r="A66" s="3">
        <v>4</v>
      </c>
      <c r="B66" s="3">
        <v>1</v>
      </c>
      <c r="C66" s="3">
        <v>13</v>
      </c>
      <c r="D66" s="3">
        <v>1</v>
      </c>
      <c r="E66" s="3">
        <f>((1/(INDEX(E0!J$4:J$28,C66,1)-INDEX(E0!J$4:J$28,D66,1))))*100000000</f>
        <v>0</v>
      </c>
      <c r="F66" s="4" t="str">
        <f>HYPERLINK("http://141.218.60.56/~jnz1568/getInfo.php?workbook=04_01.xlsx&amp;sheet=A0&amp;row=66&amp;col=6&amp;number=&amp;sourceID=18","")</f>
        <v/>
      </c>
      <c r="G66" s="4" t="str">
        <f>HYPERLINK("http://141.218.60.56/~jnz1568/getInfo.php?workbook=04_01.xlsx&amp;sheet=A0&amp;row=66&amp;col=7&amp;number==&amp;sourceID=11","=")</f>
        <v>=</v>
      </c>
      <c r="H66" s="4" t="str">
        <f>HYPERLINK("http://141.218.60.56/~jnz1568/getInfo.php?workbook=04_01.xlsx&amp;sheet=A0&amp;row=66&amp;col=8&amp;number=17463000000&amp;sourceID=11","17463000000")</f>
        <v>17463000000</v>
      </c>
      <c r="I66" s="4" t="str">
        <f>HYPERLINK("http://141.218.60.56/~jnz1568/getInfo.php?workbook=04_01.xlsx&amp;sheet=A0&amp;row=66&amp;col=9&amp;number=&amp;sourceID=11","")</f>
        <v/>
      </c>
      <c r="J66" s="4" t="str">
        <f>HYPERLINK("http://141.218.60.56/~jnz1568/getInfo.php?workbook=04_01.xlsx&amp;sheet=A0&amp;row=66&amp;col=10&amp;number=&amp;sourceID=11","")</f>
        <v/>
      </c>
      <c r="K66" s="4" t="str">
        <f>HYPERLINK("http://141.218.60.56/~jnz1568/getInfo.php?workbook=04_01.xlsx&amp;sheet=A0&amp;row=66&amp;col=11&amp;number=&amp;sourceID=11","")</f>
        <v/>
      </c>
      <c r="L66" s="4" t="str">
        <f>HYPERLINK("http://141.218.60.56/~jnz1568/getInfo.php?workbook=04_01.xlsx&amp;sheet=A0&amp;row=66&amp;col=12&amp;number=522.38&amp;sourceID=11","522.38")</f>
        <v>522.38</v>
      </c>
      <c r="M66" s="4" t="str">
        <f>HYPERLINK("http://141.218.60.56/~jnz1568/getInfo.php?workbook=04_01.xlsx&amp;sheet=A0&amp;row=66&amp;col=13&amp;number=&amp;sourceID=11","")</f>
        <v/>
      </c>
      <c r="N66" s="4" t="str">
        <f>HYPERLINK("http://141.218.60.56/~jnz1568/getInfo.php?workbook=04_01.xlsx&amp;sheet=A0&amp;row=66&amp;col=14&amp;number=17464000000&amp;sourceID=12","17464000000")</f>
        <v>17464000000</v>
      </c>
      <c r="O66" s="4" t="str">
        <f>HYPERLINK("http://141.218.60.56/~jnz1568/getInfo.php?workbook=04_01.xlsx&amp;sheet=A0&amp;row=66&amp;col=15&amp;number=17464000000&amp;sourceID=12","17464000000")</f>
        <v>17464000000</v>
      </c>
      <c r="P66" s="4" t="str">
        <f>HYPERLINK("http://141.218.60.56/~jnz1568/getInfo.php?workbook=04_01.xlsx&amp;sheet=A0&amp;row=66&amp;col=16&amp;number=&amp;sourceID=12","")</f>
        <v/>
      </c>
      <c r="Q66" s="4" t="str">
        <f>HYPERLINK("http://141.218.60.56/~jnz1568/getInfo.php?workbook=04_01.xlsx&amp;sheet=A0&amp;row=66&amp;col=17&amp;number=&amp;sourceID=12","")</f>
        <v/>
      </c>
      <c r="R66" s="4" t="str">
        <f>HYPERLINK("http://141.218.60.56/~jnz1568/getInfo.php?workbook=04_01.xlsx&amp;sheet=A0&amp;row=66&amp;col=18&amp;number=&amp;sourceID=12","")</f>
        <v/>
      </c>
      <c r="S66" s="4" t="str">
        <f>HYPERLINK("http://141.218.60.56/~jnz1568/getInfo.php?workbook=04_01.xlsx&amp;sheet=A0&amp;row=66&amp;col=19&amp;number=522.41&amp;sourceID=12","522.41")</f>
        <v>522.41</v>
      </c>
      <c r="T66" s="4" t="str">
        <f>HYPERLINK("http://141.218.60.56/~jnz1568/getInfo.php?workbook=04_01.xlsx&amp;sheet=A0&amp;row=66&amp;col=20&amp;number=&amp;sourceID=12","")</f>
        <v/>
      </c>
      <c r="U66" s="4" t="str">
        <f>HYPERLINK("http://141.218.60.56/~jnz1568/getInfo.php?workbook=04_01.xlsx&amp;sheet=A0&amp;row=66&amp;col=21&amp;number=17463000000&amp;sourceID=20","17463000000")</f>
        <v>17463000000</v>
      </c>
    </row>
    <row r="67" spans="1:21">
      <c r="A67" s="3">
        <v>4</v>
      </c>
      <c r="B67" s="3">
        <v>1</v>
      </c>
      <c r="C67" s="3">
        <v>13</v>
      </c>
      <c r="D67" s="3">
        <v>2</v>
      </c>
      <c r="E67" s="3">
        <f>((1/(INDEX(E0!J$4:J$28,C67,1)-INDEX(E0!J$4:J$28,D67,1))))*100000000</f>
        <v>0</v>
      </c>
      <c r="F67" s="4" t="str">
        <f>HYPERLINK("http://141.218.60.56/~jnz1568/getInfo.php?workbook=04_01.xlsx&amp;sheet=A0&amp;row=67&amp;col=6&amp;number=&amp;sourceID=18","")</f>
        <v/>
      </c>
      <c r="G67" s="4" t="str">
        <f>HYPERLINK("http://141.218.60.56/~jnz1568/getInfo.php?workbook=04_01.xlsx&amp;sheet=A0&amp;row=67&amp;col=7&amp;number==&amp;sourceID=11","=")</f>
        <v>=</v>
      </c>
      <c r="H67" s="4" t="str">
        <f>HYPERLINK("http://141.218.60.56/~jnz1568/getInfo.php?workbook=04_01.xlsx&amp;sheet=A0&amp;row=67&amp;col=8&amp;number=&amp;sourceID=11","")</f>
        <v/>
      </c>
      <c r="I67" s="4" t="str">
        <f>HYPERLINK("http://141.218.60.56/~jnz1568/getInfo.php?workbook=04_01.xlsx&amp;sheet=A0&amp;row=67&amp;col=9&amp;number=21110&amp;sourceID=11","21110")</f>
        <v>21110</v>
      </c>
      <c r="J67" s="4" t="str">
        <f>HYPERLINK("http://141.218.60.56/~jnz1568/getInfo.php?workbook=04_01.xlsx&amp;sheet=A0&amp;row=67&amp;col=10&amp;number=&amp;sourceID=11","")</f>
        <v/>
      </c>
      <c r="K67" s="4" t="str">
        <f>HYPERLINK("http://141.218.60.56/~jnz1568/getInfo.php?workbook=04_01.xlsx&amp;sheet=A0&amp;row=67&amp;col=11&amp;number=0.0018263&amp;sourceID=11","0.0018263")</f>
        <v>0.0018263</v>
      </c>
      <c r="L67" s="4" t="str">
        <f>HYPERLINK("http://141.218.60.56/~jnz1568/getInfo.php?workbook=04_01.xlsx&amp;sheet=A0&amp;row=67&amp;col=12&amp;number=&amp;sourceID=11","")</f>
        <v/>
      </c>
      <c r="M67" s="4" t="str">
        <f>HYPERLINK("http://141.218.60.56/~jnz1568/getInfo.php?workbook=04_01.xlsx&amp;sheet=A0&amp;row=67&amp;col=13&amp;number=&amp;sourceID=11","")</f>
        <v/>
      </c>
      <c r="N67" s="4" t="str">
        <f>HYPERLINK("http://141.218.60.56/~jnz1568/getInfo.php?workbook=04_01.xlsx&amp;sheet=A0&amp;row=67&amp;col=14&amp;number=21111&amp;sourceID=12","21111")</f>
        <v>21111</v>
      </c>
      <c r="O67" s="4" t="str">
        <f>HYPERLINK("http://141.218.60.56/~jnz1568/getInfo.php?workbook=04_01.xlsx&amp;sheet=A0&amp;row=67&amp;col=15&amp;number=&amp;sourceID=12","")</f>
        <v/>
      </c>
      <c r="P67" s="4" t="str">
        <f>HYPERLINK("http://141.218.60.56/~jnz1568/getInfo.php?workbook=04_01.xlsx&amp;sheet=A0&amp;row=67&amp;col=16&amp;number=21111&amp;sourceID=12","21111")</f>
        <v>21111</v>
      </c>
      <c r="Q67" s="4" t="str">
        <f>HYPERLINK("http://141.218.60.56/~jnz1568/getInfo.php?workbook=04_01.xlsx&amp;sheet=A0&amp;row=67&amp;col=17&amp;number=&amp;sourceID=12","")</f>
        <v/>
      </c>
      <c r="R67" s="4" t="str">
        <f>HYPERLINK("http://141.218.60.56/~jnz1568/getInfo.php?workbook=04_01.xlsx&amp;sheet=A0&amp;row=67&amp;col=18&amp;number=0.0018264&amp;sourceID=12","0.0018264")</f>
        <v>0.0018264</v>
      </c>
      <c r="S67" s="4" t="str">
        <f>HYPERLINK("http://141.218.60.56/~jnz1568/getInfo.php?workbook=04_01.xlsx&amp;sheet=A0&amp;row=67&amp;col=19&amp;number=&amp;sourceID=12","")</f>
        <v/>
      </c>
      <c r="T67" s="4" t="str">
        <f>HYPERLINK("http://141.218.60.56/~jnz1568/getInfo.php?workbook=04_01.xlsx&amp;sheet=A0&amp;row=67&amp;col=20&amp;number=&amp;sourceID=12","")</f>
        <v/>
      </c>
      <c r="U67" s="4" t="str">
        <f>HYPERLINK("http://141.218.60.56/~jnz1568/getInfo.php?workbook=04_01.xlsx&amp;sheet=A0&amp;row=67&amp;col=21&amp;number=&amp;sourceID=20","")</f>
        <v/>
      </c>
    </row>
    <row r="68" spans="1:21">
      <c r="A68" s="3">
        <v>4</v>
      </c>
      <c r="B68" s="3">
        <v>1</v>
      </c>
      <c r="C68" s="3">
        <v>13</v>
      </c>
      <c r="D68" s="3">
        <v>3</v>
      </c>
      <c r="E68" s="3">
        <f>((1/(INDEX(E0!J$4:J$28,C68,1)-INDEX(E0!J$4:J$28,D68,1))))*100000000</f>
        <v>0</v>
      </c>
      <c r="F68" s="4" t="str">
        <f>HYPERLINK("http://141.218.60.56/~jnz1568/getInfo.php?workbook=04_01.xlsx&amp;sheet=A0&amp;row=68&amp;col=6&amp;number=&amp;sourceID=18","")</f>
        <v/>
      </c>
      <c r="G68" s="4" t="str">
        <f>HYPERLINK("http://141.218.60.56/~jnz1568/getInfo.php?workbook=04_01.xlsx&amp;sheet=A0&amp;row=68&amp;col=7&amp;number==&amp;sourceID=11","=")</f>
        <v>=</v>
      </c>
      <c r="H68" s="4" t="str">
        <f>HYPERLINK("http://141.218.60.56/~jnz1568/getInfo.php?workbook=04_01.xlsx&amp;sheet=A0&amp;row=68&amp;col=8&amp;number=2476200000&amp;sourceID=11","2476200000")</f>
        <v>2476200000</v>
      </c>
      <c r="I68" s="4" t="str">
        <f>HYPERLINK("http://141.218.60.56/~jnz1568/getInfo.php?workbook=04_01.xlsx&amp;sheet=A0&amp;row=68&amp;col=9&amp;number=&amp;sourceID=11","")</f>
        <v/>
      </c>
      <c r="J68" s="4" t="str">
        <f>HYPERLINK("http://141.218.60.56/~jnz1568/getInfo.php?workbook=04_01.xlsx&amp;sheet=A0&amp;row=68&amp;col=10&amp;number=&amp;sourceID=11","")</f>
        <v/>
      </c>
      <c r="K68" s="4" t="str">
        <f>HYPERLINK("http://141.218.60.56/~jnz1568/getInfo.php?workbook=04_01.xlsx&amp;sheet=A0&amp;row=68&amp;col=11&amp;number=&amp;sourceID=11","")</f>
        <v/>
      </c>
      <c r="L68" s="4" t="str">
        <f>HYPERLINK("http://141.218.60.56/~jnz1568/getInfo.php?workbook=04_01.xlsx&amp;sheet=A0&amp;row=68&amp;col=12&amp;number=2.9642&amp;sourceID=11","2.9642")</f>
        <v>2.9642</v>
      </c>
      <c r="M68" s="4" t="str">
        <f>HYPERLINK("http://141.218.60.56/~jnz1568/getInfo.php?workbook=04_01.xlsx&amp;sheet=A0&amp;row=68&amp;col=13&amp;number=&amp;sourceID=11","")</f>
        <v/>
      </c>
      <c r="N68" s="4" t="str">
        <f>HYPERLINK("http://141.218.60.56/~jnz1568/getInfo.php?workbook=04_01.xlsx&amp;sheet=A0&amp;row=68&amp;col=14&amp;number=2476300000&amp;sourceID=12","2476300000")</f>
        <v>2476300000</v>
      </c>
      <c r="O68" s="4" t="str">
        <f>HYPERLINK("http://141.218.60.56/~jnz1568/getInfo.php?workbook=04_01.xlsx&amp;sheet=A0&amp;row=68&amp;col=15&amp;number=2476300000&amp;sourceID=12","2476300000")</f>
        <v>2476300000</v>
      </c>
      <c r="P68" s="4" t="str">
        <f>HYPERLINK("http://141.218.60.56/~jnz1568/getInfo.php?workbook=04_01.xlsx&amp;sheet=A0&amp;row=68&amp;col=16&amp;number=&amp;sourceID=12","")</f>
        <v/>
      </c>
      <c r="Q68" s="4" t="str">
        <f>HYPERLINK("http://141.218.60.56/~jnz1568/getInfo.php?workbook=04_01.xlsx&amp;sheet=A0&amp;row=68&amp;col=17&amp;number=&amp;sourceID=12","")</f>
        <v/>
      </c>
      <c r="R68" s="4" t="str">
        <f>HYPERLINK("http://141.218.60.56/~jnz1568/getInfo.php?workbook=04_01.xlsx&amp;sheet=A0&amp;row=68&amp;col=18&amp;number=&amp;sourceID=12","")</f>
        <v/>
      </c>
      <c r="S68" s="4" t="str">
        <f>HYPERLINK("http://141.218.60.56/~jnz1568/getInfo.php?workbook=04_01.xlsx&amp;sheet=A0&amp;row=68&amp;col=19&amp;number=2.9643&amp;sourceID=12","2.9643")</f>
        <v>2.9643</v>
      </c>
      <c r="T68" s="4" t="str">
        <f>HYPERLINK("http://141.218.60.56/~jnz1568/getInfo.php?workbook=04_01.xlsx&amp;sheet=A0&amp;row=68&amp;col=20&amp;number=&amp;sourceID=12","")</f>
        <v/>
      </c>
      <c r="U68" s="4" t="str">
        <f>HYPERLINK("http://141.218.60.56/~jnz1568/getInfo.php?workbook=04_01.xlsx&amp;sheet=A0&amp;row=68&amp;col=21&amp;number=&amp;sourceID=20","")</f>
        <v/>
      </c>
    </row>
    <row r="69" spans="1:21">
      <c r="A69" s="3">
        <v>4</v>
      </c>
      <c r="B69" s="3">
        <v>1</v>
      </c>
      <c r="C69" s="3">
        <v>13</v>
      </c>
      <c r="D69" s="3">
        <v>4</v>
      </c>
      <c r="E69" s="3">
        <f>((1/(INDEX(E0!J$4:J$28,C69,1)-INDEX(E0!J$4:J$28,D69,1))))*100000000</f>
        <v>0</v>
      </c>
      <c r="F69" s="4" t="str">
        <f>HYPERLINK("http://141.218.60.56/~jnz1568/getInfo.php?workbook=04_01.xlsx&amp;sheet=A0&amp;row=69&amp;col=6&amp;number=&amp;sourceID=18","")</f>
        <v/>
      </c>
      <c r="G69" s="4" t="str">
        <f>HYPERLINK("http://141.218.60.56/~jnz1568/getInfo.php?workbook=04_01.xlsx&amp;sheet=A0&amp;row=69&amp;col=7&amp;number==&amp;sourceID=11","=")</f>
        <v>=</v>
      </c>
      <c r="H69" s="4" t="str">
        <f>HYPERLINK("http://141.218.60.56/~jnz1568/getInfo.php?workbook=04_01.xlsx&amp;sheet=A0&amp;row=69&amp;col=8&amp;number=&amp;sourceID=11","")</f>
        <v/>
      </c>
      <c r="I69" s="4" t="str">
        <f>HYPERLINK("http://141.218.60.56/~jnz1568/getInfo.php?workbook=04_01.xlsx&amp;sheet=A0&amp;row=69&amp;col=9&amp;number=21095&amp;sourceID=11","21095")</f>
        <v>21095</v>
      </c>
      <c r="J69" s="4" t="str">
        <f>HYPERLINK("http://141.218.60.56/~jnz1568/getInfo.php?workbook=04_01.xlsx&amp;sheet=A0&amp;row=69&amp;col=10&amp;number=&amp;sourceID=11","")</f>
        <v/>
      </c>
      <c r="K69" s="4" t="str">
        <f>HYPERLINK("http://141.218.60.56/~jnz1568/getInfo.php?workbook=04_01.xlsx&amp;sheet=A0&amp;row=69&amp;col=11&amp;number=0.0029081&amp;sourceID=11","0.0029081")</f>
        <v>0.0029081</v>
      </c>
      <c r="L69" s="4" t="str">
        <f>HYPERLINK("http://141.218.60.56/~jnz1568/getInfo.php?workbook=04_01.xlsx&amp;sheet=A0&amp;row=69&amp;col=12&amp;number=&amp;sourceID=11","")</f>
        <v/>
      </c>
      <c r="M69" s="4" t="str">
        <f>HYPERLINK("http://141.218.60.56/~jnz1568/getInfo.php?workbook=04_01.xlsx&amp;sheet=A0&amp;row=69&amp;col=13&amp;number=5.3841e-05&amp;sourceID=11","5.3841e-05")</f>
        <v>5.3841e-05</v>
      </c>
      <c r="N69" s="4" t="str">
        <f>HYPERLINK("http://141.218.60.56/~jnz1568/getInfo.php?workbook=04_01.xlsx&amp;sheet=A0&amp;row=69&amp;col=14&amp;number=21096&amp;sourceID=12","21096")</f>
        <v>21096</v>
      </c>
      <c r="O69" s="4" t="str">
        <f>HYPERLINK("http://141.218.60.56/~jnz1568/getInfo.php?workbook=04_01.xlsx&amp;sheet=A0&amp;row=69&amp;col=15&amp;number=&amp;sourceID=12","")</f>
        <v/>
      </c>
      <c r="P69" s="4" t="str">
        <f>HYPERLINK("http://141.218.60.56/~jnz1568/getInfo.php?workbook=04_01.xlsx&amp;sheet=A0&amp;row=69&amp;col=16&amp;number=21096&amp;sourceID=12","21096")</f>
        <v>21096</v>
      </c>
      <c r="Q69" s="4" t="str">
        <f>HYPERLINK("http://141.218.60.56/~jnz1568/getInfo.php?workbook=04_01.xlsx&amp;sheet=A0&amp;row=69&amp;col=17&amp;number=&amp;sourceID=12","")</f>
        <v/>
      </c>
      <c r="R69" s="4" t="str">
        <f>HYPERLINK("http://141.218.60.56/~jnz1568/getInfo.php?workbook=04_01.xlsx&amp;sheet=A0&amp;row=69&amp;col=18&amp;number=0.0029083&amp;sourceID=12","0.0029083")</f>
        <v>0.0029083</v>
      </c>
      <c r="S69" s="4" t="str">
        <f>HYPERLINK("http://141.218.60.56/~jnz1568/getInfo.php?workbook=04_01.xlsx&amp;sheet=A0&amp;row=69&amp;col=19&amp;number=&amp;sourceID=12","")</f>
        <v/>
      </c>
      <c r="T69" s="4" t="str">
        <f>HYPERLINK("http://141.218.60.56/~jnz1568/getInfo.php?workbook=04_01.xlsx&amp;sheet=A0&amp;row=69&amp;col=20&amp;number=5.3844e-05&amp;sourceID=12","5.3844e-05")</f>
        <v>5.3844e-05</v>
      </c>
      <c r="U69" s="4" t="str">
        <f>HYPERLINK("http://141.218.60.56/~jnz1568/getInfo.php?workbook=04_01.xlsx&amp;sheet=A0&amp;row=69&amp;col=21&amp;number=&amp;sourceID=20","")</f>
        <v/>
      </c>
    </row>
    <row r="70" spans="1:21">
      <c r="A70" s="3">
        <v>4</v>
      </c>
      <c r="B70" s="3">
        <v>1</v>
      </c>
      <c r="C70" s="3">
        <v>13</v>
      </c>
      <c r="D70" s="3">
        <v>5</v>
      </c>
      <c r="E70" s="3">
        <f>((1/(INDEX(E0!J$4:J$28,C70,1)-INDEX(E0!J$4:J$28,D70,1))))*100000000</f>
        <v>0</v>
      </c>
      <c r="F70" s="4" t="str">
        <f>HYPERLINK("http://141.218.60.56/~jnz1568/getInfo.php?workbook=04_01.xlsx&amp;sheet=A0&amp;row=70&amp;col=6&amp;number=&amp;sourceID=18","")</f>
        <v/>
      </c>
      <c r="G70" s="4" t="str">
        <f>HYPERLINK("http://141.218.60.56/~jnz1568/getInfo.php?workbook=04_01.xlsx&amp;sheet=A0&amp;row=70&amp;col=7&amp;number==SUM(H70:M70)&amp;sourceID=11","=SUM(H70:M70)")</f>
        <v>=SUM(H70:M70)</v>
      </c>
      <c r="H70" s="4" t="str">
        <f>HYPERLINK("http://141.218.60.56/~jnz1568/getInfo.php?workbook=04_01.xlsx&amp;sheet=A0&amp;row=70&amp;col=8&amp;number=&amp;sourceID=11","")</f>
        <v/>
      </c>
      <c r="I70" s="4" t="str">
        <f>HYPERLINK("http://141.218.60.56/~jnz1568/getInfo.php?workbook=04_01.xlsx&amp;sheet=A0&amp;row=70&amp;col=9&amp;number=5225.9&amp;sourceID=11","5225.9")</f>
        <v>5225.9</v>
      </c>
      <c r="J70" s="4" t="str">
        <f>HYPERLINK("http://141.218.60.56/~jnz1568/getInfo.php?workbook=04_01.xlsx&amp;sheet=A0&amp;row=70&amp;col=10&amp;number=&amp;sourceID=11","")</f>
        <v/>
      </c>
      <c r="K70" s="4" t="str">
        <f>HYPERLINK("http://141.218.60.56/~jnz1568/getInfo.php?workbook=04_01.xlsx&amp;sheet=A0&amp;row=70&amp;col=11&amp;number=0.00020161&amp;sourceID=11","0.00020161")</f>
        <v>0.00020161</v>
      </c>
      <c r="L70" s="4" t="str">
        <f>HYPERLINK("http://141.218.60.56/~jnz1568/getInfo.php?workbook=04_01.xlsx&amp;sheet=A0&amp;row=70&amp;col=12&amp;number=&amp;sourceID=11","")</f>
        <v/>
      </c>
      <c r="M70" s="4" t="str">
        <f>HYPERLINK("http://141.218.60.56/~jnz1568/getInfo.php?workbook=04_01.xlsx&amp;sheet=A0&amp;row=70&amp;col=13&amp;number=&amp;sourceID=11","")</f>
        <v/>
      </c>
      <c r="N70" s="4" t="str">
        <f>HYPERLINK("http://141.218.60.56/~jnz1568/getInfo.php?workbook=04_01.xlsx&amp;sheet=A0&amp;row=70&amp;col=14&amp;number=5226.3&amp;sourceID=12","5226.3")</f>
        <v>5226.3</v>
      </c>
      <c r="O70" s="4" t="str">
        <f>HYPERLINK("http://141.218.60.56/~jnz1568/getInfo.php?workbook=04_01.xlsx&amp;sheet=A0&amp;row=70&amp;col=15&amp;number=&amp;sourceID=12","")</f>
        <v/>
      </c>
      <c r="P70" s="4" t="str">
        <f>HYPERLINK("http://141.218.60.56/~jnz1568/getInfo.php?workbook=04_01.xlsx&amp;sheet=A0&amp;row=70&amp;col=16&amp;number=5226.3&amp;sourceID=12","5226.3")</f>
        <v>5226.3</v>
      </c>
      <c r="Q70" s="4" t="str">
        <f>HYPERLINK("http://141.218.60.56/~jnz1568/getInfo.php?workbook=04_01.xlsx&amp;sheet=A0&amp;row=70&amp;col=17&amp;number=&amp;sourceID=12","")</f>
        <v/>
      </c>
      <c r="R70" s="4" t="str">
        <f>HYPERLINK("http://141.218.60.56/~jnz1568/getInfo.php?workbook=04_01.xlsx&amp;sheet=A0&amp;row=70&amp;col=18&amp;number=0.00020163&amp;sourceID=12","0.00020163")</f>
        <v>0.00020163</v>
      </c>
      <c r="S70" s="4" t="str">
        <f>HYPERLINK("http://141.218.60.56/~jnz1568/getInfo.php?workbook=04_01.xlsx&amp;sheet=A0&amp;row=70&amp;col=19&amp;number=&amp;sourceID=12","")</f>
        <v/>
      </c>
      <c r="T70" s="4" t="str">
        <f>HYPERLINK("http://141.218.60.56/~jnz1568/getInfo.php?workbook=04_01.xlsx&amp;sheet=A0&amp;row=70&amp;col=20&amp;number=&amp;sourceID=12","")</f>
        <v/>
      </c>
      <c r="U70" s="4" t="str">
        <f>HYPERLINK("http://141.218.60.56/~jnz1568/getInfo.php?workbook=04_01.xlsx&amp;sheet=A0&amp;row=70&amp;col=21&amp;number=&amp;sourceID=20","")</f>
        <v/>
      </c>
    </row>
    <row r="71" spans="1:21">
      <c r="A71" s="3">
        <v>4</v>
      </c>
      <c r="B71" s="3">
        <v>1</v>
      </c>
      <c r="C71" s="3">
        <v>13</v>
      </c>
      <c r="D71" s="3">
        <v>6</v>
      </c>
      <c r="E71" s="3">
        <f>((1/(INDEX(E0!J$4:J$28,C71,1)-INDEX(E0!J$4:J$28,D71,1))))*100000000</f>
        <v>0</v>
      </c>
      <c r="F71" s="4" t="str">
        <f>HYPERLINK("http://141.218.60.56/~jnz1568/getInfo.php?workbook=04_01.xlsx&amp;sheet=A0&amp;row=71&amp;col=6&amp;number=&amp;sourceID=18","")</f>
        <v/>
      </c>
      <c r="G71" s="4" t="str">
        <f>HYPERLINK("http://141.218.60.56/~jnz1568/getInfo.php?workbook=04_01.xlsx&amp;sheet=A0&amp;row=71&amp;col=7&amp;number==&amp;sourceID=11","=")</f>
        <v>=</v>
      </c>
      <c r="H71" s="4" t="str">
        <f>HYPERLINK("http://141.218.60.56/~jnz1568/getInfo.php?workbook=04_01.xlsx&amp;sheet=A0&amp;row=71&amp;col=8&amp;number=784710000&amp;sourceID=11","784710000")</f>
        <v>784710000</v>
      </c>
      <c r="I71" s="4" t="str">
        <f>HYPERLINK("http://141.218.60.56/~jnz1568/getInfo.php?workbook=04_01.xlsx&amp;sheet=A0&amp;row=71&amp;col=9&amp;number=&amp;sourceID=11","")</f>
        <v/>
      </c>
      <c r="J71" s="4" t="str">
        <f>HYPERLINK("http://141.218.60.56/~jnz1568/getInfo.php?workbook=04_01.xlsx&amp;sheet=A0&amp;row=71&amp;col=10&amp;number=&amp;sourceID=11","")</f>
        <v/>
      </c>
      <c r="K71" s="4" t="str">
        <f>HYPERLINK("http://141.218.60.56/~jnz1568/getInfo.php?workbook=04_01.xlsx&amp;sheet=A0&amp;row=71&amp;col=11&amp;number=&amp;sourceID=11","")</f>
        <v/>
      </c>
      <c r="L71" s="4" t="str">
        <f>HYPERLINK("http://141.218.60.56/~jnz1568/getInfo.php?workbook=04_01.xlsx&amp;sheet=A0&amp;row=71&amp;col=12&amp;number=0.063151&amp;sourceID=11","0.063151")</f>
        <v>0.063151</v>
      </c>
      <c r="M71" s="4" t="str">
        <f>HYPERLINK("http://141.218.60.56/~jnz1568/getInfo.php?workbook=04_01.xlsx&amp;sheet=A0&amp;row=71&amp;col=13&amp;number=&amp;sourceID=11","")</f>
        <v/>
      </c>
      <c r="N71" s="4" t="str">
        <f>HYPERLINK("http://141.218.60.56/~jnz1568/getInfo.php?workbook=04_01.xlsx&amp;sheet=A0&amp;row=71&amp;col=14&amp;number=784760000&amp;sourceID=12","784760000")</f>
        <v>784760000</v>
      </c>
      <c r="O71" s="4" t="str">
        <f>HYPERLINK("http://141.218.60.56/~jnz1568/getInfo.php?workbook=04_01.xlsx&amp;sheet=A0&amp;row=71&amp;col=15&amp;number=784760000&amp;sourceID=12","784760000")</f>
        <v>784760000</v>
      </c>
      <c r="P71" s="4" t="str">
        <f>HYPERLINK("http://141.218.60.56/~jnz1568/getInfo.php?workbook=04_01.xlsx&amp;sheet=A0&amp;row=71&amp;col=16&amp;number=&amp;sourceID=12","")</f>
        <v/>
      </c>
      <c r="Q71" s="4" t="str">
        <f>HYPERLINK("http://141.218.60.56/~jnz1568/getInfo.php?workbook=04_01.xlsx&amp;sheet=A0&amp;row=71&amp;col=17&amp;number=&amp;sourceID=12","")</f>
        <v/>
      </c>
      <c r="R71" s="4" t="str">
        <f>HYPERLINK("http://141.218.60.56/~jnz1568/getInfo.php?workbook=04_01.xlsx&amp;sheet=A0&amp;row=71&amp;col=18&amp;number=&amp;sourceID=12","")</f>
        <v/>
      </c>
      <c r="S71" s="4" t="str">
        <f>HYPERLINK("http://141.218.60.56/~jnz1568/getInfo.php?workbook=04_01.xlsx&amp;sheet=A0&amp;row=71&amp;col=19&amp;number=0.063155&amp;sourceID=12","0.063155")</f>
        <v>0.063155</v>
      </c>
      <c r="T71" s="4" t="str">
        <f>HYPERLINK("http://141.218.60.56/~jnz1568/getInfo.php?workbook=04_01.xlsx&amp;sheet=A0&amp;row=71&amp;col=20&amp;number=&amp;sourceID=12","")</f>
        <v/>
      </c>
      <c r="U71" s="4" t="str">
        <f>HYPERLINK("http://141.218.60.56/~jnz1568/getInfo.php?workbook=04_01.xlsx&amp;sheet=A0&amp;row=71&amp;col=21&amp;number=&amp;sourceID=20","")</f>
        <v/>
      </c>
    </row>
    <row r="72" spans="1:21">
      <c r="A72" s="3">
        <v>4</v>
      </c>
      <c r="B72" s="3">
        <v>1</v>
      </c>
      <c r="C72" s="3">
        <v>13</v>
      </c>
      <c r="D72" s="3">
        <v>7</v>
      </c>
      <c r="E72" s="3">
        <f>((1/(INDEX(E0!J$4:J$28,C72,1)-INDEX(E0!J$4:J$28,D72,1))))*100000000</f>
        <v>0</v>
      </c>
      <c r="F72" s="4" t="str">
        <f>HYPERLINK("http://141.218.60.56/~jnz1568/getInfo.php?workbook=04_01.xlsx&amp;sheet=A0&amp;row=72&amp;col=6&amp;number=&amp;sourceID=18","")</f>
        <v/>
      </c>
      <c r="G72" s="4" t="str">
        <f>HYPERLINK("http://141.218.60.56/~jnz1568/getInfo.php?workbook=04_01.xlsx&amp;sheet=A0&amp;row=72&amp;col=7&amp;number==&amp;sourceID=11","=")</f>
        <v>=</v>
      </c>
      <c r="H72" s="4" t="str">
        <f>HYPERLINK("http://141.218.60.56/~jnz1568/getInfo.php?workbook=04_01.xlsx&amp;sheet=A0&amp;row=72&amp;col=8&amp;number=8902800&amp;sourceID=11","8902800")</f>
        <v>8902800</v>
      </c>
      <c r="I72" s="4" t="str">
        <f>HYPERLINK("http://141.218.60.56/~jnz1568/getInfo.php?workbook=04_01.xlsx&amp;sheet=A0&amp;row=72&amp;col=9&amp;number=&amp;sourceID=11","")</f>
        <v/>
      </c>
      <c r="J72" s="4" t="str">
        <f>HYPERLINK("http://141.218.60.56/~jnz1568/getInfo.php?workbook=04_01.xlsx&amp;sheet=A0&amp;row=72&amp;col=10&amp;number=0.01847&amp;sourceID=11","0.01847")</f>
        <v>0.01847</v>
      </c>
      <c r="K72" s="4" t="str">
        <f>HYPERLINK("http://141.218.60.56/~jnz1568/getInfo.php?workbook=04_01.xlsx&amp;sheet=A0&amp;row=72&amp;col=11&amp;number=&amp;sourceID=11","")</f>
        <v/>
      </c>
      <c r="L72" s="4" t="str">
        <f>HYPERLINK("http://141.218.60.56/~jnz1568/getInfo.php?workbook=04_01.xlsx&amp;sheet=A0&amp;row=72&amp;col=12&amp;number=&amp;sourceID=11","")</f>
        <v/>
      </c>
      <c r="M72" s="4" t="str">
        <f>HYPERLINK("http://141.218.60.56/~jnz1568/getInfo.php?workbook=04_01.xlsx&amp;sheet=A0&amp;row=72&amp;col=13&amp;number=&amp;sourceID=11","")</f>
        <v/>
      </c>
      <c r="N72" s="4" t="str">
        <f>HYPERLINK("http://141.218.60.56/~jnz1568/getInfo.php?workbook=04_01.xlsx&amp;sheet=A0&amp;row=72&amp;col=14&amp;number=8903300&amp;sourceID=12","8903300")</f>
        <v>8903300</v>
      </c>
      <c r="O72" s="4" t="str">
        <f>HYPERLINK("http://141.218.60.56/~jnz1568/getInfo.php?workbook=04_01.xlsx&amp;sheet=A0&amp;row=72&amp;col=15&amp;number=8903300&amp;sourceID=12","8903300")</f>
        <v>8903300</v>
      </c>
      <c r="P72" s="4" t="str">
        <f>HYPERLINK("http://141.218.60.56/~jnz1568/getInfo.php?workbook=04_01.xlsx&amp;sheet=A0&amp;row=72&amp;col=16&amp;number=&amp;sourceID=12","")</f>
        <v/>
      </c>
      <c r="Q72" s="4" t="str">
        <f>HYPERLINK("http://141.218.60.56/~jnz1568/getInfo.php?workbook=04_01.xlsx&amp;sheet=A0&amp;row=72&amp;col=17&amp;number=0.018471&amp;sourceID=12","0.018471")</f>
        <v>0.018471</v>
      </c>
      <c r="R72" s="4" t="str">
        <f>HYPERLINK("http://141.218.60.56/~jnz1568/getInfo.php?workbook=04_01.xlsx&amp;sheet=A0&amp;row=72&amp;col=18&amp;number=&amp;sourceID=12","")</f>
        <v/>
      </c>
      <c r="S72" s="4" t="str">
        <f>HYPERLINK("http://141.218.60.56/~jnz1568/getInfo.php?workbook=04_01.xlsx&amp;sheet=A0&amp;row=72&amp;col=19&amp;number=&amp;sourceID=12","")</f>
        <v/>
      </c>
      <c r="T72" s="4" t="str">
        <f>HYPERLINK("http://141.218.60.56/~jnz1568/getInfo.php?workbook=04_01.xlsx&amp;sheet=A0&amp;row=72&amp;col=20&amp;number=&amp;sourceID=12","")</f>
        <v/>
      </c>
      <c r="U72" s="4" t="str">
        <f>HYPERLINK("http://141.218.60.56/~jnz1568/getInfo.php?workbook=04_01.xlsx&amp;sheet=A0&amp;row=72&amp;col=21&amp;number=&amp;sourceID=20","")</f>
        <v/>
      </c>
    </row>
    <row r="73" spans="1:21">
      <c r="A73" s="3">
        <v>4</v>
      </c>
      <c r="B73" s="3">
        <v>1</v>
      </c>
      <c r="C73" s="3">
        <v>13</v>
      </c>
      <c r="D73" s="3">
        <v>8</v>
      </c>
      <c r="E73" s="3">
        <f>((1/(INDEX(E0!J$4:J$28,C73,1)-INDEX(E0!J$4:J$28,D73,1))))*100000000</f>
        <v>0</v>
      </c>
      <c r="F73" s="4" t="str">
        <f>HYPERLINK("http://141.218.60.56/~jnz1568/getInfo.php?workbook=04_01.xlsx&amp;sheet=A0&amp;row=73&amp;col=6&amp;number=&amp;sourceID=18","")</f>
        <v/>
      </c>
      <c r="G73" s="4" t="str">
        <f>HYPERLINK("http://141.218.60.56/~jnz1568/getInfo.php?workbook=04_01.xlsx&amp;sheet=A0&amp;row=73&amp;col=7&amp;number==&amp;sourceID=11","=")</f>
        <v>=</v>
      </c>
      <c r="H73" s="4" t="str">
        <f>HYPERLINK("http://141.218.60.56/~jnz1568/getInfo.php?workbook=04_01.xlsx&amp;sheet=A0&amp;row=73&amp;col=8&amp;number=&amp;sourceID=11","")</f>
        <v/>
      </c>
      <c r="I73" s="4" t="str">
        <f>HYPERLINK("http://141.218.60.56/~jnz1568/getInfo.php?workbook=04_01.xlsx&amp;sheet=A0&amp;row=73&amp;col=9&amp;number=5224.5&amp;sourceID=11","5224.5")</f>
        <v>5224.5</v>
      </c>
      <c r="J73" s="4" t="str">
        <f>HYPERLINK("http://141.218.60.56/~jnz1568/getInfo.php?workbook=04_01.xlsx&amp;sheet=A0&amp;row=73&amp;col=10&amp;number=&amp;sourceID=11","")</f>
        <v/>
      </c>
      <c r="K73" s="4" t="str">
        <f>HYPERLINK("http://141.218.60.56/~jnz1568/getInfo.php?workbook=04_01.xlsx&amp;sheet=A0&amp;row=73&amp;col=11&amp;number=4.8407e-05&amp;sourceID=11","4.8407e-05")</f>
        <v>4.8407e-05</v>
      </c>
      <c r="L73" s="4" t="str">
        <f>HYPERLINK("http://141.218.60.56/~jnz1568/getInfo.php?workbook=04_01.xlsx&amp;sheet=A0&amp;row=73&amp;col=12&amp;number=&amp;sourceID=11","")</f>
        <v/>
      </c>
      <c r="M73" s="4" t="str">
        <f>HYPERLINK("http://141.218.60.56/~jnz1568/getInfo.php?workbook=04_01.xlsx&amp;sheet=A0&amp;row=73&amp;col=13&amp;number=8.9638e-07&amp;sourceID=11","8.9638e-07")</f>
        <v>8.9638e-07</v>
      </c>
      <c r="N73" s="4" t="str">
        <f>HYPERLINK("http://141.218.60.56/~jnz1568/getInfo.php?workbook=04_01.xlsx&amp;sheet=A0&amp;row=73&amp;col=14&amp;number=5224.9&amp;sourceID=12","5224.9")</f>
        <v>5224.9</v>
      </c>
      <c r="O73" s="4" t="str">
        <f>HYPERLINK("http://141.218.60.56/~jnz1568/getInfo.php?workbook=04_01.xlsx&amp;sheet=A0&amp;row=73&amp;col=15&amp;number=&amp;sourceID=12","")</f>
        <v/>
      </c>
      <c r="P73" s="4" t="str">
        <f>HYPERLINK("http://141.218.60.56/~jnz1568/getInfo.php?workbook=04_01.xlsx&amp;sheet=A0&amp;row=73&amp;col=16&amp;number=5224.9&amp;sourceID=12","5224.9")</f>
        <v>5224.9</v>
      </c>
      <c r="Q73" s="4" t="str">
        <f>HYPERLINK("http://141.218.60.56/~jnz1568/getInfo.php?workbook=04_01.xlsx&amp;sheet=A0&amp;row=73&amp;col=17&amp;number=&amp;sourceID=12","")</f>
        <v/>
      </c>
      <c r="R73" s="4" t="str">
        <f>HYPERLINK("http://141.218.60.56/~jnz1568/getInfo.php?workbook=04_01.xlsx&amp;sheet=A0&amp;row=73&amp;col=18&amp;number=4.841e-05&amp;sourceID=12","4.841e-05")</f>
        <v>4.841e-05</v>
      </c>
      <c r="S73" s="4" t="str">
        <f>HYPERLINK("http://141.218.60.56/~jnz1568/getInfo.php?workbook=04_01.xlsx&amp;sheet=A0&amp;row=73&amp;col=19&amp;number=&amp;sourceID=12","")</f>
        <v/>
      </c>
      <c r="T73" s="4" t="str">
        <f>HYPERLINK("http://141.218.60.56/~jnz1568/getInfo.php?workbook=04_01.xlsx&amp;sheet=A0&amp;row=73&amp;col=20&amp;number=8.9643e-07&amp;sourceID=12","8.9643e-07")</f>
        <v>8.9643e-07</v>
      </c>
      <c r="U73" s="4" t="str">
        <f>HYPERLINK("http://141.218.60.56/~jnz1568/getInfo.php?workbook=04_01.xlsx&amp;sheet=A0&amp;row=73&amp;col=21&amp;number=&amp;sourceID=20","")</f>
        <v/>
      </c>
    </row>
    <row r="74" spans="1:21">
      <c r="A74" s="3">
        <v>4</v>
      </c>
      <c r="B74" s="3">
        <v>1</v>
      </c>
      <c r="C74" s="3">
        <v>13</v>
      </c>
      <c r="D74" s="3">
        <v>9</v>
      </c>
      <c r="E74" s="3">
        <f>((1/(INDEX(E0!J$4:J$28,C74,1)-INDEX(E0!J$4:J$28,D74,1))))*100000000</f>
        <v>0</v>
      </c>
      <c r="F74" s="4" t="str">
        <f>HYPERLINK("http://141.218.60.56/~jnz1568/getInfo.php?workbook=04_01.xlsx&amp;sheet=A0&amp;row=74&amp;col=6&amp;number=&amp;sourceID=18","")</f>
        <v/>
      </c>
      <c r="G74" s="4" t="str">
        <f>HYPERLINK("http://141.218.60.56/~jnz1568/getInfo.php?workbook=04_01.xlsx&amp;sheet=A0&amp;row=74&amp;col=7&amp;number==&amp;sourceID=11","=")</f>
        <v>=</v>
      </c>
      <c r="H74" s="4" t="str">
        <f>HYPERLINK("http://141.218.60.56/~jnz1568/getInfo.php?workbook=04_01.xlsx&amp;sheet=A0&amp;row=74&amp;col=8&amp;number=80183000&amp;sourceID=11","80183000")</f>
        <v>80183000</v>
      </c>
      <c r="I74" s="4" t="str">
        <f>HYPERLINK("http://141.218.60.56/~jnz1568/getInfo.php?workbook=04_01.xlsx&amp;sheet=A0&amp;row=74&amp;col=9&amp;number=&amp;sourceID=11","")</f>
        <v/>
      </c>
      <c r="J74" s="4" t="str">
        <f>HYPERLINK("http://141.218.60.56/~jnz1568/getInfo.php?workbook=04_01.xlsx&amp;sheet=A0&amp;row=74&amp;col=10&amp;number=0.01231&amp;sourceID=11","0.01231")</f>
        <v>0.01231</v>
      </c>
      <c r="K74" s="4" t="str">
        <f>HYPERLINK("http://141.218.60.56/~jnz1568/getInfo.php?workbook=04_01.xlsx&amp;sheet=A0&amp;row=74&amp;col=11&amp;number=&amp;sourceID=11","")</f>
        <v/>
      </c>
      <c r="L74" s="4" t="str">
        <f>HYPERLINK("http://141.218.60.56/~jnz1568/getInfo.php?workbook=04_01.xlsx&amp;sheet=A0&amp;row=74&amp;col=12&amp;number=0.0083582&amp;sourceID=11","0.0083582")</f>
        <v>0.0083582</v>
      </c>
      <c r="M74" s="4" t="str">
        <f>HYPERLINK("http://141.218.60.56/~jnz1568/getInfo.php?workbook=04_01.xlsx&amp;sheet=A0&amp;row=74&amp;col=13&amp;number=&amp;sourceID=11","")</f>
        <v/>
      </c>
      <c r="N74" s="4" t="str">
        <f>HYPERLINK("http://141.218.60.56/~jnz1568/getInfo.php?workbook=04_01.xlsx&amp;sheet=A0&amp;row=74&amp;col=14&amp;number=80187000&amp;sourceID=12","80187000")</f>
        <v>80187000</v>
      </c>
      <c r="O74" s="4" t="str">
        <f>HYPERLINK("http://141.218.60.56/~jnz1568/getInfo.php?workbook=04_01.xlsx&amp;sheet=A0&amp;row=74&amp;col=15&amp;number=80187000&amp;sourceID=12","80187000")</f>
        <v>80187000</v>
      </c>
      <c r="P74" s="4" t="str">
        <f>HYPERLINK("http://141.218.60.56/~jnz1568/getInfo.php?workbook=04_01.xlsx&amp;sheet=A0&amp;row=74&amp;col=16&amp;number=&amp;sourceID=12","")</f>
        <v/>
      </c>
      <c r="Q74" s="4" t="str">
        <f>HYPERLINK("http://141.218.60.56/~jnz1568/getInfo.php?workbook=04_01.xlsx&amp;sheet=A0&amp;row=74&amp;col=17&amp;number=0.012311&amp;sourceID=12","0.012311")</f>
        <v>0.012311</v>
      </c>
      <c r="R74" s="4" t="str">
        <f>HYPERLINK("http://141.218.60.56/~jnz1568/getInfo.php?workbook=04_01.xlsx&amp;sheet=A0&amp;row=74&amp;col=18&amp;number=&amp;sourceID=12","")</f>
        <v/>
      </c>
      <c r="S74" s="4" t="str">
        <f>HYPERLINK("http://141.218.60.56/~jnz1568/getInfo.php?workbook=04_01.xlsx&amp;sheet=A0&amp;row=74&amp;col=19&amp;number=0.0083587&amp;sourceID=12","0.0083587")</f>
        <v>0.0083587</v>
      </c>
      <c r="T74" s="4" t="str">
        <f>HYPERLINK("http://141.218.60.56/~jnz1568/getInfo.php?workbook=04_01.xlsx&amp;sheet=A0&amp;row=74&amp;col=20&amp;number=&amp;sourceID=12","")</f>
        <v/>
      </c>
      <c r="U74" s="4" t="str">
        <f>HYPERLINK("http://141.218.60.56/~jnz1568/getInfo.php?workbook=04_01.xlsx&amp;sheet=A0&amp;row=74&amp;col=21&amp;number=&amp;sourceID=20","")</f>
        <v/>
      </c>
    </row>
    <row r="75" spans="1:21">
      <c r="A75" s="3">
        <v>4</v>
      </c>
      <c r="B75" s="3">
        <v>1</v>
      </c>
      <c r="C75" s="3">
        <v>13</v>
      </c>
      <c r="D75" s="3">
        <v>10</v>
      </c>
      <c r="E75" s="3">
        <f>((1/(INDEX(E0!J$4:J$28,C75,1)-INDEX(E0!J$4:J$28,D75,1))))*100000000</f>
        <v>0</v>
      </c>
      <c r="F75" s="4" t="str">
        <f>HYPERLINK("http://141.218.60.56/~jnz1568/getInfo.php?workbook=04_01.xlsx&amp;sheet=A0&amp;row=75&amp;col=6&amp;number=&amp;sourceID=18","")</f>
        <v/>
      </c>
      <c r="G75" s="4" t="str">
        <f>HYPERLINK("http://141.218.60.56/~jnz1568/getInfo.php?workbook=04_01.xlsx&amp;sheet=A0&amp;row=75&amp;col=7&amp;number==&amp;sourceID=11","=")</f>
        <v>=</v>
      </c>
      <c r="H75" s="4" t="str">
        <f>HYPERLINK("http://141.218.60.56/~jnz1568/getInfo.php?workbook=04_01.xlsx&amp;sheet=A0&amp;row=75&amp;col=8&amp;number=&amp;sourceID=11","")</f>
        <v/>
      </c>
      <c r="I75" s="4" t="str">
        <f>HYPERLINK("http://141.218.60.56/~jnz1568/getInfo.php?workbook=04_01.xlsx&amp;sheet=A0&amp;row=75&amp;col=9&amp;number=7e-15&amp;sourceID=11","7e-15")</f>
        <v>7e-15</v>
      </c>
      <c r="J75" s="4" t="str">
        <f>HYPERLINK("http://141.218.60.56/~jnz1568/getInfo.php?workbook=04_01.xlsx&amp;sheet=A0&amp;row=75&amp;col=10&amp;number=&amp;sourceID=11","")</f>
        <v/>
      </c>
      <c r="K75" s="4" t="str">
        <f>HYPERLINK("http://141.218.60.56/~jnz1568/getInfo.php?workbook=04_01.xlsx&amp;sheet=A0&amp;row=75&amp;col=11&amp;number=1.4375e-08&amp;sourceID=11","1.4375e-08")</f>
        <v>1.4375e-08</v>
      </c>
      <c r="L75" s="4" t="str">
        <f>HYPERLINK("http://141.218.60.56/~jnz1568/getInfo.php?workbook=04_01.xlsx&amp;sheet=A0&amp;row=75&amp;col=12&amp;number=&amp;sourceID=11","")</f>
        <v/>
      </c>
      <c r="M75" s="4" t="str">
        <f>HYPERLINK("http://141.218.60.56/~jnz1568/getInfo.php?workbook=04_01.xlsx&amp;sheet=A0&amp;row=75&amp;col=13&amp;number=&amp;sourceID=11","")</f>
        <v/>
      </c>
      <c r="N75" s="4" t="str">
        <f>HYPERLINK("http://141.218.60.56/~jnz1568/getInfo.php?workbook=04_01.xlsx&amp;sheet=A0&amp;row=75&amp;col=14&amp;number=1.4377e-08&amp;sourceID=12","1.4377e-08")</f>
        <v>1.4377e-08</v>
      </c>
      <c r="O75" s="4" t="str">
        <f>HYPERLINK("http://141.218.60.56/~jnz1568/getInfo.php?workbook=04_01.xlsx&amp;sheet=A0&amp;row=75&amp;col=15&amp;number=&amp;sourceID=12","")</f>
        <v/>
      </c>
      <c r="P75" s="4" t="str">
        <f>HYPERLINK("http://141.218.60.56/~jnz1568/getInfo.php?workbook=04_01.xlsx&amp;sheet=A0&amp;row=75&amp;col=16&amp;number=7e-15&amp;sourceID=12","7e-15")</f>
        <v>7e-15</v>
      </c>
      <c r="Q75" s="4" t="str">
        <f>HYPERLINK("http://141.218.60.56/~jnz1568/getInfo.php?workbook=04_01.xlsx&amp;sheet=A0&amp;row=75&amp;col=17&amp;number=&amp;sourceID=12","")</f>
        <v/>
      </c>
      <c r="R75" s="4" t="str">
        <f>HYPERLINK("http://141.218.60.56/~jnz1568/getInfo.php?workbook=04_01.xlsx&amp;sheet=A0&amp;row=75&amp;col=18&amp;number=1.4377e-08&amp;sourceID=12","1.4377e-08")</f>
        <v>1.4377e-08</v>
      </c>
      <c r="S75" s="4" t="str">
        <f>HYPERLINK("http://141.218.60.56/~jnz1568/getInfo.php?workbook=04_01.xlsx&amp;sheet=A0&amp;row=75&amp;col=19&amp;number=&amp;sourceID=12","")</f>
        <v/>
      </c>
      <c r="T75" s="4" t="str">
        <f>HYPERLINK("http://141.218.60.56/~jnz1568/getInfo.php?workbook=04_01.xlsx&amp;sheet=A0&amp;row=75&amp;col=20&amp;number=&amp;sourceID=12","")</f>
        <v/>
      </c>
      <c r="U75" s="4" t="str">
        <f>HYPERLINK("http://141.218.60.56/~jnz1568/getInfo.php?workbook=04_01.xlsx&amp;sheet=A0&amp;row=75&amp;col=21&amp;number=&amp;sourceID=20","")</f>
        <v/>
      </c>
    </row>
    <row r="76" spans="1:21">
      <c r="A76" s="3">
        <v>4</v>
      </c>
      <c r="B76" s="3">
        <v>1</v>
      </c>
      <c r="C76" s="3">
        <v>13</v>
      </c>
      <c r="D76" s="3">
        <v>11</v>
      </c>
      <c r="E76" s="3">
        <f>((1/(INDEX(E0!J$4:J$28,C76,1)-INDEX(E0!J$4:J$28,D76,1))))*100000000</f>
        <v>0</v>
      </c>
      <c r="F76" s="4" t="str">
        <f>HYPERLINK("http://141.218.60.56/~jnz1568/getInfo.php?workbook=04_01.xlsx&amp;sheet=A0&amp;row=76&amp;col=6&amp;number=&amp;sourceID=18","")</f>
        <v/>
      </c>
      <c r="G76" s="4" t="str">
        <f>HYPERLINK("http://141.218.60.56/~jnz1568/getInfo.php?workbook=04_01.xlsx&amp;sheet=A0&amp;row=76&amp;col=7&amp;number==&amp;sourceID=11","=")</f>
        <v>=</v>
      </c>
      <c r="H76" s="4" t="str">
        <f>HYPERLINK("http://141.218.60.56/~jnz1568/getInfo.php?workbook=04_01.xlsx&amp;sheet=A0&amp;row=76&amp;col=8&amp;number=0.036438&amp;sourceID=11","0.036438")</f>
        <v>0.036438</v>
      </c>
      <c r="I76" s="4" t="str">
        <f>HYPERLINK("http://141.218.60.56/~jnz1568/getInfo.php?workbook=04_01.xlsx&amp;sheet=A0&amp;row=76&amp;col=9&amp;number=&amp;sourceID=11","")</f>
        <v/>
      </c>
      <c r="J76" s="4" t="str">
        <f>HYPERLINK("http://141.218.60.56/~jnz1568/getInfo.php?workbook=04_01.xlsx&amp;sheet=A0&amp;row=76&amp;col=10&amp;number=&amp;sourceID=11","")</f>
        <v/>
      </c>
      <c r="K76" s="4" t="str">
        <f>HYPERLINK("http://141.218.60.56/~jnz1568/getInfo.php?workbook=04_01.xlsx&amp;sheet=A0&amp;row=76&amp;col=11&amp;number=&amp;sourceID=11","")</f>
        <v/>
      </c>
      <c r="L76" s="4" t="str">
        <f>HYPERLINK("http://141.218.60.56/~jnz1568/getInfo.php?workbook=04_01.xlsx&amp;sheet=A0&amp;row=76&amp;col=12&amp;number=0&amp;sourceID=11","0")</f>
        <v>0</v>
      </c>
      <c r="M76" s="4" t="str">
        <f>HYPERLINK("http://141.218.60.56/~jnz1568/getInfo.php?workbook=04_01.xlsx&amp;sheet=A0&amp;row=76&amp;col=13&amp;number=&amp;sourceID=11","")</f>
        <v/>
      </c>
      <c r="N76" s="4" t="str">
        <f>HYPERLINK("http://141.218.60.56/~jnz1568/getInfo.php?workbook=04_01.xlsx&amp;sheet=A0&amp;row=76&amp;col=14&amp;number=0.036442&amp;sourceID=12","0.036442")</f>
        <v>0.036442</v>
      </c>
      <c r="O76" s="4" t="str">
        <f>HYPERLINK("http://141.218.60.56/~jnz1568/getInfo.php?workbook=04_01.xlsx&amp;sheet=A0&amp;row=76&amp;col=15&amp;number=0.036442&amp;sourceID=12","0.036442")</f>
        <v>0.036442</v>
      </c>
      <c r="P76" s="4" t="str">
        <f>HYPERLINK("http://141.218.60.56/~jnz1568/getInfo.php?workbook=04_01.xlsx&amp;sheet=A0&amp;row=76&amp;col=16&amp;number=&amp;sourceID=12","")</f>
        <v/>
      </c>
      <c r="Q76" s="4" t="str">
        <f>HYPERLINK("http://141.218.60.56/~jnz1568/getInfo.php?workbook=04_01.xlsx&amp;sheet=A0&amp;row=76&amp;col=17&amp;number=&amp;sourceID=12","")</f>
        <v/>
      </c>
      <c r="R76" s="4" t="str">
        <f>HYPERLINK("http://141.218.60.56/~jnz1568/getInfo.php?workbook=04_01.xlsx&amp;sheet=A0&amp;row=76&amp;col=18&amp;number=&amp;sourceID=12","")</f>
        <v/>
      </c>
      <c r="S76" s="4" t="str">
        <f>HYPERLINK("http://141.218.60.56/~jnz1568/getInfo.php?workbook=04_01.xlsx&amp;sheet=A0&amp;row=76&amp;col=19&amp;number=0&amp;sourceID=12","0")</f>
        <v>0</v>
      </c>
      <c r="T76" s="4" t="str">
        <f>HYPERLINK("http://141.218.60.56/~jnz1568/getInfo.php?workbook=04_01.xlsx&amp;sheet=A0&amp;row=76&amp;col=20&amp;number=&amp;sourceID=12","")</f>
        <v/>
      </c>
      <c r="U76" s="4" t="str">
        <f>HYPERLINK("http://141.218.60.56/~jnz1568/getInfo.php?workbook=04_01.xlsx&amp;sheet=A0&amp;row=76&amp;col=21&amp;number=&amp;sourceID=20","")</f>
        <v/>
      </c>
    </row>
    <row r="77" spans="1:21">
      <c r="A77" s="3">
        <v>4</v>
      </c>
      <c r="B77" s="3">
        <v>1</v>
      </c>
      <c r="C77" s="3">
        <v>14</v>
      </c>
      <c r="D77" s="3">
        <v>1</v>
      </c>
      <c r="E77" s="3">
        <f>((1/(INDEX(E0!J$4:J$28,C77,1)-INDEX(E0!J$4:J$28,D77,1))))*100000000</f>
        <v>0</v>
      </c>
      <c r="F77" s="4" t="str">
        <f>HYPERLINK("http://141.218.60.56/~jnz1568/getInfo.php?workbook=04_01.xlsx&amp;sheet=A0&amp;row=77&amp;col=6&amp;number=&amp;sourceID=18","")</f>
        <v/>
      </c>
      <c r="G77" s="4" t="str">
        <f>HYPERLINK("http://141.218.60.56/~jnz1568/getInfo.php?workbook=04_01.xlsx&amp;sheet=A0&amp;row=77&amp;col=7&amp;number==&amp;sourceID=11","=")</f>
        <v>=</v>
      </c>
      <c r="H77" s="4" t="str">
        <f>HYPERLINK("http://141.218.60.56/~jnz1568/getInfo.php?workbook=04_01.xlsx&amp;sheet=A0&amp;row=77&amp;col=8&amp;number=&amp;sourceID=11","")</f>
        <v/>
      </c>
      <c r="I77" s="4" t="str">
        <f>HYPERLINK("http://141.218.60.56/~jnz1568/getInfo.php?workbook=04_01.xlsx&amp;sheet=A0&amp;row=77&amp;col=9&amp;number=&amp;sourceID=11","")</f>
        <v/>
      </c>
      <c r="J77" s="4" t="str">
        <f>HYPERLINK("http://141.218.60.56/~jnz1568/getInfo.php?workbook=04_01.xlsx&amp;sheet=A0&amp;row=77&amp;col=10&amp;number=20.363&amp;sourceID=11","20.363")</f>
        <v>20.363</v>
      </c>
      <c r="K77" s="4" t="str">
        <f>HYPERLINK("http://141.218.60.56/~jnz1568/getInfo.php?workbook=04_01.xlsx&amp;sheet=A0&amp;row=77&amp;col=11&amp;number=&amp;sourceID=11","")</f>
        <v/>
      </c>
      <c r="L77" s="4" t="str">
        <f>HYPERLINK("http://141.218.60.56/~jnz1568/getInfo.php?workbook=04_01.xlsx&amp;sheet=A0&amp;row=77&amp;col=12&amp;number=2.7302e-08&amp;sourceID=11","2.7302e-08")</f>
        <v>2.7302e-08</v>
      </c>
      <c r="M77" s="4" t="str">
        <f>HYPERLINK("http://141.218.60.56/~jnz1568/getInfo.php?workbook=04_01.xlsx&amp;sheet=A0&amp;row=77&amp;col=13&amp;number=&amp;sourceID=11","")</f>
        <v/>
      </c>
      <c r="N77" s="4" t="str">
        <f>HYPERLINK("http://141.218.60.56/~jnz1568/getInfo.php?workbook=04_01.xlsx&amp;sheet=A0&amp;row=77&amp;col=14&amp;number=20.364&amp;sourceID=12","20.364")</f>
        <v>20.364</v>
      </c>
      <c r="O77" s="4" t="str">
        <f>HYPERLINK("http://141.218.60.56/~jnz1568/getInfo.php?workbook=04_01.xlsx&amp;sheet=A0&amp;row=77&amp;col=15&amp;number=&amp;sourceID=12","")</f>
        <v/>
      </c>
      <c r="P77" s="4" t="str">
        <f>HYPERLINK("http://141.218.60.56/~jnz1568/getInfo.php?workbook=04_01.xlsx&amp;sheet=A0&amp;row=77&amp;col=16&amp;number=&amp;sourceID=12","")</f>
        <v/>
      </c>
      <c r="Q77" s="4" t="str">
        <f>HYPERLINK("http://141.218.60.56/~jnz1568/getInfo.php?workbook=04_01.xlsx&amp;sheet=A0&amp;row=77&amp;col=17&amp;number=20.364&amp;sourceID=12","20.364")</f>
        <v>20.364</v>
      </c>
      <c r="R77" s="4" t="str">
        <f>HYPERLINK("http://141.218.60.56/~jnz1568/getInfo.php?workbook=04_01.xlsx&amp;sheet=A0&amp;row=77&amp;col=18&amp;number=&amp;sourceID=12","")</f>
        <v/>
      </c>
      <c r="S77" s="4" t="str">
        <f>HYPERLINK("http://141.218.60.56/~jnz1568/getInfo.php?workbook=04_01.xlsx&amp;sheet=A0&amp;row=77&amp;col=19&amp;number=2.6356e-08&amp;sourceID=12","2.6356e-08")</f>
        <v>2.6356e-08</v>
      </c>
      <c r="T77" s="4" t="str">
        <f>HYPERLINK("http://141.218.60.56/~jnz1568/getInfo.php?workbook=04_01.xlsx&amp;sheet=A0&amp;row=77&amp;col=20&amp;number=&amp;sourceID=12","")</f>
        <v/>
      </c>
      <c r="U77" s="4" t="str">
        <f>HYPERLINK("http://141.218.60.56/~jnz1568/getInfo.php?workbook=04_01.xlsx&amp;sheet=A0&amp;row=77&amp;col=21&amp;number=&amp;sourceID=20","")</f>
        <v/>
      </c>
    </row>
    <row r="78" spans="1:21">
      <c r="A78" s="3">
        <v>4</v>
      </c>
      <c r="B78" s="3">
        <v>1</v>
      </c>
      <c r="C78" s="3">
        <v>14</v>
      </c>
      <c r="D78" s="3">
        <v>2</v>
      </c>
      <c r="E78" s="3">
        <f>((1/(INDEX(E0!J$4:J$28,C78,1)-INDEX(E0!J$4:J$28,D78,1))))*100000000</f>
        <v>0</v>
      </c>
      <c r="F78" s="4" t="str">
        <f>HYPERLINK("http://141.218.60.56/~jnz1568/getInfo.php?workbook=04_01.xlsx&amp;sheet=A0&amp;row=78&amp;col=6&amp;number=&amp;sourceID=18","")</f>
        <v/>
      </c>
      <c r="G78" s="4" t="str">
        <f>HYPERLINK("http://141.218.60.56/~jnz1568/getInfo.php?workbook=04_01.xlsx&amp;sheet=A0&amp;row=78&amp;col=7&amp;number==&amp;sourceID=11","=")</f>
        <v>=</v>
      </c>
      <c r="H78" s="4" t="str">
        <f>HYPERLINK("http://141.218.60.56/~jnz1568/getInfo.php?workbook=04_01.xlsx&amp;sheet=A0&amp;row=78&amp;col=8&amp;number=&amp;sourceID=11","")</f>
        <v/>
      </c>
      <c r="I78" s="4" t="str">
        <f>HYPERLINK("http://141.218.60.56/~jnz1568/getInfo.php?workbook=04_01.xlsx&amp;sheet=A0&amp;row=78&amp;col=9&amp;number=196910&amp;sourceID=11","196910")</f>
        <v>196910</v>
      </c>
      <c r="J78" s="4" t="str">
        <f>HYPERLINK("http://141.218.60.56/~jnz1568/getInfo.php?workbook=04_01.xlsx&amp;sheet=A0&amp;row=78&amp;col=10&amp;number=&amp;sourceID=11","")</f>
        <v/>
      </c>
      <c r="K78" s="4" t="str">
        <f>HYPERLINK("http://141.218.60.56/~jnz1568/getInfo.php?workbook=04_01.xlsx&amp;sheet=A0&amp;row=78&amp;col=11&amp;number=&amp;sourceID=11","")</f>
        <v/>
      </c>
      <c r="L78" s="4" t="str">
        <f>HYPERLINK("http://141.218.60.56/~jnz1568/getInfo.php?workbook=04_01.xlsx&amp;sheet=A0&amp;row=78&amp;col=12&amp;number=&amp;sourceID=11","")</f>
        <v/>
      </c>
      <c r="M78" s="4" t="str">
        <f>HYPERLINK("http://141.218.60.56/~jnz1568/getInfo.php?workbook=04_01.xlsx&amp;sheet=A0&amp;row=78&amp;col=13&amp;number=5.701e-06&amp;sourceID=11","5.701e-06")</f>
        <v>5.701e-06</v>
      </c>
      <c r="N78" s="4" t="str">
        <f>HYPERLINK("http://141.218.60.56/~jnz1568/getInfo.php?workbook=04_01.xlsx&amp;sheet=A0&amp;row=78&amp;col=14&amp;number=196920&amp;sourceID=12","196920")</f>
        <v>196920</v>
      </c>
      <c r="O78" s="4" t="str">
        <f>HYPERLINK("http://141.218.60.56/~jnz1568/getInfo.php?workbook=04_01.xlsx&amp;sheet=A0&amp;row=78&amp;col=15&amp;number=&amp;sourceID=12","")</f>
        <v/>
      </c>
      <c r="P78" s="4" t="str">
        <f>HYPERLINK("http://141.218.60.56/~jnz1568/getInfo.php?workbook=04_01.xlsx&amp;sheet=A0&amp;row=78&amp;col=16&amp;number=196920&amp;sourceID=12","196920")</f>
        <v>196920</v>
      </c>
      <c r="Q78" s="4" t="str">
        <f>HYPERLINK("http://141.218.60.56/~jnz1568/getInfo.php?workbook=04_01.xlsx&amp;sheet=A0&amp;row=78&amp;col=17&amp;number=&amp;sourceID=12","")</f>
        <v/>
      </c>
      <c r="R78" s="4" t="str">
        <f>HYPERLINK("http://141.218.60.56/~jnz1568/getInfo.php?workbook=04_01.xlsx&amp;sheet=A0&amp;row=78&amp;col=18&amp;number=&amp;sourceID=12","")</f>
        <v/>
      </c>
      <c r="S78" s="4" t="str">
        <f>HYPERLINK("http://141.218.60.56/~jnz1568/getInfo.php?workbook=04_01.xlsx&amp;sheet=A0&amp;row=78&amp;col=19&amp;number=&amp;sourceID=12","")</f>
        <v/>
      </c>
      <c r="T78" s="4" t="str">
        <f>HYPERLINK("http://141.218.60.56/~jnz1568/getInfo.php?workbook=04_01.xlsx&amp;sheet=A0&amp;row=78&amp;col=20&amp;number=5.7013e-06&amp;sourceID=12","5.7013e-06")</f>
        <v>5.7013e-06</v>
      </c>
      <c r="U78" s="4" t="str">
        <f>HYPERLINK("http://141.218.60.56/~jnz1568/getInfo.php?workbook=04_01.xlsx&amp;sheet=A0&amp;row=78&amp;col=21&amp;number=&amp;sourceID=20","")</f>
        <v/>
      </c>
    </row>
    <row r="79" spans="1:21">
      <c r="A79" s="3">
        <v>4</v>
      </c>
      <c r="B79" s="3">
        <v>1</v>
      </c>
      <c r="C79" s="3">
        <v>14</v>
      </c>
      <c r="D79" s="3">
        <v>3</v>
      </c>
      <c r="E79" s="3">
        <f>((1/(INDEX(E0!J$4:J$28,C79,1)-INDEX(E0!J$4:J$28,D79,1))))*100000000</f>
        <v>0</v>
      </c>
      <c r="F79" s="4" t="str">
        <f>HYPERLINK("http://141.218.60.56/~jnz1568/getInfo.php?workbook=04_01.xlsx&amp;sheet=A0&amp;row=79&amp;col=6&amp;number=&amp;sourceID=18","")</f>
        <v/>
      </c>
      <c r="G79" s="4" t="str">
        <f>HYPERLINK("http://141.218.60.56/~jnz1568/getInfo.php?workbook=04_01.xlsx&amp;sheet=A0&amp;row=79&amp;col=7&amp;number==&amp;sourceID=11","=")</f>
        <v>=</v>
      </c>
      <c r="H79" s="4" t="str">
        <f>HYPERLINK("http://141.218.60.56/~jnz1568/getInfo.php?workbook=04_01.xlsx&amp;sheet=A0&amp;row=79&amp;col=8&amp;number=&amp;sourceID=11","")</f>
        <v/>
      </c>
      <c r="I79" s="4" t="str">
        <f>HYPERLINK("http://141.218.60.56/~jnz1568/getInfo.php?workbook=04_01.xlsx&amp;sheet=A0&amp;row=79&amp;col=9&amp;number=&amp;sourceID=11","")</f>
        <v/>
      </c>
      <c r="J79" s="4" t="str">
        <f>HYPERLINK("http://141.218.60.56/~jnz1568/getInfo.php?workbook=04_01.xlsx&amp;sheet=A0&amp;row=79&amp;col=10&amp;number=8.0291&amp;sourceID=11","8.0291")</f>
        <v>8.0291</v>
      </c>
      <c r="K79" s="4" t="str">
        <f>HYPERLINK("http://141.218.60.56/~jnz1568/getInfo.php?workbook=04_01.xlsx&amp;sheet=A0&amp;row=79&amp;col=11&amp;number=&amp;sourceID=11","")</f>
        <v/>
      </c>
      <c r="L79" s="4" t="str">
        <f>HYPERLINK("http://141.218.60.56/~jnz1568/getInfo.php?workbook=04_01.xlsx&amp;sheet=A0&amp;row=79&amp;col=12&amp;number=1.3951e-09&amp;sourceID=11","1.3951e-09")</f>
        <v>1.3951e-09</v>
      </c>
      <c r="M79" s="4" t="str">
        <f>HYPERLINK("http://141.218.60.56/~jnz1568/getInfo.php?workbook=04_01.xlsx&amp;sheet=A0&amp;row=79&amp;col=13&amp;number=&amp;sourceID=11","")</f>
        <v/>
      </c>
      <c r="N79" s="4" t="str">
        <f>HYPERLINK("http://141.218.60.56/~jnz1568/getInfo.php?workbook=04_01.xlsx&amp;sheet=A0&amp;row=79&amp;col=14&amp;number=8.0296&amp;sourceID=12","8.0296")</f>
        <v>8.0296</v>
      </c>
      <c r="O79" s="4" t="str">
        <f>HYPERLINK("http://141.218.60.56/~jnz1568/getInfo.php?workbook=04_01.xlsx&amp;sheet=A0&amp;row=79&amp;col=15&amp;number=&amp;sourceID=12","")</f>
        <v/>
      </c>
      <c r="P79" s="4" t="str">
        <f>HYPERLINK("http://141.218.60.56/~jnz1568/getInfo.php?workbook=04_01.xlsx&amp;sheet=A0&amp;row=79&amp;col=16&amp;number=&amp;sourceID=12","")</f>
        <v/>
      </c>
      <c r="Q79" s="4" t="str">
        <f>HYPERLINK("http://141.218.60.56/~jnz1568/getInfo.php?workbook=04_01.xlsx&amp;sheet=A0&amp;row=79&amp;col=17&amp;number=8.0296&amp;sourceID=12","8.0296")</f>
        <v>8.0296</v>
      </c>
      <c r="R79" s="4" t="str">
        <f>HYPERLINK("http://141.218.60.56/~jnz1568/getInfo.php?workbook=04_01.xlsx&amp;sheet=A0&amp;row=79&amp;col=18&amp;number=&amp;sourceID=12","")</f>
        <v/>
      </c>
      <c r="S79" s="4" t="str">
        <f>HYPERLINK("http://141.218.60.56/~jnz1568/getInfo.php?workbook=04_01.xlsx&amp;sheet=A0&amp;row=79&amp;col=19&amp;number=1.3947e-09&amp;sourceID=12","1.3947e-09")</f>
        <v>1.3947e-09</v>
      </c>
      <c r="T79" s="4" t="str">
        <f>HYPERLINK("http://141.218.60.56/~jnz1568/getInfo.php?workbook=04_01.xlsx&amp;sheet=A0&amp;row=79&amp;col=20&amp;number=&amp;sourceID=12","")</f>
        <v/>
      </c>
      <c r="U79" s="4" t="str">
        <f>HYPERLINK("http://141.218.60.56/~jnz1568/getInfo.php?workbook=04_01.xlsx&amp;sheet=A0&amp;row=79&amp;col=21&amp;number=&amp;sourceID=20","")</f>
        <v/>
      </c>
    </row>
    <row r="80" spans="1:21">
      <c r="A80" s="3">
        <v>4</v>
      </c>
      <c r="B80" s="3">
        <v>1</v>
      </c>
      <c r="C80" s="3">
        <v>14</v>
      </c>
      <c r="D80" s="3">
        <v>4</v>
      </c>
      <c r="E80" s="3">
        <f>((1/(INDEX(E0!J$4:J$28,C80,1)-INDEX(E0!J$4:J$28,D80,1))))*100000000</f>
        <v>0</v>
      </c>
      <c r="F80" s="4" t="str">
        <f>HYPERLINK("http://141.218.60.56/~jnz1568/getInfo.php?workbook=04_01.xlsx&amp;sheet=A0&amp;row=80&amp;col=6&amp;number=&amp;sourceID=18","")</f>
        <v/>
      </c>
      <c r="G80" s="4" t="str">
        <f>HYPERLINK("http://141.218.60.56/~jnz1568/getInfo.php?workbook=04_01.xlsx&amp;sheet=A0&amp;row=80&amp;col=7&amp;number==&amp;sourceID=11","=")</f>
        <v>=</v>
      </c>
      <c r="H80" s="4" t="str">
        <f>HYPERLINK("http://141.218.60.56/~jnz1568/getInfo.php?workbook=04_01.xlsx&amp;sheet=A0&amp;row=80&amp;col=8&amp;number=&amp;sourceID=11","")</f>
        <v/>
      </c>
      <c r="I80" s="4" t="str">
        <f>HYPERLINK("http://141.218.60.56/~jnz1568/getInfo.php?workbook=04_01.xlsx&amp;sheet=A0&amp;row=80&amp;col=9&amp;number=56256&amp;sourceID=11","56256")</f>
        <v>56256</v>
      </c>
      <c r="J80" s="4" t="str">
        <f>HYPERLINK("http://141.218.60.56/~jnz1568/getInfo.php?workbook=04_01.xlsx&amp;sheet=A0&amp;row=80&amp;col=10&amp;number=&amp;sourceID=11","")</f>
        <v/>
      </c>
      <c r="K80" s="4" t="str">
        <f>HYPERLINK("http://141.218.60.56/~jnz1568/getInfo.php?workbook=04_01.xlsx&amp;sheet=A0&amp;row=80&amp;col=11&amp;number=4.6316e-05&amp;sourceID=11","4.6316e-05")</f>
        <v>4.6316e-05</v>
      </c>
      <c r="L80" s="4" t="str">
        <f>HYPERLINK("http://141.218.60.56/~jnz1568/getInfo.php?workbook=04_01.xlsx&amp;sheet=A0&amp;row=80&amp;col=12&amp;number=&amp;sourceID=11","")</f>
        <v/>
      </c>
      <c r="M80" s="4" t="str">
        <f>HYPERLINK("http://141.218.60.56/~jnz1568/getInfo.php?workbook=04_01.xlsx&amp;sheet=A0&amp;row=80&amp;col=13&amp;number=1.1397e-06&amp;sourceID=11","1.1397e-06")</f>
        <v>1.1397e-06</v>
      </c>
      <c r="N80" s="4" t="str">
        <f>HYPERLINK("http://141.218.60.56/~jnz1568/getInfo.php?workbook=04_01.xlsx&amp;sheet=A0&amp;row=80&amp;col=14&amp;number=56260&amp;sourceID=12","56260")</f>
        <v>56260</v>
      </c>
      <c r="O80" s="4" t="str">
        <f>HYPERLINK("http://141.218.60.56/~jnz1568/getInfo.php?workbook=04_01.xlsx&amp;sheet=A0&amp;row=80&amp;col=15&amp;number=&amp;sourceID=12","")</f>
        <v/>
      </c>
      <c r="P80" s="4" t="str">
        <f>HYPERLINK("http://141.218.60.56/~jnz1568/getInfo.php?workbook=04_01.xlsx&amp;sheet=A0&amp;row=80&amp;col=16&amp;number=56260&amp;sourceID=12","56260")</f>
        <v>56260</v>
      </c>
      <c r="Q80" s="4" t="str">
        <f>HYPERLINK("http://141.218.60.56/~jnz1568/getInfo.php?workbook=04_01.xlsx&amp;sheet=A0&amp;row=80&amp;col=17&amp;number=&amp;sourceID=12","")</f>
        <v/>
      </c>
      <c r="R80" s="4" t="str">
        <f>HYPERLINK("http://141.218.60.56/~jnz1568/getInfo.php?workbook=04_01.xlsx&amp;sheet=A0&amp;row=80&amp;col=18&amp;number=4.6317e-05&amp;sourceID=12","4.6317e-05")</f>
        <v>4.6317e-05</v>
      </c>
      <c r="S80" s="4" t="str">
        <f>HYPERLINK("http://141.218.60.56/~jnz1568/getInfo.php?workbook=04_01.xlsx&amp;sheet=A0&amp;row=80&amp;col=19&amp;number=&amp;sourceID=12","")</f>
        <v/>
      </c>
      <c r="T80" s="4" t="str">
        <f>HYPERLINK("http://141.218.60.56/~jnz1568/getInfo.php?workbook=04_01.xlsx&amp;sheet=A0&amp;row=80&amp;col=20&amp;number=1.1398e-06&amp;sourceID=12","1.1398e-06")</f>
        <v>1.1398e-06</v>
      </c>
      <c r="U80" s="4" t="str">
        <f>HYPERLINK("http://141.218.60.56/~jnz1568/getInfo.php?workbook=04_01.xlsx&amp;sheet=A0&amp;row=80&amp;col=21&amp;number=&amp;sourceID=20","")</f>
        <v/>
      </c>
    </row>
    <row r="81" spans="1:21">
      <c r="A81" s="3">
        <v>4</v>
      </c>
      <c r="B81" s="3">
        <v>1</v>
      </c>
      <c r="C81" s="3">
        <v>14</v>
      </c>
      <c r="D81" s="3">
        <v>5</v>
      </c>
      <c r="E81" s="3">
        <f>((1/(INDEX(E0!J$4:J$28,C81,1)-INDEX(E0!J$4:J$28,D81,1))))*100000000</f>
        <v>0</v>
      </c>
      <c r="F81" s="4" t="str">
        <f>HYPERLINK("http://141.218.60.56/~jnz1568/getInfo.php?workbook=04_01.xlsx&amp;sheet=A0&amp;row=81&amp;col=6&amp;number=&amp;sourceID=18","")</f>
        <v/>
      </c>
      <c r="G81" s="4" t="str">
        <f>HYPERLINK("http://141.218.60.56/~jnz1568/getInfo.php?workbook=04_01.xlsx&amp;sheet=A0&amp;row=81&amp;col=7&amp;number==&amp;sourceID=11","=")</f>
        <v>=</v>
      </c>
      <c r="H81" s="4" t="str">
        <f>HYPERLINK("http://141.218.60.56/~jnz1568/getInfo.php?workbook=04_01.xlsx&amp;sheet=A0&amp;row=81&amp;col=8&amp;number=&amp;sourceID=11","")</f>
        <v/>
      </c>
      <c r="I81" s="4" t="str">
        <f>HYPERLINK("http://141.218.60.56/~jnz1568/getInfo.php?workbook=04_01.xlsx&amp;sheet=A0&amp;row=81&amp;col=9&amp;number=18460&amp;sourceID=11","18460")</f>
        <v>18460</v>
      </c>
      <c r="J81" s="4" t="str">
        <f>HYPERLINK("http://141.218.60.56/~jnz1568/getInfo.php?workbook=04_01.xlsx&amp;sheet=A0&amp;row=81&amp;col=10&amp;number=&amp;sourceID=11","")</f>
        <v/>
      </c>
      <c r="K81" s="4" t="str">
        <f>HYPERLINK("http://141.218.60.56/~jnz1568/getInfo.php?workbook=04_01.xlsx&amp;sheet=A0&amp;row=81&amp;col=11&amp;number=&amp;sourceID=11","")</f>
        <v/>
      </c>
      <c r="L81" s="4" t="str">
        <f>HYPERLINK("http://141.218.60.56/~jnz1568/getInfo.php?workbook=04_01.xlsx&amp;sheet=A0&amp;row=81&amp;col=12&amp;number=&amp;sourceID=11","")</f>
        <v/>
      </c>
      <c r="M81" s="4" t="str">
        <f>HYPERLINK("http://141.218.60.56/~jnz1568/getInfo.php?workbook=04_01.xlsx&amp;sheet=A0&amp;row=81&amp;col=13&amp;number=3.5933e-08&amp;sourceID=11","3.5933e-08")</f>
        <v>3.5933e-08</v>
      </c>
      <c r="N81" s="4" t="str">
        <f>HYPERLINK("http://141.218.60.56/~jnz1568/getInfo.php?workbook=04_01.xlsx&amp;sheet=A0&amp;row=81&amp;col=14&amp;number=18461&amp;sourceID=12","18461")</f>
        <v>18461</v>
      </c>
      <c r="O81" s="4" t="str">
        <f>HYPERLINK("http://141.218.60.56/~jnz1568/getInfo.php?workbook=04_01.xlsx&amp;sheet=A0&amp;row=81&amp;col=15&amp;number=&amp;sourceID=12","")</f>
        <v/>
      </c>
      <c r="P81" s="4" t="str">
        <f>HYPERLINK("http://141.218.60.56/~jnz1568/getInfo.php?workbook=04_01.xlsx&amp;sheet=A0&amp;row=81&amp;col=16&amp;number=18461&amp;sourceID=12","18461")</f>
        <v>18461</v>
      </c>
      <c r="Q81" s="4" t="str">
        <f>HYPERLINK("http://141.218.60.56/~jnz1568/getInfo.php?workbook=04_01.xlsx&amp;sheet=A0&amp;row=81&amp;col=17&amp;number=&amp;sourceID=12","")</f>
        <v/>
      </c>
      <c r="R81" s="4" t="str">
        <f>HYPERLINK("http://141.218.60.56/~jnz1568/getInfo.php?workbook=04_01.xlsx&amp;sheet=A0&amp;row=81&amp;col=18&amp;number=&amp;sourceID=12","")</f>
        <v/>
      </c>
      <c r="S81" s="4" t="str">
        <f>HYPERLINK("http://141.218.60.56/~jnz1568/getInfo.php?workbook=04_01.xlsx&amp;sheet=A0&amp;row=81&amp;col=19&amp;number=&amp;sourceID=12","")</f>
        <v/>
      </c>
      <c r="T81" s="4" t="str">
        <f>HYPERLINK("http://141.218.60.56/~jnz1568/getInfo.php?workbook=04_01.xlsx&amp;sheet=A0&amp;row=81&amp;col=20&amp;number=3.5935e-08&amp;sourceID=12","3.5935e-08")</f>
        <v>3.5935e-08</v>
      </c>
      <c r="U81" s="4" t="str">
        <f>HYPERLINK("http://141.218.60.56/~jnz1568/getInfo.php?workbook=04_01.xlsx&amp;sheet=A0&amp;row=81&amp;col=21&amp;number=&amp;sourceID=20","")</f>
        <v/>
      </c>
    </row>
    <row r="82" spans="1:21">
      <c r="A82" s="3">
        <v>4</v>
      </c>
      <c r="B82" s="3">
        <v>1</v>
      </c>
      <c r="C82" s="3">
        <v>14</v>
      </c>
      <c r="D82" s="3">
        <v>6</v>
      </c>
      <c r="E82" s="3">
        <f>((1/(INDEX(E0!J$4:J$28,C82,1)-INDEX(E0!J$4:J$28,D82,1))))*100000000</f>
        <v>0</v>
      </c>
      <c r="F82" s="4" t="str">
        <f>HYPERLINK("http://141.218.60.56/~jnz1568/getInfo.php?workbook=04_01.xlsx&amp;sheet=A0&amp;row=82&amp;col=6&amp;number=&amp;sourceID=18","")</f>
        <v/>
      </c>
      <c r="G82" s="4" t="str">
        <f>HYPERLINK("http://141.218.60.56/~jnz1568/getInfo.php?workbook=04_01.xlsx&amp;sheet=A0&amp;row=82&amp;col=7&amp;number==&amp;sourceID=11","=")</f>
        <v>=</v>
      </c>
      <c r="H82" s="4" t="str">
        <f>HYPERLINK("http://141.218.60.56/~jnz1568/getInfo.php?workbook=04_01.xlsx&amp;sheet=A0&amp;row=82&amp;col=8&amp;number=&amp;sourceID=11","")</f>
        <v/>
      </c>
      <c r="I82" s="4" t="str">
        <f>HYPERLINK("http://141.218.60.56/~jnz1568/getInfo.php?workbook=04_01.xlsx&amp;sheet=A0&amp;row=82&amp;col=9&amp;number=&amp;sourceID=11","")</f>
        <v/>
      </c>
      <c r="J82" s="4" t="str">
        <f>HYPERLINK("http://141.218.60.56/~jnz1568/getInfo.php?workbook=04_01.xlsx&amp;sheet=A0&amp;row=82&amp;col=10&amp;number=0.073459&amp;sourceID=11","0.073459")</f>
        <v>0.073459</v>
      </c>
      <c r="K82" s="4" t="str">
        <f>HYPERLINK("http://141.218.60.56/~jnz1568/getInfo.php?workbook=04_01.xlsx&amp;sheet=A0&amp;row=82&amp;col=11&amp;number=&amp;sourceID=11","")</f>
        <v/>
      </c>
      <c r="L82" s="4" t="str">
        <f>HYPERLINK("http://141.218.60.56/~jnz1568/getInfo.php?workbook=04_01.xlsx&amp;sheet=A0&amp;row=82&amp;col=12&amp;number=6.478e-12&amp;sourceID=11","6.478e-12")</f>
        <v>6.478e-12</v>
      </c>
      <c r="M82" s="4" t="str">
        <f>HYPERLINK("http://141.218.60.56/~jnz1568/getInfo.php?workbook=04_01.xlsx&amp;sheet=A0&amp;row=82&amp;col=13&amp;number=&amp;sourceID=11","")</f>
        <v/>
      </c>
      <c r="N82" s="4" t="str">
        <f>HYPERLINK("http://141.218.60.56/~jnz1568/getInfo.php?workbook=04_01.xlsx&amp;sheet=A0&amp;row=82&amp;col=14&amp;number=0.073464&amp;sourceID=12","0.073464")</f>
        <v>0.073464</v>
      </c>
      <c r="O82" s="4" t="str">
        <f>HYPERLINK("http://141.218.60.56/~jnz1568/getInfo.php?workbook=04_01.xlsx&amp;sheet=A0&amp;row=82&amp;col=15&amp;number=&amp;sourceID=12","")</f>
        <v/>
      </c>
      <c r="P82" s="4" t="str">
        <f>HYPERLINK("http://141.218.60.56/~jnz1568/getInfo.php?workbook=04_01.xlsx&amp;sheet=A0&amp;row=82&amp;col=16&amp;number=&amp;sourceID=12","")</f>
        <v/>
      </c>
      <c r="Q82" s="4" t="str">
        <f>HYPERLINK("http://141.218.60.56/~jnz1568/getInfo.php?workbook=04_01.xlsx&amp;sheet=A0&amp;row=82&amp;col=17&amp;number=0.073464&amp;sourceID=12","0.073464")</f>
        <v>0.073464</v>
      </c>
      <c r="R82" s="4" t="str">
        <f>HYPERLINK("http://141.218.60.56/~jnz1568/getInfo.php?workbook=04_01.xlsx&amp;sheet=A0&amp;row=82&amp;col=18&amp;number=&amp;sourceID=12","")</f>
        <v/>
      </c>
      <c r="S82" s="4" t="str">
        <f>HYPERLINK("http://141.218.60.56/~jnz1568/getInfo.php?workbook=04_01.xlsx&amp;sheet=A0&amp;row=82&amp;col=19&amp;number=6.478e-12&amp;sourceID=12","6.478e-12")</f>
        <v>6.478e-12</v>
      </c>
      <c r="T82" s="4" t="str">
        <f>HYPERLINK("http://141.218.60.56/~jnz1568/getInfo.php?workbook=04_01.xlsx&amp;sheet=A0&amp;row=82&amp;col=20&amp;number=&amp;sourceID=12","")</f>
        <v/>
      </c>
      <c r="U82" s="4" t="str">
        <f>HYPERLINK("http://141.218.60.56/~jnz1568/getInfo.php?workbook=04_01.xlsx&amp;sheet=A0&amp;row=82&amp;col=21&amp;number=&amp;sourceID=20","")</f>
        <v/>
      </c>
    </row>
    <row r="83" spans="1:21">
      <c r="A83" s="3">
        <v>4</v>
      </c>
      <c r="B83" s="3">
        <v>1</v>
      </c>
      <c r="C83" s="3">
        <v>14</v>
      </c>
      <c r="D83" s="3">
        <v>7</v>
      </c>
      <c r="E83" s="3">
        <f>((1/(INDEX(E0!J$4:J$28,C83,1)-INDEX(E0!J$4:J$28,D83,1))))*100000000</f>
        <v>0</v>
      </c>
      <c r="F83" s="4" t="str">
        <f>HYPERLINK("http://141.218.60.56/~jnz1568/getInfo.php?workbook=04_01.xlsx&amp;sheet=A0&amp;row=83&amp;col=6&amp;number=&amp;sourceID=18","")</f>
        <v/>
      </c>
      <c r="G83" s="4" t="str">
        <f>HYPERLINK("http://141.218.60.56/~jnz1568/getInfo.php?workbook=04_01.xlsx&amp;sheet=A0&amp;row=83&amp;col=7&amp;number==&amp;sourceID=11","=")</f>
        <v>=</v>
      </c>
      <c r="H83" s="4" t="str">
        <f>HYPERLINK("http://141.218.60.56/~jnz1568/getInfo.php?workbook=04_01.xlsx&amp;sheet=A0&amp;row=83&amp;col=8&amp;number=3296300000&amp;sourceID=11","3296300000")</f>
        <v>3296300000</v>
      </c>
      <c r="I83" s="4" t="str">
        <f>HYPERLINK("http://141.218.60.56/~jnz1568/getInfo.php?workbook=04_01.xlsx&amp;sheet=A0&amp;row=83&amp;col=9&amp;number=&amp;sourceID=11","")</f>
        <v/>
      </c>
      <c r="J83" s="4" t="str">
        <f>HYPERLINK("http://141.218.60.56/~jnz1568/getInfo.php?workbook=04_01.xlsx&amp;sheet=A0&amp;row=83&amp;col=10&amp;number=0.021201&amp;sourceID=11","0.021201")</f>
        <v>0.021201</v>
      </c>
      <c r="K83" s="4" t="str">
        <f>HYPERLINK("http://141.218.60.56/~jnz1568/getInfo.php?workbook=04_01.xlsx&amp;sheet=A0&amp;row=83&amp;col=11&amp;number=&amp;sourceID=11","")</f>
        <v/>
      </c>
      <c r="L83" s="4" t="str">
        <f>HYPERLINK("http://141.218.60.56/~jnz1568/getInfo.php?workbook=04_01.xlsx&amp;sheet=A0&amp;row=83&amp;col=12&amp;number=0.063121&amp;sourceID=11","0.063121")</f>
        <v>0.063121</v>
      </c>
      <c r="M83" s="4" t="str">
        <f>HYPERLINK("http://141.218.60.56/~jnz1568/getInfo.php?workbook=04_01.xlsx&amp;sheet=A0&amp;row=83&amp;col=13&amp;number=&amp;sourceID=11","")</f>
        <v/>
      </c>
      <c r="N83" s="4" t="str">
        <f>HYPERLINK("http://141.218.60.56/~jnz1568/getInfo.php?workbook=04_01.xlsx&amp;sheet=A0&amp;row=83&amp;col=14&amp;number=3296500000&amp;sourceID=12","3296500000")</f>
        <v>3296500000</v>
      </c>
      <c r="O83" s="4" t="str">
        <f>HYPERLINK("http://141.218.60.56/~jnz1568/getInfo.php?workbook=04_01.xlsx&amp;sheet=A0&amp;row=83&amp;col=15&amp;number=3296500000&amp;sourceID=12","3296500000")</f>
        <v>3296500000</v>
      </c>
      <c r="P83" s="4" t="str">
        <f>HYPERLINK("http://141.218.60.56/~jnz1568/getInfo.php?workbook=04_01.xlsx&amp;sheet=A0&amp;row=83&amp;col=16&amp;number=&amp;sourceID=12","")</f>
        <v/>
      </c>
      <c r="Q83" s="4" t="str">
        <f>HYPERLINK("http://141.218.60.56/~jnz1568/getInfo.php?workbook=04_01.xlsx&amp;sheet=A0&amp;row=83&amp;col=17&amp;number=0.021202&amp;sourceID=12","0.021202")</f>
        <v>0.021202</v>
      </c>
      <c r="R83" s="4" t="str">
        <f>HYPERLINK("http://141.218.60.56/~jnz1568/getInfo.php?workbook=04_01.xlsx&amp;sheet=A0&amp;row=83&amp;col=18&amp;number=&amp;sourceID=12","")</f>
        <v/>
      </c>
      <c r="S83" s="4" t="str">
        <f>HYPERLINK("http://141.218.60.56/~jnz1568/getInfo.php?workbook=04_01.xlsx&amp;sheet=A0&amp;row=83&amp;col=19&amp;number=0.063125&amp;sourceID=12","0.063125")</f>
        <v>0.063125</v>
      </c>
      <c r="T83" s="4" t="str">
        <f>HYPERLINK("http://141.218.60.56/~jnz1568/getInfo.php?workbook=04_01.xlsx&amp;sheet=A0&amp;row=83&amp;col=20&amp;number=&amp;sourceID=12","")</f>
        <v/>
      </c>
      <c r="U83" s="4" t="str">
        <f>HYPERLINK("http://141.218.60.56/~jnz1568/getInfo.php?workbook=04_01.xlsx&amp;sheet=A0&amp;row=83&amp;col=21&amp;number=&amp;sourceID=20","")</f>
        <v/>
      </c>
    </row>
    <row r="84" spans="1:21">
      <c r="A84" s="3">
        <v>4</v>
      </c>
      <c r="B84" s="3">
        <v>1</v>
      </c>
      <c r="C84" s="3">
        <v>14</v>
      </c>
      <c r="D84" s="3">
        <v>8</v>
      </c>
      <c r="E84" s="3">
        <f>((1/(INDEX(E0!J$4:J$28,C84,1)-INDEX(E0!J$4:J$28,D84,1))))*100000000</f>
        <v>0</v>
      </c>
      <c r="F84" s="4" t="str">
        <f>HYPERLINK("http://141.218.60.56/~jnz1568/getInfo.php?workbook=04_01.xlsx&amp;sheet=A0&amp;row=84&amp;col=6&amp;number=&amp;sourceID=18","")</f>
        <v/>
      </c>
      <c r="G84" s="4" t="str">
        <f>HYPERLINK("http://141.218.60.56/~jnz1568/getInfo.php?workbook=04_01.xlsx&amp;sheet=A0&amp;row=84&amp;col=7&amp;number==&amp;sourceID=11","=")</f>
        <v>=</v>
      </c>
      <c r="H84" s="4" t="str">
        <f>HYPERLINK("http://141.218.60.56/~jnz1568/getInfo.php?workbook=04_01.xlsx&amp;sheet=A0&amp;row=84&amp;col=8&amp;number=&amp;sourceID=11","")</f>
        <v/>
      </c>
      <c r="I84" s="4" t="str">
        <f>HYPERLINK("http://141.218.60.56/~jnz1568/getInfo.php?workbook=04_01.xlsx&amp;sheet=A0&amp;row=84&amp;col=9&amp;number=5268.6&amp;sourceID=11","5268.6")</f>
        <v>5268.6</v>
      </c>
      <c r="J84" s="4" t="str">
        <f>HYPERLINK("http://141.218.60.56/~jnz1568/getInfo.php?workbook=04_01.xlsx&amp;sheet=A0&amp;row=84&amp;col=10&amp;number=&amp;sourceID=11","")</f>
        <v/>
      </c>
      <c r="K84" s="4" t="str">
        <f>HYPERLINK("http://141.218.60.56/~jnz1568/getInfo.php?workbook=04_01.xlsx&amp;sheet=A0&amp;row=84&amp;col=11&amp;number=1.5202e-06&amp;sourceID=11","1.5202e-06")</f>
        <v>1.5202e-06</v>
      </c>
      <c r="L84" s="4" t="str">
        <f>HYPERLINK("http://141.218.60.56/~jnz1568/getInfo.php?workbook=04_01.xlsx&amp;sheet=A0&amp;row=84&amp;col=12&amp;number=&amp;sourceID=11","")</f>
        <v/>
      </c>
      <c r="M84" s="4" t="str">
        <f>HYPERLINK("http://141.218.60.56/~jnz1568/getInfo.php?workbook=04_01.xlsx&amp;sheet=A0&amp;row=84&amp;col=13&amp;number=7.1748e-09&amp;sourceID=11","7.1748e-09")</f>
        <v>7.1748e-09</v>
      </c>
      <c r="N84" s="4" t="str">
        <f>HYPERLINK("http://141.218.60.56/~jnz1568/getInfo.php?workbook=04_01.xlsx&amp;sheet=A0&amp;row=84&amp;col=14&amp;number=5269&amp;sourceID=12","5269")</f>
        <v>5269</v>
      </c>
      <c r="O84" s="4" t="str">
        <f>HYPERLINK("http://141.218.60.56/~jnz1568/getInfo.php?workbook=04_01.xlsx&amp;sheet=A0&amp;row=84&amp;col=15&amp;number=&amp;sourceID=12","")</f>
        <v/>
      </c>
      <c r="P84" s="4" t="str">
        <f>HYPERLINK("http://141.218.60.56/~jnz1568/getInfo.php?workbook=04_01.xlsx&amp;sheet=A0&amp;row=84&amp;col=16&amp;number=5269&amp;sourceID=12","5269")</f>
        <v>5269</v>
      </c>
      <c r="Q84" s="4" t="str">
        <f>HYPERLINK("http://141.218.60.56/~jnz1568/getInfo.php?workbook=04_01.xlsx&amp;sheet=A0&amp;row=84&amp;col=17&amp;number=&amp;sourceID=12","")</f>
        <v/>
      </c>
      <c r="R84" s="4" t="str">
        <f>HYPERLINK("http://141.218.60.56/~jnz1568/getInfo.php?workbook=04_01.xlsx&amp;sheet=A0&amp;row=84&amp;col=18&amp;number=1.5203e-06&amp;sourceID=12","1.5203e-06")</f>
        <v>1.5203e-06</v>
      </c>
      <c r="S84" s="4" t="str">
        <f>HYPERLINK("http://141.218.60.56/~jnz1568/getInfo.php?workbook=04_01.xlsx&amp;sheet=A0&amp;row=84&amp;col=19&amp;number=&amp;sourceID=12","")</f>
        <v/>
      </c>
      <c r="T84" s="4" t="str">
        <f>HYPERLINK("http://141.218.60.56/~jnz1568/getInfo.php?workbook=04_01.xlsx&amp;sheet=A0&amp;row=84&amp;col=20&amp;number=7.1753e-09&amp;sourceID=12","7.1753e-09")</f>
        <v>7.1753e-09</v>
      </c>
      <c r="U84" s="4" t="str">
        <f>HYPERLINK("http://141.218.60.56/~jnz1568/getInfo.php?workbook=04_01.xlsx&amp;sheet=A0&amp;row=84&amp;col=21&amp;number=&amp;sourceID=20","")</f>
        <v/>
      </c>
    </row>
    <row r="85" spans="1:21">
      <c r="A85" s="3">
        <v>4</v>
      </c>
      <c r="B85" s="3">
        <v>1</v>
      </c>
      <c r="C85" s="3">
        <v>14</v>
      </c>
      <c r="D85" s="3">
        <v>9</v>
      </c>
      <c r="E85" s="3">
        <f>((1/(INDEX(E0!J$4:J$28,C85,1)-INDEX(E0!J$4:J$28,D85,1))))*100000000</f>
        <v>0</v>
      </c>
      <c r="F85" s="4" t="str">
        <f>HYPERLINK("http://141.218.60.56/~jnz1568/getInfo.php?workbook=04_01.xlsx&amp;sheet=A0&amp;row=85&amp;col=6&amp;number=&amp;sourceID=18","")</f>
        <v/>
      </c>
      <c r="G85" s="4" t="str">
        <f>HYPERLINK("http://141.218.60.56/~jnz1568/getInfo.php?workbook=04_01.xlsx&amp;sheet=A0&amp;row=85&amp;col=7&amp;number==&amp;sourceID=11","=")</f>
        <v>=</v>
      </c>
      <c r="H85" s="4" t="str">
        <f>HYPERLINK("http://141.218.60.56/~jnz1568/getInfo.php?workbook=04_01.xlsx&amp;sheet=A0&amp;row=85&amp;col=8&amp;number=235420000&amp;sourceID=11","235420000")</f>
        <v>235420000</v>
      </c>
      <c r="I85" s="4" t="str">
        <f>HYPERLINK("http://141.218.60.56/~jnz1568/getInfo.php?workbook=04_01.xlsx&amp;sheet=A0&amp;row=85&amp;col=9&amp;number=&amp;sourceID=11","")</f>
        <v/>
      </c>
      <c r="J85" s="4" t="str">
        <f>HYPERLINK("http://141.218.60.56/~jnz1568/getInfo.php?workbook=04_01.xlsx&amp;sheet=A0&amp;row=85&amp;col=10&amp;number=0.014127&amp;sourceID=11","0.014127")</f>
        <v>0.014127</v>
      </c>
      <c r="K85" s="4" t="str">
        <f>HYPERLINK("http://141.218.60.56/~jnz1568/getInfo.php?workbook=04_01.xlsx&amp;sheet=A0&amp;row=85&amp;col=11&amp;number=&amp;sourceID=11","")</f>
        <v/>
      </c>
      <c r="L85" s="4" t="str">
        <f>HYPERLINK("http://141.218.60.56/~jnz1568/getInfo.php?workbook=04_01.xlsx&amp;sheet=A0&amp;row=85&amp;col=12&amp;number=&amp;sourceID=11","")</f>
        <v/>
      </c>
      <c r="M85" s="4" t="str">
        <f>HYPERLINK("http://141.218.60.56/~jnz1568/getInfo.php?workbook=04_01.xlsx&amp;sheet=A0&amp;row=85&amp;col=13&amp;number=&amp;sourceID=11","")</f>
        <v/>
      </c>
      <c r="N85" s="4" t="str">
        <f>HYPERLINK("http://141.218.60.56/~jnz1568/getInfo.php?workbook=04_01.xlsx&amp;sheet=A0&amp;row=85&amp;col=14&amp;number=235430000&amp;sourceID=12","235430000")</f>
        <v>235430000</v>
      </c>
      <c r="O85" s="4" t="str">
        <f>HYPERLINK("http://141.218.60.56/~jnz1568/getInfo.php?workbook=04_01.xlsx&amp;sheet=A0&amp;row=85&amp;col=15&amp;number=235430000&amp;sourceID=12","235430000")</f>
        <v>235430000</v>
      </c>
      <c r="P85" s="4" t="str">
        <f>HYPERLINK("http://141.218.60.56/~jnz1568/getInfo.php?workbook=04_01.xlsx&amp;sheet=A0&amp;row=85&amp;col=16&amp;number=&amp;sourceID=12","")</f>
        <v/>
      </c>
      <c r="Q85" s="4" t="str">
        <f>HYPERLINK("http://141.218.60.56/~jnz1568/getInfo.php?workbook=04_01.xlsx&amp;sheet=A0&amp;row=85&amp;col=17&amp;number=0.014128&amp;sourceID=12","0.014128")</f>
        <v>0.014128</v>
      </c>
      <c r="R85" s="4" t="str">
        <f>HYPERLINK("http://141.218.60.56/~jnz1568/getInfo.php?workbook=04_01.xlsx&amp;sheet=A0&amp;row=85&amp;col=18&amp;number=&amp;sourceID=12","")</f>
        <v/>
      </c>
      <c r="S85" s="4" t="str">
        <f>HYPERLINK("http://141.218.60.56/~jnz1568/getInfo.php?workbook=04_01.xlsx&amp;sheet=A0&amp;row=85&amp;col=19&amp;number=&amp;sourceID=12","")</f>
        <v/>
      </c>
      <c r="T85" s="4" t="str">
        <f>HYPERLINK("http://141.218.60.56/~jnz1568/getInfo.php?workbook=04_01.xlsx&amp;sheet=A0&amp;row=85&amp;col=20&amp;number=&amp;sourceID=12","")</f>
        <v/>
      </c>
      <c r="U85" s="4" t="str">
        <f>HYPERLINK("http://141.218.60.56/~jnz1568/getInfo.php?workbook=04_01.xlsx&amp;sheet=A0&amp;row=85&amp;col=21&amp;number=&amp;sourceID=20","")</f>
        <v/>
      </c>
    </row>
    <row r="86" spans="1:21">
      <c r="A86" s="3">
        <v>4</v>
      </c>
      <c r="B86" s="3">
        <v>1</v>
      </c>
      <c r="C86" s="3">
        <v>14</v>
      </c>
      <c r="D86" s="3">
        <v>10</v>
      </c>
      <c r="E86" s="3">
        <f>((1/(INDEX(E0!J$4:J$28,C86,1)-INDEX(E0!J$4:J$28,D86,1))))*100000000</f>
        <v>0</v>
      </c>
      <c r="F86" s="4" t="str">
        <f>HYPERLINK("http://141.218.60.56/~jnz1568/getInfo.php?workbook=04_01.xlsx&amp;sheet=A0&amp;row=86&amp;col=6&amp;number=&amp;sourceID=18","")</f>
        <v/>
      </c>
      <c r="G86" s="4" t="str">
        <f>HYPERLINK("http://141.218.60.56/~jnz1568/getInfo.php?workbook=04_01.xlsx&amp;sheet=A0&amp;row=86&amp;col=7&amp;number==&amp;sourceID=11","=")</f>
        <v>=</v>
      </c>
      <c r="H86" s="4" t="str">
        <f>HYPERLINK("http://141.218.60.56/~jnz1568/getInfo.php?workbook=04_01.xlsx&amp;sheet=A0&amp;row=86&amp;col=8&amp;number=&amp;sourceID=11","")</f>
        <v/>
      </c>
      <c r="I86" s="4" t="str">
        <f>HYPERLINK("http://141.218.60.56/~jnz1568/getInfo.php?workbook=04_01.xlsx&amp;sheet=A0&amp;row=86&amp;col=9&amp;number=1.1e-14&amp;sourceID=11","1.1e-14")</f>
        <v>1.1e-14</v>
      </c>
      <c r="J86" s="4" t="str">
        <f>HYPERLINK("http://141.218.60.56/~jnz1568/getInfo.php?workbook=04_01.xlsx&amp;sheet=A0&amp;row=86&amp;col=10&amp;number=&amp;sourceID=11","")</f>
        <v/>
      </c>
      <c r="K86" s="4" t="str">
        <f>HYPERLINK("http://141.218.60.56/~jnz1568/getInfo.php?workbook=04_01.xlsx&amp;sheet=A0&amp;row=86&amp;col=11&amp;number=&amp;sourceID=11","")</f>
        <v/>
      </c>
      <c r="L86" s="4" t="str">
        <f>HYPERLINK("http://141.218.60.56/~jnz1568/getInfo.php?workbook=04_01.xlsx&amp;sheet=A0&amp;row=86&amp;col=12&amp;number=&amp;sourceID=11","")</f>
        <v/>
      </c>
      <c r="M86" s="4" t="str">
        <f>HYPERLINK("http://141.218.60.56/~jnz1568/getInfo.php?workbook=04_01.xlsx&amp;sheet=A0&amp;row=86&amp;col=13&amp;number=0&amp;sourceID=11","0")</f>
        <v>0</v>
      </c>
      <c r="N86" s="4" t="str">
        <f>HYPERLINK("http://141.218.60.56/~jnz1568/getInfo.php?workbook=04_01.xlsx&amp;sheet=A0&amp;row=86&amp;col=14&amp;number=1.1e-14&amp;sourceID=12","1.1e-14")</f>
        <v>1.1e-14</v>
      </c>
      <c r="O86" s="4" t="str">
        <f>HYPERLINK("http://141.218.60.56/~jnz1568/getInfo.php?workbook=04_01.xlsx&amp;sheet=A0&amp;row=86&amp;col=15&amp;number=&amp;sourceID=12","")</f>
        <v/>
      </c>
      <c r="P86" s="4" t="str">
        <f>HYPERLINK("http://141.218.60.56/~jnz1568/getInfo.php?workbook=04_01.xlsx&amp;sheet=A0&amp;row=86&amp;col=16&amp;number=1.1e-14&amp;sourceID=12","1.1e-14")</f>
        <v>1.1e-14</v>
      </c>
      <c r="Q86" s="4" t="str">
        <f>HYPERLINK("http://141.218.60.56/~jnz1568/getInfo.php?workbook=04_01.xlsx&amp;sheet=A0&amp;row=86&amp;col=17&amp;number=&amp;sourceID=12","")</f>
        <v/>
      </c>
      <c r="R86" s="4" t="str">
        <f>HYPERLINK("http://141.218.60.56/~jnz1568/getInfo.php?workbook=04_01.xlsx&amp;sheet=A0&amp;row=86&amp;col=18&amp;number=&amp;sourceID=12","")</f>
        <v/>
      </c>
      <c r="S86" s="4" t="str">
        <f>HYPERLINK("http://141.218.60.56/~jnz1568/getInfo.php?workbook=04_01.xlsx&amp;sheet=A0&amp;row=86&amp;col=19&amp;number=&amp;sourceID=12","")</f>
        <v/>
      </c>
      <c r="T86" s="4" t="str">
        <f>HYPERLINK("http://141.218.60.56/~jnz1568/getInfo.php?workbook=04_01.xlsx&amp;sheet=A0&amp;row=86&amp;col=20&amp;number=0&amp;sourceID=12","0")</f>
        <v>0</v>
      </c>
      <c r="U86" s="4" t="str">
        <f>HYPERLINK("http://141.218.60.56/~jnz1568/getInfo.php?workbook=04_01.xlsx&amp;sheet=A0&amp;row=86&amp;col=21&amp;number=&amp;sourceID=20","")</f>
        <v/>
      </c>
    </row>
    <row r="87" spans="1:21">
      <c r="A87" s="3">
        <v>4</v>
      </c>
      <c r="B87" s="3">
        <v>1</v>
      </c>
      <c r="C87" s="3">
        <v>14</v>
      </c>
      <c r="D87" s="3">
        <v>11</v>
      </c>
      <c r="E87" s="3">
        <f>((1/(INDEX(E0!J$4:J$28,C87,1)-INDEX(E0!J$4:J$28,D87,1))))*100000000</f>
        <v>0</v>
      </c>
      <c r="F87" s="4" t="str">
        <f>HYPERLINK("http://141.218.60.56/~jnz1568/getInfo.php?workbook=04_01.xlsx&amp;sheet=A0&amp;row=87&amp;col=6&amp;number=&amp;sourceID=18","")</f>
        <v/>
      </c>
      <c r="G87" s="4" t="str">
        <f>HYPERLINK("http://141.218.60.56/~jnz1568/getInfo.php?workbook=04_01.xlsx&amp;sheet=A0&amp;row=87&amp;col=7&amp;number==&amp;sourceID=11","=")</f>
        <v>=</v>
      </c>
      <c r="H87" s="4" t="str">
        <f>HYPERLINK("http://141.218.60.56/~jnz1568/getInfo.php?workbook=04_01.xlsx&amp;sheet=A0&amp;row=87&amp;col=8&amp;number=&amp;sourceID=11","")</f>
        <v/>
      </c>
      <c r="I87" s="4" t="str">
        <f>HYPERLINK("http://141.218.60.56/~jnz1568/getInfo.php?workbook=04_01.xlsx&amp;sheet=A0&amp;row=87&amp;col=9&amp;number=&amp;sourceID=11","")</f>
        <v/>
      </c>
      <c r="J87" s="4" t="str">
        <f>HYPERLINK("http://141.218.60.56/~jnz1568/getInfo.php?workbook=04_01.xlsx&amp;sheet=A0&amp;row=87&amp;col=10&amp;number=0&amp;sourceID=11","0")</f>
        <v>0</v>
      </c>
      <c r="K87" s="4" t="str">
        <f>HYPERLINK("http://141.218.60.56/~jnz1568/getInfo.php?workbook=04_01.xlsx&amp;sheet=A0&amp;row=87&amp;col=11&amp;number=&amp;sourceID=11","")</f>
        <v/>
      </c>
      <c r="L87" s="4" t="str">
        <f>HYPERLINK("http://141.218.60.56/~jnz1568/getInfo.php?workbook=04_01.xlsx&amp;sheet=A0&amp;row=87&amp;col=12&amp;number=0&amp;sourceID=11","0")</f>
        <v>0</v>
      </c>
      <c r="M87" s="4" t="str">
        <f>HYPERLINK("http://141.218.60.56/~jnz1568/getInfo.php?workbook=04_01.xlsx&amp;sheet=A0&amp;row=87&amp;col=13&amp;number=&amp;sourceID=11","")</f>
        <v/>
      </c>
      <c r="N87" s="4" t="str">
        <f>HYPERLINK("http://141.218.60.56/~jnz1568/getInfo.php?workbook=04_01.xlsx&amp;sheet=A0&amp;row=87&amp;col=14&amp;number=0&amp;sourceID=12","0")</f>
        <v>0</v>
      </c>
      <c r="O87" s="4" t="str">
        <f>HYPERLINK("http://141.218.60.56/~jnz1568/getInfo.php?workbook=04_01.xlsx&amp;sheet=A0&amp;row=87&amp;col=15&amp;number=&amp;sourceID=12","")</f>
        <v/>
      </c>
      <c r="P87" s="4" t="str">
        <f>HYPERLINK("http://141.218.60.56/~jnz1568/getInfo.php?workbook=04_01.xlsx&amp;sheet=A0&amp;row=87&amp;col=16&amp;number=&amp;sourceID=12","")</f>
        <v/>
      </c>
      <c r="Q87" s="4" t="str">
        <f>HYPERLINK("http://141.218.60.56/~jnz1568/getInfo.php?workbook=04_01.xlsx&amp;sheet=A0&amp;row=87&amp;col=17&amp;number=0&amp;sourceID=12","0")</f>
        <v>0</v>
      </c>
      <c r="R87" s="4" t="str">
        <f>HYPERLINK("http://141.218.60.56/~jnz1568/getInfo.php?workbook=04_01.xlsx&amp;sheet=A0&amp;row=87&amp;col=18&amp;number=&amp;sourceID=12","")</f>
        <v/>
      </c>
      <c r="S87" s="4" t="str">
        <f>HYPERLINK("http://141.218.60.56/~jnz1568/getInfo.php?workbook=04_01.xlsx&amp;sheet=A0&amp;row=87&amp;col=19&amp;number=0&amp;sourceID=12","0")</f>
        <v>0</v>
      </c>
      <c r="T87" s="4" t="str">
        <f>HYPERLINK("http://141.218.60.56/~jnz1568/getInfo.php?workbook=04_01.xlsx&amp;sheet=A0&amp;row=87&amp;col=20&amp;number=&amp;sourceID=12","")</f>
        <v/>
      </c>
      <c r="U87" s="4" t="str">
        <f>HYPERLINK("http://141.218.60.56/~jnz1568/getInfo.php?workbook=04_01.xlsx&amp;sheet=A0&amp;row=87&amp;col=21&amp;number=&amp;sourceID=20","")</f>
        <v/>
      </c>
    </row>
    <row r="88" spans="1:21">
      <c r="A88" s="3">
        <v>4</v>
      </c>
      <c r="B88" s="3">
        <v>1</v>
      </c>
      <c r="C88" s="3">
        <v>14</v>
      </c>
      <c r="D88" s="3">
        <v>12</v>
      </c>
      <c r="E88" s="3">
        <f>((1/(INDEX(E0!J$4:J$28,C88,1)-INDEX(E0!J$4:J$28,D88,1))))*100000000</f>
        <v>0</v>
      </c>
      <c r="F88" s="4" t="str">
        <f>HYPERLINK("http://141.218.60.56/~jnz1568/getInfo.php?workbook=04_01.xlsx&amp;sheet=A0&amp;row=88&amp;col=6&amp;number=&amp;sourceID=18","")</f>
        <v/>
      </c>
      <c r="G88" s="4" t="str">
        <f>HYPERLINK("http://141.218.60.56/~jnz1568/getInfo.php?workbook=04_01.xlsx&amp;sheet=A0&amp;row=88&amp;col=7&amp;number==&amp;sourceID=11","=")</f>
        <v>=</v>
      </c>
      <c r="H88" s="4" t="str">
        <f>HYPERLINK("http://141.218.60.56/~jnz1568/getInfo.php?workbook=04_01.xlsx&amp;sheet=A0&amp;row=88&amp;col=8&amp;number=0.00075501&amp;sourceID=11","0.00075501")</f>
        <v>0.00075501</v>
      </c>
      <c r="I88" s="4" t="str">
        <f>HYPERLINK("http://141.218.60.56/~jnz1568/getInfo.php?workbook=04_01.xlsx&amp;sheet=A0&amp;row=88&amp;col=9&amp;number=&amp;sourceID=11","")</f>
        <v/>
      </c>
      <c r="J88" s="4" t="str">
        <f>HYPERLINK("http://141.218.60.56/~jnz1568/getInfo.php?workbook=04_01.xlsx&amp;sheet=A0&amp;row=88&amp;col=10&amp;number=0&amp;sourceID=11","0")</f>
        <v>0</v>
      </c>
      <c r="K88" s="4" t="str">
        <f>HYPERLINK("http://141.218.60.56/~jnz1568/getInfo.php?workbook=04_01.xlsx&amp;sheet=A0&amp;row=88&amp;col=11&amp;number=&amp;sourceID=11","")</f>
        <v/>
      </c>
      <c r="L88" s="4" t="str">
        <f>HYPERLINK("http://141.218.60.56/~jnz1568/getInfo.php?workbook=04_01.xlsx&amp;sheet=A0&amp;row=88&amp;col=12&amp;number=0&amp;sourceID=11","0")</f>
        <v>0</v>
      </c>
      <c r="M88" s="4" t="str">
        <f>HYPERLINK("http://141.218.60.56/~jnz1568/getInfo.php?workbook=04_01.xlsx&amp;sheet=A0&amp;row=88&amp;col=13&amp;number=&amp;sourceID=11","")</f>
        <v/>
      </c>
      <c r="N88" s="4" t="str">
        <f>HYPERLINK("http://141.218.60.56/~jnz1568/getInfo.php?workbook=04_01.xlsx&amp;sheet=A0&amp;row=88&amp;col=14&amp;number=0.00075516&amp;sourceID=12","0.00075516")</f>
        <v>0.00075516</v>
      </c>
      <c r="O88" s="4" t="str">
        <f>HYPERLINK("http://141.218.60.56/~jnz1568/getInfo.php?workbook=04_01.xlsx&amp;sheet=A0&amp;row=88&amp;col=15&amp;number=0.00075516&amp;sourceID=12","0.00075516")</f>
        <v>0.00075516</v>
      </c>
      <c r="P88" s="4" t="str">
        <f>HYPERLINK("http://141.218.60.56/~jnz1568/getInfo.php?workbook=04_01.xlsx&amp;sheet=A0&amp;row=88&amp;col=16&amp;number=&amp;sourceID=12","")</f>
        <v/>
      </c>
      <c r="Q88" s="4" t="str">
        <f>HYPERLINK("http://141.218.60.56/~jnz1568/getInfo.php?workbook=04_01.xlsx&amp;sheet=A0&amp;row=88&amp;col=17&amp;number=0&amp;sourceID=12","0")</f>
        <v>0</v>
      </c>
      <c r="R88" s="4" t="str">
        <f>HYPERLINK("http://141.218.60.56/~jnz1568/getInfo.php?workbook=04_01.xlsx&amp;sheet=A0&amp;row=88&amp;col=18&amp;number=&amp;sourceID=12","")</f>
        <v/>
      </c>
      <c r="S88" s="4" t="str">
        <f>HYPERLINK("http://141.218.60.56/~jnz1568/getInfo.php?workbook=04_01.xlsx&amp;sheet=A0&amp;row=88&amp;col=19&amp;number=0&amp;sourceID=12","0")</f>
        <v>0</v>
      </c>
      <c r="T88" s="4" t="str">
        <f>HYPERLINK("http://141.218.60.56/~jnz1568/getInfo.php?workbook=04_01.xlsx&amp;sheet=A0&amp;row=88&amp;col=20&amp;number=&amp;sourceID=12","")</f>
        <v/>
      </c>
      <c r="U88" s="4" t="str">
        <f>HYPERLINK("http://141.218.60.56/~jnz1568/getInfo.php?workbook=04_01.xlsx&amp;sheet=A0&amp;row=88&amp;col=21&amp;number=&amp;sourceID=20","")</f>
        <v/>
      </c>
    </row>
    <row r="89" spans="1:21">
      <c r="A89" s="3">
        <v>4</v>
      </c>
      <c r="B89" s="3">
        <v>1</v>
      </c>
      <c r="C89" s="3">
        <v>14</v>
      </c>
      <c r="D89" s="3">
        <v>13</v>
      </c>
      <c r="E89" s="3">
        <f>((1/(INDEX(E0!J$4:J$28,C89,1)-INDEX(E0!J$4:J$28,D89,1))))*100000000</f>
        <v>0</v>
      </c>
      <c r="F89" s="4" t="str">
        <f>HYPERLINK("http://141.218.60.56/~jnz1568/getInfo.php?workbook=04_01.xlsx&amp;sheet=A0&amp;row=89&amp;col=6&amp;number=&amp;sourceID=18","")</f>
        <v/>
      </c>
      <c r="G89" s="4" t="str">
        <f>HYPERLINK("http://141.218.60.56/~jnz1568/getInfo.php?workbook=04_01.xlsx&amp;sheet=A0&amp;row=89&amp;col=7&amp;number==&amp;sourceID=11","=")</f>
        <v>=</v>
      </c>
      <c r="H89" s="4" t="str">
        <f>HYPERLINK("http://141.218.60.56/~jnz1568/getInfo.php?workbook=04_01.xlsx&amp;sheet=A0&amp;row=89&amp;col=8&amp;number=&amp;sourceID=11","")</f>
        <v/>
      </c>
      <c r="I89" s="4" t="str">
        <f>HYPERLINK("http://141.218.60.56/~jnz1568/getInfo.php?workbook=04_01.xlsx&amp;sheet=A0&amp;row=89&amp;col=9&amp;number=0&amp;sourceID=11","0")</f>
        <v>0</v>
      </c>
      <c r="J89" s="4" t="str">
        <f>HYPERLINK("http://141.218.60.56/~jnz1568/getInfo.php?workbook=04_01.xlsx&amp;sheet=A0&amp;row=89&amp;col=10&amp;number=&amp;sourceID=11","")</f>
        <v/>
      </c>
      <c r="K89" s="4" t="str">
        <f>HYPERLINK("http://141.218.60.56/~jnz1568/getInfo.php?workbook=04_01.xlsx&amp;sheet=A0&amp;row=89&amp;col=11&amp;number=0&amp;sourceID=11","0")</f>
        <v>0</v>
      </c>
      <c r="L89" s="4" t="str">
        <f>HYPERLINK("http://141.218.60.56/~jnz1568/getInfo.php?workbook=04_01.xlsx&amp;sheet=A0&amp;row=89&amp;col=12&amp;number=&amp;sourceID=11","")</f>
        <v/>
      </c>
      <c r="M89" s="4" t="str">
        <f>HYPERLINK("http://141.218.60.56/~jnz1568/getInfo.php?workbook=04_01.xlsx&amp;sheet=A0&amp;row=89&amp;col=13&amp;number=0&amp;sourceID=11","0")</f>
        <v>0</v>
      </c>
      <c r="N89" s="4" t="str">
        <f>HYPERLINK("http://141.218.60.56/~jnz1568/getInfo.php?workbook=04_01.xlsx&amp;sheet=A0&amp;row=89&amp;col=14&amp;number=0&amp;sourceID=12","0")</f>
        <v>0</v>
      </c>
      <c r="O89" s="4" t="str">
        <f>HYPERLINK("http://141.218.60.56/~jnz1568/getInfo.php?workbook=04_01.xlsx&amp;sheet=A0&amp;row=89&amp;col=15&amp;number=&amp;sourceID=12","")</f>
        <v/>
      </c>
      <c r="P89" s="4" t="str">
        <f>HYPERLINK("http://141.218.60.56/~jnz1568/getInfo.php?workbook=04_01.xlsx&amp;sheet=A0&amp;row=89&amp;col=16&amp;number=0&amp;sourceID=12","0")</f>
        <v>0</v>
      </c>
      <c r="Q89" s="4" t="str">
        <f>HYPERLINK("http://141.218.60.56/~jnz1568/getInfo.php?workbook=04_01.xlsx&amp;sheet=A0&amp;row=89&amp;col=17&amp;number=&amp;sourceID=12","")</f>
        <v/>
      </c>
      <c r="R89" s="4" t="str">
        <f>HYPERLINK("http://141.218.60.56/~jnz1568/getInfo.php?workbook=04_01.xlsx&amp;sheet=A0&amp;row=89&amp;col=18&amp;number=0&amp;sourceID=12","0")</f>
        <v>0</v>
      </c>
      <c r="S89" s="4" t="str">
        <f>HYPERLINK("http://141.218.60.56/~jnz1568/getInfo.php?workbook=04_01.xlsx&amp;sheet=A0&amp;row=89&amp;col=19&amp;number=&amp;sourceID=12","")</f>
        <v/>
      </c>
      <c r="T89" s="4" t="str">
        <f>HYPERLINK("http://141.218.60.56/~jnz1568/getInfo.php?workbook=04_01.xlsx&amp;sheet=A0&amp;row=89&amp;col=20&amp;number=0&amp;sourceID=12","0")</f>
        <v>0</v>
      </c>
      <c r="U89" s="4" t="str">
        <f>HYPERLINK("http://141.218.60.56/~jnz1568/getInfo.php?workbook=04_01.xlsx&amp;sheet=A0&amp;row=89&amp;col=21&amp;number=&amp;sourceID=20","")</f>
        <v/>
      </c>
    </row>
    <row r="90" spans="1:21">
      <c r="A90" s="3">
        <v>4</v>
      </c>
      <c r="B90" s="3">
        <v>1</v>
      </c>
      <c r="C90" s="3">
        <v>15</v>
      </c>
      <c r="D90" s="3">
        <v>1</v>
      </c>
      <c r="E90" s="3">
        <f>((1/(INDEX(E0!J$4:J$28,C90,1)-INDEX(E0!J$4:J$28,D90,1))))*100000000</f>
        <v>0</v>
      </c>
      <c r="F90" s="4" t="str">
        <f>HYPERLINK("http://141.218.60.56/~jnz1568/getInfo.php?workbook=04_01.xlsx&amp;sheet=A0&amp;row=90&amp;col=6&amp;number=&amp;sourceID=18","")</f>
        <v/>
      </c>
      <c r="G90" s="4" t="str">
        <f>HYPERLINK("http://141.218.60.56/~jnz1568/getInfo.php?workbook=04_01.xlsx&amp;sheet=A0&amp;row=90&amp;col=7&amp;number==&amp;sourceID=11","=")</f>
        <v>=</v>
      </c>
      <c r="H90" s="4" t="str">
        <f>HYPERLINK("http://141.218.60.56/~jnz1568/getInfo.php?workbook=04_01.xlsx&amp;sheet=A0&amp;row=90&amp;col=8&amp;number=&amp;sourceID=11","")</f>
        <v/>
      </c>
      <c r="I90" s="4" t="str">
        <f>HYPERLINK("http://141.218.60.56/~jnz1568/getInfo.php?workbook=04_01.xlsx&amp;sheet=A0&amp;row=90&amp;col=9&amp;number=1338300&amp;sourceID=11","1338300")</f>
        <v>1338300</v>
      </c>
      <c r="J90" s="4" t="str">
        <f>HYPERLINK("http://141.218.60.56/~jnz1568/getInfo.php?workbook=04_01.xlsx&amp;sheet=A0&amp;row=90&amp;col=10&amp;number=&amp;sourceID=11","")</f>
        <v/>
      </c>
      <c r="K90" s="4" t="str">
        <f>HYPERLINK("http://141.218.60.56/~jnz1568/getInfo.php?workbook=04_01.xlsx&amp;sheet=A0&amp;row=90&amp;col=11&amp;number=&amp;sourceID=11","")</f>
        <v/>
      </c>
      <c r="L90" s="4" t="str">
        <f>HYPERLINK("http://141.218.60.56/~jnz1568/getInfo.php?workbook=04_01.xlsx&amp;sheet=A0&amp;row=90&amp;col=12&amp;number=&amp;sourceID=11","")</f>
        <v/>
      </c>
      <c r="M90" s="4" t="str">
        <f>HYPERLINK("http://141.218.60.56/~jnz1568/getInfo.php?workbook=04_01.xlsx&amp;sheet=A0&amp;row=90&amp;col=13&amp;number=0.047463&amp;sourceID=11","0.047463")</f>
        <v>0.047463</v>
      </c>
      <c r="N90" s="4" t="str">
        <f>HYPERLINK("http://141.218.60.56/~jnz1568/getInfo.php?workbook=04_01.xlsx&amp;sheet=A0&amp;row=90&amp;col=14&amp;number=1338400&amp;sourceID=12","1338400")</f>
        <v>1338400</v>
      </c>
      <c r="O90" s="4" t="str">
        <f>HYPERLINK("http://141.218.60.56/~jnz1568/getInfo.php?workbook=04_01.xlsx&amp;sheet=A0&amp;row=90&amp;col=15&amp;number=&amp;sourceID=12","")</f>
        <v/>
      </c>
      <c r="P90" s="4" t="str">
        <f>HYPERLINK("http://141.218.60.56/~jnz1568/getInfo.php?workbook=04_01.xlsx&amp;sheet=A0&amp;row=90&amp;col=16&amp;number=1338400&amp;sourceID=12","1338400")</f>
        <v>1338400</v>
      </c>
      <c r="Q90" s="4" t="str">
        <f>HYPERLINK("http://141.218.60.56/~jnz1568/getInfo.php?workbook=04_01.xlsx&amp;sheet=A0&amp;row=90&amp;col=17&amp;number=&amp;sourceID=12","")</f>
        <v/>
      </c>
      <c r="R90" s="4" t="str">
        <f>HYPERLINK("http://141.218.60.56/~jnz1568/getInfo.php?workbook=04_01.xlsx&amp;sheet=A0&amp;row=90&amp;col=18&amp;number=&amp;sourceID=12","")</f>
        <v/>
      </c>
      <c r="S90" s="4" t="str">
        <f>HYPERLINK("http://141.218.60.56/~jnz1568/getInfo.php?workbook=04_01.xlsx&amp;sheet=A0&amp;row=90&amp;col=19&amp;number=&amp;sourceID=12","")</f>
        <v/>
      </c>
      <c r="T90" s="4" t="str">
        <f>HYPERLINK("http://141.218.60.56/~jnz1568/getInfo.php?workbook=04_01.xlsx&amp;sheet=A0&amp;row=90&amp;col=20&amp;number=0.047466&amp;sourceID=12","0.047466")</f>
        <v>0.047466</v>
      </c>
      <c r="U90" s="4" t="str">
        <f>HYPERLINK("http://141.218.60.56/~jnz1568/getInfo.php?workbook=04_01.xlsx&amp;sheet=A0&amp;row=90&amp;col=21&amp;number=&amp;sourceID=20","")</f>
        <v/>
      </c>
    </row>
    <row r="91" spans="1:21">
      <c r="A91" s="3">
        <v>4</v>
      </c>
      <c r="B91" s="3">
        <v>1</v>
      </c>
      <c r="C91" s="3">
        <v>15</v>
      </c>
      <c r="D91" s="3">
        <v>2</v>
      </c>
      <c r="E91" s="3">
        <f>((1/(INDEX(E0!J$4:J$28,C91,1)-INDEX(E0!J$4:J$28,D91,1))))*100000000</f>
        <v>0</v>
      </c>
      <c r="F91" s="4" t="str">
        <f>HYPERLINK("http://141.218.60.56/~jnz1568/getInfo.php?workbook=04_01.xlsx&amp;sheet=A0&amp;row=91&amp;col=6&amp;number=&amp;sourceID=18","")</f>
        <v/>
      </c>
      <c r="G91" s="4" t="str">
        <f>HYPERLINK("http://141.218.60.56/~jnz1568/getInfo.php?workbook=04_01.xlsx&amp;sheet=A0&amp;row=91&amp;col=7&amp;number==&amp;sourceID=11","=")</f>
        <v>=</v>
      </c>
      <c r="H91" s="4" t="str">
        <f>HYPERLINK("http://141.218.60.56/~jnz1568/getInfo.php?workbook=04_01.xlsx&amp;sheet=A0&amp;row=91&amp;col=8&amp;number=&amp;sourceID=11","")</f>
        <v/>
      </c>
      <c r="I91" s="4" t="str">
        <f>HYPERLINK("http://141.218.60.56/~jnz1568/getInfo.php?workbook=04_01.xlsx&amp;sheet=A0&amp;row=91&amp;col=9&amp;number=&amp;sourceID=11","")</f>
        <v/>
      </c>
      <c r="J91" s="4" t="str">
        <f>HYPERLINK("http://141.218.60.56/~jnz1568/getInfo.php?workbook=04_01.xlsx&amp;sheet=A0&amp;row=91&amp;col=10&amp;number=2.9497e-07&amp;sourceID=11","2.9497e-07")</f>
        <v>2.9497e-07</v>
      </c>
      <c r="K91" s="4" t="str">
        <f>HYPERLINK("http://141.218.60.56/~jnz1568/getInfo.php?workbook=04_01.xlsx&amp;sheet=A0&amp;row=91&amp;col=11&amp;number=&amp;sourceID=11","")</f>
        <v/>
      </c>
      <c r="L91" s="4" t="str">
        <f>HYPERLINK("http://141.218.60.56/~jnz1568/getInfo.php?workbook=04_01.xlsx&amp;sheet=A0&amp;row=91&amp;col=12&amp;number=1.4999&amp;sourceID=11","1.4999")</f>
        <v>1.4999</v>
      </c>
      <c r="M91" s="4" t="str">
        <f>HYPERLINK("http://141.218.60.56/~jnz1568/getInfo.php?workbook=04_01.xlsx&amp;sheet=A0&amp;row=91&amp;col=13&amp;number=&amp;sourceID=11","")</f>
        <v/>
      </c>
      <c r="N91" s="4" t="str">
        <f>HYPERLINK("http://141.218.60.56/~jnz1568/getInfo.php?workbook=04_01.xlsx&amp;sheet=A0&amp;row=91&amp;col=14&amp;number=1.5&amp;sourceID=12","1.5")</f>
        <v>1.5</v>
      </c>
      <c r="O91" s="4" t="str">
        <f>HYPERLINK("http://141.218.60.56/~jnz1568/getInfo.php?workbook=04_01.xlsx&amp;sheet=A0&amp;row=91&amp;col=15&amp;number=&amp;sourceID=12","")</f>
        <v/>
      </c>
      <c r="P91" s="4" t="str">
        <f>HYPERLINK("http://141.218.60.56/~jnz1568/getInfo.php?workbook=04_01.xlsx&amp;sheet=A0&amp;row=91&amp;col=16&amp;number=&amp;sourceID=12","")</f>
        <v/>
      </c>
      <c r="Q91" s="4" t="str">
        <f>HYPERLINK("http://141.218.60.56/~jnz1568/getInfo.php?workbook=04_01.xlsx&amp;sheet=A0&amp;row=91&amp;col=17&amp;number=2.9501e-07&amp;sourceID=12","2.9501e-07")</f>
        <v>2.9501e-07</v>
      </c>
      <c r="R91" s="4" t="str">
        <f>HYPERLINK("http://141.218.60.56/~jnz1568/getInfo.php?workbook=04_01.xlsx&amp;sheet=A0&amp;row=91&amp;col=18&amp;number=&amp;sourceID=12","")</f>
        <v/>
      </c>
      <c r="S91" s="4" t="str">
        <f>HYPERLINK("http://141.218.60.56/~jnz1568/getInfo.php?workbook=04_01.xlsx&amp;sheet=A0&amp;row=91&amp;col=19&amp;number=1.5&amp;sourceID=12","1.5")</f>
        <v>1.5</v>
      </c>
      <c r="T91" s="4" t="str">
        <f>HYPERLINK("http://141.218.60.56/~jnz1568/getInfo.php?workbook=04_01.xlsx&amp;sheet=A0&amp;row=91&amp;col=20&amp;number=&amp;sourceID=12","")</f>
        <v/>
      </c>
      <c r="U91" s="4" t="str">
        <f>HYPERLINK("http://141.218.60.56/~jnz1568/getInfo.php?workbook=04_01.xlsx&amp;sheet=A0&amp;row=91&amp;col=21&amp;number=&amp;sourceID=20","")</f>
        <v/>
      </c>
    </row>
    <row r="92" spans="1:21">
      <c r="A92" s="3">
        <v>4</v>
      </c>
      <c r="B92" s="3">
        <v>1</v>
      </c>
      <c r="C92" s="3">
        <v>15</v>
      </c>
      <c r="D92" s="3">
        <v>3</v>
      </c>
      <c r="E92" s="3">
        <f>((1/(INDEX(E0!J$4:J$28,C92,1)-INDEX(E0!J$4:J$28,D92,1))))*100000000</f>
        <v>0</v>
      </c>
      <c r="F92" s="4" t="str">
        <f>HYPERLINK("http://141.218.60.56/~jnz1568/getInfo.php?workbook=04_01.xlsx&amp;sheet=A0&amp;row=92&amp;col=6&amp;number=&amp;sourceID=18","")</f>
        <v/>
      </c>
      <c r="G92" s="4" t="str">
        <f>HYPERLINK("http://141.218.60.56/~jnz1568/getInfo.php?workbook=04_01.xlsx&amp;sheet=A0&amp;row=92&amp;col=7&amp;number==&amp;sourceID=11","=")</f>
        <v>=</v>
      </c>
      <c r="H92" s="4" t="str">
        <f>HYPERLINK("http://141.218.60.56/~jnz1568/getInfo.php?workbook=04_01.xlsx&amp;sheet=A0&amp;row=92&amp;col=8&amp;number=&amp;sourceID=11","")</f>
        <v/>
      </c>
      <c r="I92" s="4" t="str">
        <f>HYPERLINK("http://141.218.60.56/~jnz1568/getInfo.php?workbook=04_01.xlsx&amp;sheet=A0&amp;row=92&amp;col=9&amp;number=21160&amp;sourceID=11","21160")</f>
        <v>21160</v>
      </c>
      <c r="J92" s="4" t="str">
        <f>HYPERLINK("http://141.218.60.56/~jnz1568/getInfo.php?workbook=04_01.xlsx&amp;sheet=A0&amp;row=92&amp;col=10&amp;number=&amp;sourceID=11","")</f>
        <v/>
      </c>
      <c r="K92" s="4" t="str">
        <f>HYPERLINK("http://141.218.60.56/~jnz1568/getInfo.php?workbook=04_01.xlsx&amp;sheet=A0&amp;row=92&amp;col=11&amp;number=&amp;sourceID=11","")</f>
        <v/>
      </c>
      <c r="L92" s="4" t="str">
        <f>HYPERLINK("http://141.218.60.56/~jnz1568/getInfo.php?workbook=04_01.xlsx&amp;sheet=A0&amp;row=92&amp;col=12&amp;number=&amp;sourceID=11","")</f>
        <v/>
      </c>
      <c r="M92" s="4" t="str">
        <f>HYPERLINK("http://141.218.60.56/~jnz1568/getInfo.php?workbook=04_01.xlsx&amp;sheet=A0&amp;row=92&amp;col=13&amp;number=3.0019e-05&amp;sourceID=11","3.0019e-05")</f>
        <v>3.0019e-05</v>
      </c>
      <c r="N92" s="4" t="str">
        <f>HYPERLINK("http://141.218.60.56/~jnz1568/getInfo.php?workbook=04_01.xlsx&amp;sheet=A0&amp;row=92&amp;col=14&amp;number=21162&amp;sourceID=12","21162")</f>
        <v>21162</v>
      </c>
      <c r="O92" s="4" t="str">
        <f>HYPERLINK("http://141.218.60.56/~jnz1568/getInfo.php?workbook=04_01.xlsx&amp;sheet=A0&amp;row=92&amp;col=15&amp;number=&amp;sourceID=12","")</f>
        <v/>
      </c>
      <c r="P92" s="4" t="str">
        <f>HYPERLINK("http://141.218.60.56/~jnz1568/getInfo.php?workbook=04_01.xlsx&amp;sheet=A0&amp;row=92&amp;col=16&amp;number=21162&amp;sourceID=12","21162")</f>
        <v>21162</v>
      </c>
      <c r="Q92" s="4" t="str">
        <f>HYPERLINK("http://141.218.60.56/~jnz1568/getInfo.php?workbook=04_01.xlsx&amp;sheet=A0&amp;row=92&amp;col=17&amp;number=&amp;sourceID=12","")</f>
        <v/>
      </c>
      <c r="R92" s="4" t="str">
        <f>HYPERLINK("http://141.218.60.56/~jnz1568/getInfo.php?workbook=04_01.xlsx&amp;sheet=A0&amp;row=92&amp;col=18&amp;number=&amp;sourceID=12","")</f>
        <v/>
      </c>
      <c r="S92" s="4" t="str">
        <f>HYPERLINK("http://141.218.60.56/~jnz1568/getInfo.php?workbook=04_01.xlsx&amp;sheet=A0&amp;row=92&amp;col=19&amp;number=&amp;sourceID=12","")</f>
        <v/>
      </c>
      <c r="T92" s="4" t="str">
        <f>HYPERLINK("http://141.218.60.56/~jnz1568/getInfo.php?workbook=04_01.xlsx&amp;sheet=A0&amp;row=92&amp;col=20&amp;number=3.002e-05&amp;sourceID=12","3.002e-05")</f>
        <v>3.002e-05</v>
      </c>
      <c r="U92" s="4" t="str">
        <f>HYPERLINK("http://141.218.60.56/~jnz1568/getInfo.php?workbook=04_01.xlsx&amp;sheet=A0&amp;row=92&amp;col=21&amp;number=&amp;sourceID=20","")</f>
        <v/>
      </c>
    </row>
    <row r="93" spans="1:21">
      <c r="A93" s="3">
        <v>4</v>
      </c>
      <c r="B93" s="3">
        <v>1</v>
      </c>
      <c r="C93" s="3">
        <v>15</v>
      </c>
      <c r="D93" s="3">
        <v>4</v>
      </c>
      <c r="E93" s="3">
        <f>((1/(INDEX(E0!J$4:J$28,C93,1)-INDEX(E0!J$4:J$28,D93,1))))*100000000</f>
        <v>0</v>
      </c>
      <c r="F93" s="4" t="str">
        <f>HYPERLINK("http://141.218.60.56/~jnz1568/getInfo.php?workbook=04_01.xlsx&amp;sheet=A0&amp;row=93&amp;col=6&amp;number=&amp;sourceID=18","")</f>
        <v/>
      </c>
      <c r="G93" s="4" t="str">
        <f>HYPERLINK("http://141.218.60.56/~jnz1568/getInfo.php?workbook=04_01.xlsx&amp;sheet=A0&amp;row=93&amp;col=7&amp;number==&amp;sourceID=11","=")</f>
        <v>=</v>
      </c>
      <c r="H93" s="4" t="str">
        <f>HYPERLINK("http://141.218.60.56/~jnz1568/getInfo.php?workbook=04_01.xlsx&amp;sheet=A0&amp;row=93&amp;col=8&amp;number=5282600000&amp;sourceID=11","5282600000")</f>
        <v>5282600000</v>
      </c>
      <c r="I93" s="4" t="str">
        <f>HYPERLINK("http://141.218.60.56/~jnz1568/getInfo.php?workbook=04_01.xlsx&amp;sheet=A0&amp;row=93&amp;col=9&amp;number=&amp;sourceID=11","")</f>
        <v/>
      </c>
      <c r="J93" s="4" t="str">
        <f>HYPERLINK("http://141.218.60.56/~jnz1568/getInfo.php?workbook=04_01.xlsx&amp;sheet=A0&amp;row=93&amp;col=10&amp;number=2.0983e-09&amp;sourceID=11","2.0983e-09")</f>
        <v>2.0983e-09</v>
      </c>
      <c r="K93" s="4" t="str">
        <f>HYPERLINK("http://141.218.60.56/~jnz1568/getInfo.php?workbook=04_01.xlsx&amp;sheet=A0&amp;row=93&amp;col=11&amp;number=&amp;sourceID=11","")</f>
        <v/>
      </c>
      <c r="L93" s="4" t="str">
        <f>HYPERLINK("http://141.218.60.56/~jnz1568/getInfo.php?workbook=04_01.xlsx&amp;sheet=A0&amp;row=93&amp;col=12&amp;number=8.1921&amp;sourceID=11","8.1921")</f>
        <v>8.1921</v>
      </c>
      <c r="M93" s="4" t="str">
        <f>HYPERLINK("http://141.218.60.56/~jnz1568/getInfo.php?workbook=04_01.xlsx&amp;sheet=A0&amp;row=93&amp;col=13&amp;number=&amp;sourceID=11","")</f>
        <v/>
      </c>
      <c r="N93" s="4" t="str">
        <f>HYPERLINK("http://141.218.60.56/~jnz1568/getInfo.php?workbook=04_01.xlsx&amp;sheet=A0&amp;row=93&amp;col=14&amp;number=5282900000&amp;sourceID=12","5282900000")</f>
        <v>5282900000</v>
      </c>
      <c r="O93" s="4" t="str">
        <f>HYPERLINK("http://141.218.60.56/~jnz1568/getInfo.php?workbook=04_01.xlsx&amp;sheet=A0&amp;row=93&amp;col=15&amp;number=5282900000&amp;sourceID=12","5282900000")</f>
        <v>5282900000</v>
      </c>
      <c r="P93" s="4" t="str">
        <f>HYPERLINK("http://141.218.60.56/~jnz1568/getInfo.php?workbook=04_01.xlsx&amp;sheet=A0&amp;row=93&amp;col=16&amp;number=&amp;sourceID=12","")</f>
        <v/>
      </c>
      <c r="Q93" s="4" t="str">
        <f>HYPERLINK("http://141.218.60.56/~jnz1568/getInfo.php?workbook=04_01.xlsx&amp;sheet=A0&amp;row=93&amp;col=17&amp;number=2.1009e-09&amp;sourceID=12","2.1009e-09")</f>
        <v>2.1009e-09</v>
      </c>
      <c r="R93" s="4" t="str">
        <f>HYPERLINK("http://141.218.60.56/~jnz1568/getInfo.php?workbook=04_01.xlsx&amp;sheet=A0&amp;row=93&amp;col=18&amp;number=&amp;sourceID=12","")</f>
        <v/>
      </c>
      <c r="S93" s="4" t="str">
        <f>HYPERLINK("http://141.218.60.56/~jnz1568/getInfo.php?workbook=04_01.xlsx&amp;sheet=A0&amp;row=93&amp;col=19&amp;number=8.1926&amp;sourceID=12","8.1926")</f>
        <v>8.1926</v>
      </c>
      <c r="T93" s="4" t="str">
        <f>HYPERLINK("http://141.218.60.56/~jnz1568/getInfo.php?workbook=04_01.xlsx&amp;sheet=A0&amp;row=93&amp;col=20&amp;number=&amp;sourceID=12","")</f>
        <v/>
      </c>
      <c r="U93" s="4" t="str">
        <f>HYPERLINK("http://141.218.60.56/~jnz1568/getInfo.php?workbook=04_01.xlsx&amp;sheet=A0&amp;row=93&amp;col=21&amp;number=&amp;sourceID=20","")</f>
        <v/>
      </c>
    </row>
    <row r="94" spans="1:21">
      <c r="A94" s="3">
        <v>4</v>
      </c>
      <c r="B94" s="3">
        <v>1</v>
      </c>
      <c r="C94" s="3">
        <v>15</v>
      </c>
      <c r="D94" s="3">
        <v>5</v>
      </c>
      <c r="E94" s="3">
        <f>((1/(INDEX(E0!J$4:J$28,C94,1)-INDEX(E0!J$4:J$28,D94,1))))*100000000</f>
        <v>0</v>
      </c>
      <c r="F94" s="4" t="str">
        <f>HYPERLINK("http://141.218.60.56/~jnz1568/getInfo.php?workbook=04_01.xlsx&amp;sheet=A0&amp;row=94&amp;col=6&amp;number=&amp;sourceID=18","")</f>
        <v/>
      </c>
      <c r="G94" s="4" t="str">
        <f>HYPERLINK("http://141.218.60.56/~jnz1568/getInfo.php?workbook=04_01.xlsx&amp;sheet=A0&amp;row=94&amp;col=7&amp;number==&amp;sourceID=11","=")</f>
        <v>=</v>
      </c>
      <c r="H94" s="4" t="str">
        <f>HYPERLINK("http://141.218.60.56/~jnz1568/getInfo.php?workbook=04_01.xlsx&amp;sheet=A0&amp;row=94&amp;col=8&amp;number=&amp;sourceID=11","")</f>
        <v/>
      </c>
      <c r="I94" s="4" t="str">
        <f>HYPERLINK("http://141.218.60.56/~jnz1568/getInfo.php?workbook=04_01.xlsx&amp;sheet=A0&amp;row=94&amp;col=9&amp;number=&amp;sourceID=11","")</f>
        <v/>
      </c>
      <c r="J94" s="4" t="str">
        <f>HYPERLINK("http://141.218.60.56/~jnz1568/getInfo.php?workbook=04_01.xlsx&amp;sheet=A0&amp;row=94&amp;col=10&amp;number=0.045862&amp;sourceID=11","0.045862")</f>
        <v>0.045862</v>
      </c>
      <c r="K94" s="4" t="str">
        <f>HYPERLINK("http://141.218.60.56/~jnz1568/getInfo.php?workbook=04_01.xlsx&amp;sheet=A0&amp;row=94&amp;col=11&amp;number=&amp;sourceID=11","")</f>
        <v/>
      </c>
      <c r="L94" s="4" t="str">
        <f>HYPERLINK("http://141.218.60.56/~jnz1568/getInfo.php?workbook=04_01.xlsx&amp;sheet=A0&amp;row=94&amp;col=12&amp;number=0.034382&amp;sourceID=11","0.034382")</f>
        <v>0.034382</v>
      </c>
      <c r="M94" s="4" t="str">
        <f>HYPERLINK("http://141.218.60.56/~jnz1568/getInfo.php?workbook=04_01.xlsx&amp;sheet=A0&amp;row=94&amp;col=13&amp;number=&amp;sourceID=11","")</f>
        <v/>
      </c>
      <c r="N94" s="4" t="str">
        <f>HYPERLINK("http://141.218.60.56/~jnz1568/getInfo.php?workbook=04_01.xlsx&amp;sheet=A0&amp;row=94&amp;col=14&amp;number=0.080249&amp;sourceID=12","0.080249")</f>
        <v>0.080249</v>
      </c>
      <c r="O94" s="4" t="str">
        <f>HYPERLINK("http://141.218.60.56/~jnz1568/getInfo.php?workbook=04_01.xlsx&amp;sheet=A0&amp;row=94&amp;col=15&amp;number=&amp;sourceID=12","")</f>
        <v/>
      </c>
      <c r="P94" s="4" t="str">
        <f>HYPERLINK("http://141.218.60.56/~jnz1568/getInfo.php?workbook=04_01.xlsx&amp;sheet=A0&amp;row=94&amp;col=16&amp;number=&amp;sourceID=12","")</f>
        <v/>
      </c>
      <c r="Q94" s="4" t="str">
        <f>HYPERLINK("http://141.218.60.56/~jnz1568/getInfo.php?workbook=04_01.xlsx&amp;sheet=A0&amp;row=94&amp;col=17&amp;number=0.045865&amp;sourceID=12","0.045865")</f>
        <v>0.045865</v>
      </c>
      <c r="R94" s="4" t="str">
        <f>HYPERLINK("http://141.218.60.56/~jnz1568/getInfo.php?workbook=04_01.xlsx&amp;sheet=A0&amp;row=94&amp;col=18&amp;number=&amp;sourceID=12","")</f>
        <v/>
      </c>
      <c r="S94" s="4" t="str">
        <f>HYPERLINK("http://141.218.60.56/~jnz1568/getInfo.php?workbook=04_01.xlsx&amp;sheet=A0&amp;row=94&amp;col=19&amp;number=0.034384&amp;sourceID=12","0.034384")</f>
        <v>0.034384</v>
      </c>
      <c r="T94" s="4" t="str">
        <f>HYPERLINK("http://141.218.60.56/~jnz1568/getInfo.php?workbook=04_01.xlsx&amp;sheet=A0&amp;row=94&amp;col=20&amp;number=&amp;sourceID=12","")</f>
        <v/>
      </c>
      <c r="U94" s="4" t="str">
        <f>HYPERLINK("http://141.218.60.56/~jnz1568/getInfo.php?workbook=04_01.xlsx&amp;sheet=A0&amp;row=94&amp;col=21&amp;number=&amp;sourceID=20","")</f>
        <v/>
      </c>
    </row>
    <row r="95" spans="1:21">
      <c r="A95" s="3">
        <v>4</v>
      </c>
      <c r="B95" s="3">
        <v>1</v>
      </c>
      <c r="C95" s="3">
        <v>15</v>
      </c>
      <c r="D95" s="3">
        <v>6</v>
      </c>
      <c r="E95" s="3">
        <f>((1/(INDEX(E0!J$4:J$28,C95,1)-INDEX(E0!J$4:J$28,D95,1))))*100000000</f>
        <v>0</v>
      </c>
      <c r="F95" s="4" t="str">
        <f>HYPERLINK("http://141.218.60.56/~jnz1568/getInfo.php?workbook=04_01.xlsx&amp;sheet=A0&amp;row=95&amp;col=6&amp;number=&amp;sourceID=18","")</f>
        <v/>
      </c>
      <c r="G95" s="4" t="str">
        <f>HYPERLINK("http://141.218.60.56/~jnz1568/getInfo.php?workbook=04_01.xlsx&amp;sheet=A0&amp;row=95&amp;col=7&amp;number==&amp;sourceID=11","=")</f>
        <v>=</v>
      </c>
      <c r="H95" s="4" t="str">
        <f>HYPERLINK("http://141.218.60.56/~jnz1568/getInfo.php?workbook=04_01.xlsx&amp;sheet=A0&amp;row=95&amp;col=8&amp;number=&amp;sourceID=11","")</f>
        <v/>
      </c>
      <c r="I95" s="4" t="str">
        <f>HYPERLINK("http://141.218.60.56/~jnz1568/getInfo.php?workbook=04_01.xlsx&amp;sheet=A0&amp;row=95&amp;col=9&amp;number=15420&amp;sourceID=11","15420")</f>
        <v>15420</v>
      </c>
      <c r="J95" s="4" t="str">
        <f>HYPERLINK("http://141.218.60.56/~jnz1568/getInfo.php?workbook=04_01.xlsx&amp;sheet=A0&amp;row=95&amp;col=10&amp;number=&amp;sourceID=11","")</f>
        <v/>
      </c>
      <c r="K95" s="4" t="str">
        <f>HYPERLINK("http://141.218.60.56/~jnz1568/getInfo.php?workbook=04_01.xlsx&amp;sheet=A0&amp;row=95&amp;col=11&amp;number=&amp;sourceID=11","")</f>
        <v/>
      </c>
      <c r="L95" s="4" t="str">
        <f>HYPERLINK("http://141.218.60.56/~jnz1568/getInfo.php?workbook=04_01.xlsx&amp;sheet=A0&amp;row=95&amp;col=12&amp;number=&amp;sourceID=11","")</f>
        <v/>
      </c>
      <c r="M95" s="4" t="str">
        <f>HYPERLINK("http://141.218.60.56/~jnz1568/getInfo.php?workbook=04_01.xlsx&amp;sheet=A0&amp;row=95&amp;col=13&amp;number=1.4709e-06&amp;sourceID=11","1.4709e-06")</f>
        <v>1.4709e-06</v>
      </c>
      <c r="N95" s="4" t="str">
        <f>HYPERLINK("http://141.218.60.56/~jnz1568/getInfo.php?workbook=04_01.xlsx&amp;sheet=A0&amp;row=95&amp;col=14&amp;number=15421&amp;sourceID=12","15421")</f>
        <v>15421</v>
      </c>
      <c r="O95" s="4" t="str">
        <f>HYPERLINK("http://141.218.60.56/~jnz1568/getInfo.php?workbook=04_01.xlsx&amp;sheet=A0&amp;row=95&amp;col=15&amp;number=&amp;sourceID=12","")</f>
        <v/>
      </c>
      <c r="P95" s="4" t="str">
        <f>HYPERLINK("http://141.218.60.56/~jnz1568/getInfo.php?workbook=04_01.xlsx&amp;sheet=A0&amp;row=95&amp;col=16&amp;number=15421&amp;sourceID=12","15421")</f>
        <v>15421</v>
      </c>
      <c r="Q95" s="4" t="str">
        <f>HYPERLINK("http://141.218.60.56/~jnz1568/getInfo.php?workbook=04_01.xlsx&amp;sheet=A0&amp;row=95&amp;col=17&amp;number=&amp;sourceID=12","")</f>
        <v/>
      </c>
      <c r="R95" s="4" t="str">
        <f>HYPERLINK("http://141.218.60.56/~jnz1568/getInfo.php?workbook=04_01.xlsx&amp;sheet=A0&amp;row=95&amp;col=18&amp;number=&amp;sourceID=12","")</f>
        <v/>
      </c>
      <c r="S95" s="4" t="str">
        <f>HYPERLINK("http://141.218.60.56/~jnz1568/getInfo.php?workbook=04_01.xlsx&amp;sheet=A0&amp;row=95&amp;col=19&amp;number=&amp;sourceID=12","")</f>
        <v/>
      </c>
      <c r="T95" s="4" t="str">
        <f>HYPERLINK("http://141.218.60.56/~jnz1568/getInfo.php?workbook=04_01.xlsx&amp;sheet=A0&amp;row=95&amp;col=20&amp;number=1.471e-06&amp;sourceID=12","1.471e-06")</f>
        <v>1.471e-06</v>
      </c>
      <c r="U95" s="4" t="str">
        <f>HYPERLINK("http://141.218.60.56/~jnz1568/getInfo.php?workbook=04_01.xlsx&amp;sheet=A0&amp;row=95&amp;col=21&amp;number=&amp;sourceID=20","")</f>
        <v/>
      </c>
    </row>
    <row r="96" spans="1:21">
      <c r="A96" s="3">
        <v>4</v>
      </c>
      <c r="B96" s="3">
        <v>1</v>
      </c>
      <c r="C96" s="3">
        <v>15</v>
      </c>
      <c r="D96" s="3">
        <v>7</v>
      </c>
      <c r="E96" s="3">
        <f>((1/(INDEX(E0!J$4:J$28,C96,1)-INDEX(E0!J$4:J$28,D96,1))))*100000000</f>
        <v>0</v>
      </c>
      <c r="F96" s="4" t="str">
        <f>HYPERLINK("http://141.218.60.56/~jnz1568/getInfo.php?workbook=04_01.xlsx&amp;sheet=A0&amp;row=96&amp;col=6&amp;number=&amp;sourceID=18","")</f>
        <v/>
      </c>
      <c r="G96" s="4" t="str">
        <f>HYPERLINK("http://141.218.60.56/~jnz1568/getInfo.php?workbook=04_01.xlsx&amp;sheet=A0&amp;row=96&amp;col=7&amp;number==&amp;sourceID=11","=")</f>
        <v>=</v>
      </c>
      <c r="H96" s="4" t="str">
        <f>HYPERLINK("http://141.218.60.56/~jnz1568/getInfo.php?workbook=04_01.xlsx&amp;sheet=A0&amp;row=96&amp;col=8&amp;number=&amp;sourceID=11","")</f>
        <v/>
      </c>
      <c r="I96" s="4" t="str">
        <f>HYPERLINK("http://141.218.60.56/~jnz1568/getInfo.php?workbook=04_01.xlsx&amp;sheet=A0&amp;row=96&amp;col=9&amp;number=975.17&amp;sourceID=11","975.17")</f>
        <v>975.17</v>
      </c>
      <c r="J96" s="4" t="str">
        <f>HYPERLINK("http://141.218.60.56/~jnz1568/getInfo.php?workbook=04_01.xlsx&amp;sheet=A0&amp;row=96&amp;col=10&amp;number=&amp;sourceID=11","")</f>
        <v/>
      </c>
      <c r="K96" s="4" t="str">
        <f>HYPERLINK("http://141.218.60.56/~jnz1568/getInfo.php?workbook=04_01.xlsx&amp;sheet=A0&amp;row=96&amp;col=11&amp;number=1.5011e-05&amp;sourceID=11","1.5011e-05")</f>
        <v>1.5011e-05</v>
      </c>
      <c r="L96" s="4" t="str">
        <f>HYPERLINK("http://141.218.60.56/~jnz1568/getInfo.php?workbook=04_01.xlsx&amp;sheet=A0&amp;row=96&amp;col=12&amp;number=&amp;sourceID=11","")</f>
        <v/>
      </c>
      <c r="M96" s="4" t="str">
        <f>HYPERLINK("http://141.218.60.56/~jnz1568/getInfo.php?workbook=04_01.xlsx&amp;sheet=A0&amp;row=96&amp;col=13&amp;number=5.3119e-09&amp;sourceID=11","5.3119e-09")</f>
        <v>5.3119e-09</v>
      </c>
      <c r="N96" s="4" t="str">
        <f>HYPERLINK("http://141.218.60.56/~jnz1568/getInfo.php?workbook=04_01.xlsx&amp;sheet=A0&amp;row=96&amp;col=14&amp;number=975.23&amp;sourceID=12","975.23")</f>
        <v>975.23</v>
      </c>
      <c r="O96" s="4" t="str">
        <f>HYPERLINK("http://141.218.60.56/~jnz1568/getInfo.php?workbook=04_01.xlsx&amp;sheet=A0&amp;row=96&amp;col=15&amp;number=&amp;sourceID=12","")</f>
        <v/>
      </c>
      <c r="P96" s="4" t="str">
        <f>HYPERLINK("http://141.218.60.56/~jnz1568/getInfo.php?workbook=04_01.xlsx&amp;sheet=A0&amp;row=96&amp;col=16&amp;number=975.23&amp;sourceID=12","975.23")</f>
        <v>975.23</v>
      </c>
      <c r="Q96" s="4" t="str">
        <f>HYPERLINK("http://141.218.60.56/~jnz1568/getInfo.php?workbook=04_01.xlsx&amp;sheet=A0&amp;row=96&amp;col=17&amp;number=&amp;sourceID=12","")</f>
        <v/>
      </c>
      <c r="R96" s="4" t="str">
        <f>HYPERLINK("http://141.218.60.56/~jnz1568/getInfo.php?workbook=04_01.xlsx&amp;sheet=A0&amp;row=96&amp;col=18&amp;number=1.5012e-05&amp;sourceID=12","1.5012e-05")</f>
        <v>1.5012e-05</v>
      </c>
      <c r="S96" s="4" t="str">
        <f>HYPERLINK("http://141.218.60.56/~jnz1568/getInfo.php?workbook=04_01.xlsx&amp;sheet=A0&amp;row=96&amp;col=19&amp;number=&amp;sourceID=12","")</f>
        <v/>
      </c>
      <c r="T96" s="4" t="str">
        <f>HYPERLINK("http://141.218.60.56/~jnz1568/getInfo.php?workbook=04_01.xlsx&amp;sheet=A0&amp;row=96&amp;col=20&amp;number=5.3122e-09&amp;sourceID=12","5.3122e-09")</f>
        <v>5.3122e-09</v>
      </c>
      <c r="U96" s="4" t="str">
        <f>HYPERLINK("http://141.218.60.56/~jnz1568/getInfo.php?workbook=04_01.xlsx&amp;sheet=A0&amp;row=96&amp;col=21&amp;number=&amp;sourceID=20","")</f>
        <v/>
      </c>
    </row>
    <row r="97" spans="1:21">
      <c r="A97" s="3">
        <v>4</v>
      </c>
      <c r="B97" s="3">
        <v>1</v>
      </c>
      <c r="C97" s="3">
        <v>15</v>
      </c>
      <c r="D97" s="3">
        <v>8</v>
      </c>
      <c r="E97" s="3">
        <f>((1/(INDEX(E0!J$4:J$28,C97,1)-INDEX(E0!J$4:J$28,D97,1))))*100000000</f>
        <v>0</v>
      </c>
      <c r="F97" s="4" t="str">
        <f>HYPERLINK("http://141.218.60.56/~jnz1568/getInfo.php?workbook=04_01.xlsx&amp;sheet=A0&amp;row=97&amp;col=6&amp;number=&amp;sourceID=18","")</f>
        <v/>
      </c>
      <c r="G97" s="4" t="str">
        <f>HYPERLINK("http://141.218.60.56/~jnz1568/getInfo.php?workbook=04_01.xlsx&amp;sheet=A0&amp;row=97&amp;col=7&amp;number==&amp;sourceID=11","=")</f>
        <v>=</v>
      </c>
      <c r="H97" s="4" t="str">
        <f>HYPERLINK("http://141.218.60.56/~jnz1568/getInfo.php?workbook=04_01.xlsx&amp;sheet=A0&amp;row=97&amp;col=8&amp;number=1802500000&amp;sourceID=11","1802500000")</f>
        <v>1802500000</v>
      </c>
      <c r="I97" s="4" t="str">
        <f>HYPERLINK("http://141.218.60.56/~jnz1568/getInfo.php?workbook=04_01.xlsx&amp;sheet=A0&amp;row=97&amp;col=9&amp;number=&amp;sourceID=11","")</f>
        <v/>
      </c>
      <c r="J97" s="4" t="str">
        <f>HYPERLINK("http://141.218.60.56/~jnz1568/getInfo.php?workbook=04_01.xlsx&amp;sheet=A0&amp;row=97&amp;col=10&amp;number=0.036644&amp;sourceID=11","0.036644")</f>
        <v>0.036644</v>
      </c>
      <c r="K97" s="4" t="str">
        <f>HYPERLINK("http://141.218.60.56/~jnz1568/getInfo.php?workbook=04_01.xlsx&amp;sheet=A0&amp;row=97&amp;col=11&amp;number=&amp;sourceID=11","")</f>
        <v/>
      </c>
      <c r="L97" s="4" t="str">
        <f>HYPERLINK("http://141.218.60.56/~jnz1568/getInfo.php?workbook=04_01.xlsx&amp;sheet=A0&amp;row=97&amp;col=12&amp;number=0.18793&amp;sourceID=11","0.18793")</f>
        <v>0.18793</v>
      </c>
      <c r="M97" s="4" t="str">
        <f>HYPERLINK("http://141.218.60.56/~jnz1568/getInfo.php?workbook=04_01.xlsx&amp;sheet=A0&amp;row=97&amp;col=13&amp;number=&amp;sourceID=11","")</f>
        <v/>
      </c>
      <c r="N97" s="4" t="str">
        <f>HYPERLINK("http://141.218.60.56/~jnz1568/getInfo.php?workbook=04_01.xlsx&amp;sheet=A0&amp;row=97&amp;col=14&amp;number=1802600000&amp;sourceID=12","1802600000")</f>
        <v>1802600000</v>
      </c>
      <c r="O97" s="4" t="str">
        <f>HYPERLINK("http://141.218.60.56/~jnz1568/getInfo.php?workbook=04_01.xlsx&amp;sheet=A0&amp;row=97&amp;col=15&amp;number=1802600000&amp;sourceID=12","1802600000")</f>
        <v>1802600000</v>
      </c>
      <c r="P97" s="4" t="str">
        <f>HYPERLINK("http://141.218.60.56/~jnz1568/getInfo.php?workbook=04_01.xlsx&amp;sheet=A0&amp;row=97&amp;col=16&amp;number=&amp;sourceID=12","")</f>
        <v/>
      </c>
      <c r="Q97" s="4" t="str">
        <f>HYPERLINK("http://141.218.60.56/~jnz1568/getInfo.php?workbook=04_01.xlsx&amp;sheet=A0&amp;row=97&amp;col=17&amp;number=0.036646&amp;sourceID=12","0.036646")</f>
        <v>0.036646</v>
      </c>
      <c r="R97" s="4" t="str">
        <f>HYPERLINK("http://141.218.60.56/~jnz1568/getInfo.php?workbook=04_01.xlsx&amp;sheet=A0&amp;row=97&amp;col=18&amp;number=&amp;sourceID=12","")</f>
        <v/>
      </c>
      <c r="S97" s="4" t="str">
        <f>HYPERLINK("http://141.218.60.56/~jnz1568/getInfo.php?workbook=04_01.xlsx&amp;sheet=A0&amp;row=97&amp;col=19&amp;number=0.18794&amp;sourceID=12","0.18794")</f>
        <v>0.18794</v>
      </c>
      <c r="T97" s="4" t="str">
        <f>HYPERLINK("http://141.218.60.56/~jnz1568/getInfo.php?workbook=04_01.xlsx&amp;sheet=A0&amp;row=97&amp;col=20&amp;number=&amp;sourceID=12","")</f>
        <v/>
      </c>
      <c r="U97" s="4" t="str">
        <f>HYPERLINK("http://141.218.60.56/~jnz1568/getInfo.php?workbook=04_01.xlsx&amp;sheet=A0&amp;row=97&amp;col=21&amp;number=&amp;sourceID=20","")</f>
        <v/>
      </c>
    </row>
    <row r="98" spans="1:21">
      <c r="A98" s="3">
        <v>4</v>
      </c>
      <c r="B98" s="3">
        <v>1</v>
      </c>
      <c r="C98" s="3">
        <v>15</v>
      </c>
      <c r="D98" s="3">
        <v>9</v>
      </c>
      <c r="E98" s="3">
        <f>((1/(INDEX(E0!J$4:J$28,C98,1)-INDEX(E0!J$4:J$28,D98,1))))*100000000</f>
        <v>0</v>
      </c>
      <c r="F98" s="4" t="str">
        <f>HYPERLINK("http://141.218.60.56/~jnz1568/getInfo.php?workbook=04_01.xlsx&amp;sheet=A0&amp;row=98&amp;col=6&amp;number=&amp;sourceID=18","")</f>
        <v/>
      </c>
      <c r="G98" s="4" t="str">
        <f>HYPERLINK("http://141.218.60.56/~jnz1568/getInfo.php?workbook=04_01.xlsx&amp;sheet=A0&amp;row=98&amp;col=7&amp;number==&amp;sourceID=11","=")</f>
        <v>=</v>
      </c>
      <c r="H98" s="4" t="str">
        <f>HYPERLINK("http://141.218.60.56/~jnz1568/getInfo.php?workbook=04_01.xlsx&amp;sheet=A0&amp;row=98&amp;col=8&amp;number=&amp;sourceID=11","")</f>
        <v/>
      </c>
      <c r="I98" s="4" t="str">
        <f>HYPERLINK("http://141.218.60.56/~jnz1568/getInfo.php?workbook=04_01.xlsx&amp;sheet=A0&amp;row=98&amp;col=9&amp;number=3900.2&amp;sourceID=11","3900.2")</f>
        <v>3900.2</v>
      </c>
      <c r="J98" s="4" t="str">
        <f>HYPERLINK("http://141.218.60.56/~jnz1568/getInfo.php?workbook=04_01.xlsx&amp;sheet=A0&amp;row=98&amp;col=10&amp;number=&amp;sourceID=11","")</f>
        <v/>
      </c>
      <c r="K98" s="4" t="str">
        <f>HYPERLINK("http://141.218.60.56/~jnz1568/getInfo.php?workbook=04_01.xlsx&amp;sheet=A0&amp;row=98&amp;col=11&amp;number=6.3608e-05&amp;sourceID=11","6.3608e-05")</f>
        <v>6.3608e-05</v>
      </c>
      <c r="L98" s="4" t="str">
        <f>HYPERLINK("http://141.218.60.56/~jnz1568/getInfo.php?workbook=04_01.xlsx&amp;sheet=A0&amp;row=98&amp;col=12&amp;number=&amp;sourceID=11","")</f>
        <v/>
      </c>
      <c r="M98" s="4" t="str">
        <f>HYPERLINK("http://141.218.60.56/~jnz1568/getInfo.php?workbook=04_01.xlsx&amp;sheet=A0&amp;row=98&amp;col=13&amp;number=6.4517e-07&amp;sourceID=11","6.4517e-07")</f>
        <v>6.4517e-07</v>
      </c>
      <c r="N98" s="4" t="str">
        <f>HYPERLINK("http://141.218.60.56/~jnz1568/getInfo.php?workbook=04_01.xlsx&amp;sheet=A0&amp;row=98&amp;col=14&amp;number=3900.4&amp;sourceID=12","3900.4")</f>
        <v>3900.4</v>
      </c>
      <c r="O98" s="4" t="str">
        <f>HYPERLINK("http://141.218.60.56/~jnz1568/getInfo.php?workbook=04_01.xlsx&amp;sheet=A0&amp;row=98&amp;col=15&amp;number=&amp;sourceID=12","")</f>
        <v/>
      </c>
      <c r="P98" s="4" t="str">
        <f>HYPERLINK("http://141.218.60.56/~jnz1568/getInfo.php?workbook=04_01.xlsx&amp;sheet=A0&amp;row=98&amp;col=16&amp;number=3900.4&amp;sourceID=12","3900.4")</f>
        <v>3900.4</v>
      </c>
      <c r="Q98" s="4" t="str">
        <f>HYPERLINK("http://141.218.60.56/~jnz1568/getInfo.php?workbook=04_01.xlsx&amp;sheet=A0&amp;row=98&amp;col=17&amp;number=&amp;sourceID=12","")</f>
        <v/>
      </c>
      <c r="R98" s="4" t="str">
        <f>HYPERLINK("http://141.218.60.56/~jnz1568/getInfo.php?workbook=04_01.xlsx&amp;sheet=A0&amp;row=98&amp;col=18&amp;number=6.3612e-05&amp;sourceID=12","6.3612e-05")</f>
        <v>6.3612e-05</v>
      </c>
      <c r="S98" s="4" t="str">
        <f>HYPERLINK("http://141.218.60.56/~jnz1568/getInfo.php?workbook=04_01.xlsx&amp;sheet=A0&amp;row=98&amp;col=19&amp;number=&amp;sourceID=12","")</f>
        <v/>
      </c>
      <c r="T98" s="4" t="str">
        <f>HYPERLINK("http://141.218.60.56/~jnz1568/getInfo.php?workbook=04_01.xlsx&amp;sheet=A0&amp;row=98&amp;col=20&amp;number=6.4521e-07&amp;sourceID=12","6.4521e-07")</f>
        <v>6.4521e-07</v>
      </c>
      <c r="U98" s="4" t="str">
        <f>HYPERLINK("http://141.218.60.56/~jnz1568/getInfo.php?workbook=04_01.xlsx&amp;sheet=A0&amp;row=98&amp;col=21&amp;number=&amp;sourceID=20","")</f>
        <v/>
      </c>
    </row>
    <row r="99" spans="1:21">
      <c r="A99" s="3">
        <v>4</v>
      </c>
      <c r="B99" s="3">
        <v>1</v>
      </c>
      <c r="C99" s="3">
        <v>15</v>
      </c>
      <c r="D99" s="3">
        <v>10</v>
      </c>
      <c r="E99" s="3">
        <f>((1/(INDEX(E0!J$4:J$28,C99,1)-INDEX(E0!J$4:J$28,D99,1))))*100000000</f>
        <v>0</v>
      </c>
      <c r="F99" s="4" t="str">
        <f>HYPERLINK("http://141.218.60.56/~jnz1568/getInfo.php?workbook=04_01.xlsx&amp;sheet=A0&amp;row=99&amp;col=6&amp;number=&amp;sourceID=18","")</f>
        <v/>
      </c>
      <c r="G99" s="4" t="str">
        <f>HYPERLINK("http://141.218.60.56/~jnz1568/getInfo.php?workbook=04_01.xlsx&amp;sheet=A0&amp;row=99&amp;col=7&amp;number==&amp;sourceID=11","=")</f>
        <v>=</v>
      </c>
      <c r="H99" s="4" t="str">
        <f>HYPERLINK("http://141.218.60.56/~jnz1568/getInfo.php?workbook=04_01.xlsx&amp;sheet=A0&amp;row=99&amp;col=8&amp;number=&amp;sourceID=11","")</f>
        <v/>
      </c>
      <c r="I99" s="4" t="str">
        <f>HYPERLINK("http://141.218.60.56/~jnz1568/getInfo.php?workbook=04_01.xlsx&amp;sheet=A0&amp;row=99&amp;col=9&amp;number=&amp;sourceID=11","")</f>
        <v/>
      </c>
      <c r="J99" s="4" t="str">
        <f>HYPERLINK("http://141.218.60.56/~jnz1568/getInfo.php?workbook=04_01.xlsx&amp;sheet=A0&amp;row=99&amp;col=10&amp;number=0&amp;sourceID=11","0")</f>
        <v>0</v>
      </c>
      <c r="K99" s="4" t="str">
        <f>HYPERLINK("http://141.218.60.56/~jnz1568/getInfo.php?workbook=04_01.xlsx&amp;sheet=A0&amp;row=99&amp;col=11&amp;number=&amp;sourceID=11","")</f>
        <v/>
      </c>
      <c r="L99" s="4" t="str">
        <f>HYPERLINK("http://141.218.60.56/~jnz1568/getInfo.php?workbook=04_01.xlsx&amp;sheet=A0&amp;row=99&amp;col=12&amp;number=0&amp;sourceID=11","0")</f>
        <v>0</v>
      </c>
      <c r="M99" s="4" t="str">
        <f>HYPERLINK("http://141.218.60.56/~jnz1568/getInfo.php?workbook=04_01.xlsx&amp;sheet=A0&amp;row=99&amp;col=13&amp;number=&amp;sourceID=11","")</f>
        <v/>
      </c>
      <c r="N99" s="4" t="str">
        <f>HYPERLINK("http://141.218.60.56/~jnz1568/getInfo.php?workbook=04_01.xlsx&amp;sheet=A0&amp;row=99&amp;col=14&amp;number=0&amp;sourceID=12","0")</f>
        <v>0</v>
      </c>
      <c r="O99" s="4" t="str">
        <f>HYPERLINK("http://141.218.60.56/~jnz1568/getInfo.php?workbook=04_01.xlsx&amp;sheet=A0&amp;row=99&amp;col=15&amp;number=&amp;sourceID=12","")</f>
        <v/>
      </c>
      <c r="P99" s="4" t="str">
        <f>HYPERLINK("http://141.218.60.56/~jnz1568/getInfo.php?workbook=04_01.xlsx&amp;sheet=A0&amp;row=99&amp;col=16&amp;number=&amp;sourceID=12","")</f>
        <v/>
      </c>
      <c r="Q99" s="4" t="str">
        <f>HYPERLINK("http://141.218.60.56/~jnz1568/getInfo.php?workbook=04_01.xlsx&amp;sheet=A0&amp;row=99&amp;col=17&amp;number=0&amp;sourceID=12","0")</f>
        <v>0</v>
      </c>
      <c r="R99" s="4" t="str">
        <f>HYPERLINK("http://141.218.60.56/~jnz1568/getInfo.php?workbook=04_01.xlsx&amp;sheet=A0&amp;row=99&amp;col=18&amp;number=&amp;sourceID=12","")</f>
        <v/>
      </c>
      <c r="S99" s="4" t="str">
        <f>HYPERLINK("http://141.218.60.56/~jnz1568/getInfo.php?workbook=04_01.xlsx&amp;sheet=A0&amp;row=99&amp;col=19&amp;number=0&amp;sourceID=12","0")</f>
        <v>0</v>
      </c>
      <c r="T99" s="4" t="str">
        <f>HYPERLINK("http://141.218.60.56/~jnz1568/getInfo.php?workbook=04_01.xlsx&amp;sheet=A0&amp;row=99&amp;col=20&amp;number=&amp;sourceID=12","")</f>
        <v/>
      </c>
      <c r="U99" s="4" t="str">
        <f>HYPERLINK("http://141.218.60.56/~jnz1568/getInfo.php?workbook=04_01.xlsx&amp;sheet=A0&amp;row=99&amp;col=21&amp;number=&amp;sourceID=20","")</f>
        <v/>
      </c>
    </row>
    <row r="100" spans="1:21">
      <c r="A100" s="3">
        <v>4</v>
      </c>
      <c r="B100" s="3">
        <v>1</v>
      </c>
      <c r="C100" s="3">
        <v>15</v>
      </c>
      <c r="D100" s="3">
        <v>11</v>
      </c>
      <c r="E100" s="3">
        <f>((1/(INDEX(E0!J$4:J$28,C100,1)-INDEX(E0!J$4:J$28,D100,1))))*100000000</f>
        <v>0</v>
      </c>
      <c r="F100" s="4" t="str">
        <f>HYPERLINK("http://141.218.60.56/~jnz1568/getInfo.php?workbook=04_01.xlsx&amp;sheet=A0&amp;row=100&amp;col=6&amp;number=&amp;sourceID=18","")</f>
        <v/>
      </c>
      <c r="G100" s="4" t="str">
        <f>HYPERLINK("http://141.218.60.56/~jnz1568/getInfo.php?workbook=04_01.xlsx&amp;sheet=A0&amp;row=100&amp;col=7&amp;number==&amp;sourceID=11","=")</f>
        <v>=</v>
      </c>
      <c r="H100" s="4" t="str">
        <f>HYPERLINK("http://141.218.60.56/~jnz1568/getInfo.php?workbook=04_01.xlsx&amp;sheet=A0&amp;row=100&amp;col=8&amp;number=&amp;sourceID=11","")</f>
        <v/>
      </c>
      <c r="I100" s="4" t="str">
        <f>HYPERLINK("http://141.218.60.56/~jnz1568/getInfo.php?workbook=04_01.xlsx&amp;sheet=A0&amp;row=100&amp;col=9&amp;number=2.3e-14&amp;sourceID=11","2.3e-14")</f>
        <v>2.3e-14</v>
      </c>
      <c r="J100" s="4" t="str">
        <f>HYPERLINK("http://141.218.60.56/~jnz1568/getInfo.php?workbook=04_01.xlsx&amp;sheet=A0&amp;row=100&amp;col=10&amp;number=&amp;sourceID=11","")</f>
        <v/>
      </c>
      <c r="K100" s="4" t="str">
        <f>HYPERLINK("http://141.218.60.56/~jnz1568/getInfo.php?workbook=04_01.xlsx&amp;sheet=A0&amp;row=100&amp;col=11&amp;number=&amp;sourceID=11","")</f>
        <v/>
      </c>
      <c r="L100" s="4" t="str">
        <f>HYPERLINK("http://141.218.60.56/~jnz1568/getInfo.php?workbook=04_01.xlsx&amp;sheet=A0&amp;row=100&amp;col=12&amp;number=&amp;sourceID=11","")</f>
        <v/>
      </c>
      <c r="M100" s="4" t="str">
        <f>HYPERLINK("http://141.218.60.56/~jnz1568/getInfo.php?workbook=04_01.xlsx&amp;sheet=A0&amp;row=100&amp;col=13&amp;number=0&amp;sourceID=11","0")</f>
        <v>0</v>
      </c>
      <c r="N100" s="4" t="str">
        <f>HYPERLINK("http://141.218.60.56/~jnz1568/getInfo.php?workbook=04_01.xlsx&amp;sheet=A0&amp;row=100&amp;col=14&amp;number=2.3e-14&amp;sourceID=12","2.3e-14")</f>
        <v>2.3e-14</v>
      </c>
      <c r="O100" s="4" t="str">
        <f>HYPERLINK("http://141.218.60.56/~jnz1568/getInfo.php?workbook=04_01.xlsx&amp;sheet=A0&amp;row=100&amp;col=15&amp;number=&amp;sourceID=12","")</f>
        <v/>
      </c>
      <c r="P100" s="4" t="str">
        <f>HYPERLINK("http://141.218.60.56/~jnz1568/getInfo.php?workbook=04_01.xlsx&amp;sheet=A0&amp;row=100&amp;col=16&amp;number=2.3e-14&amp;sourceID=12","2.3e-14")</f>
        <v>2.3e-14</v>
      </c>
      <c r="Q100" s="4" t="str">
        <f>HYPERLINK("http://141.218.60.56/~jnz1568/getInfo.php?workbook=04_01.xlsx&amp;sheet=A0&amp;row=100&amp;col=17&amp;number=&amp;sourceID=12","")</f>
        <v/>
      </c>
      <c r="R100" s="4" t="str">
        <f>HYPERLINK("http://141.218.60.56/~jnz1568/getInfo.php?workbook=04_01.xlsx&amp;sheet=A0&amp;row=100&amp;col=18&amp;number=&amp;sourceID=12","")</f>
        <v/>
      </c>
      <c r="S100" s="4" t="str">
        <f>HYPERLINK("http://141.218.60.56/~jnz1568/getInfo.php?workbook=04_01.xlsx&amp;sheet=A0&amp;row=100&amp;col=19&amp;number=&amp;sourceID=12","")</f>
        <v/>
      </c>
      <c r="T100" s="4" t="str">
        <f>HYPERLINK("http://141.218.60.56/~jnz1568/getInfo.php?workbook=04_01.xlsx&amp;sheet=A0&amp;row=100&amp;col=20&amp;number=0&amp;sourceID=12","0")</f>
        <v>0</v>
      </c>
      <c r="U100" s="4" t="str">
        <f>HYPERLINK("http://141.218.60.56/~jnz1568/getInfo.php?workbook=04_01.xlsx&amp;sheet=A0&amp;row=100&amp;col=21&amp;number=&amp;sourceID=20","")</f>
        <v/>
      </c>
    </row>
    <row r="101" spans="1:21">
      <c r="A101" s="3">
        <v>4</v>
      </c>
      <c r="B101" s="3">
        <v>1</v>
      </c>
      <c r="C101" s="3">
        <v>15</v>
      </c>
      <c r="D101" s="3">
        <v>12</v>
      </c>
      <c r="E101" s="3">
        <f>((1/(INDEX(E0!J$4:J$28,C101,1)-INDEX(E0!J$4:J$28,D101,1))))*100000000</f>
        <v>0</v>
      </c>
      <c r="F101" s="4" t="str">
        <f>HYPERLINK("http://141.218.60.56/~jnz1568/getInfo.php?workbook=04_01.xlsx&amp;sheet=A0&amp;row=101&amp;col=6&amp;number=&amp;sourceID=18","")</f>
        <v/>
      </c>
      <c r="G101" s="4" t="str">
        <f>HYPERLINK("http://141.218.60.56/~jnz1568/getInfo.php?workbook=04_01.xlsx&amp;sheet=A0&amp;row=101&amp;col=7&amp;number==&amp;sourceID=11","=")</f>
        <v>=</v>
      </c>
      <c r="H101" s="4" t="str">
        <f>HYPERLINK("http://141.218.60.56/~jnz1568/getInfo.php?workbook=04_01.xlsx&amp;sheet=A0&amp;row=101&amp;col=8&amp;number=&amp;sourceID=11","")</f>
        <v/>
      </c>
      <c r="I101" s="4" t="str">
        <f>HYPERLINK("http://141.218.60.56/~jnz1568/getInfo.php?workbook=04_01.xlsx&amp;sheet=A0&amp;row=101&amp;col=9&amp;number=0&amp;sourceID=11","0")</f>
        <v>0</v>
      </c>
      <c r="J101" s="4" t="str">
        <f>HYPERLINK("http://141.218.60.56/~jnz1568/getInfo.php?workbook=04_01.xlsx&amp;sheet=A0&amp;row=101&amp;col=10&amp;number=&amp;sourceID=11","")</f>
        <v/>
      </c>
      <c r="K101" s="4" t="str">
        <f>HYPERLINK("http://141.218.60.56/~jnz1568/getInfo.php?workbook=04_01.xlsx&amp;sheet=A0&amp;row=101&amp;col=11&amp;number=6.382e-10&amp;sourceID=11","6.382e-10")</f>
        <v>6.382e-10</v>
      </c>
      <c r="L101" s="4" t="str">
        <f>HYPERLINK("http://141.218.60.56/~jnz1568/getInfo.php?workbook=04_01.xlsx&amp;sheet=A0&amp;row=101&amp;col=12&amp;number=&amp;sourceID=11","")</f>
        <v/>
      </c>
      <c r="M101" s="4" t="str">
        <f>HYPERLINK("http://141.218.60.56/~jnz1568/getInfo.php?workbook=04_01.xlsx&amp;sheet=A0&amp;row=101&amp;col=13&amp;number=0&amp;sourceID=11","0")</f>
        <v>0</v>
      </c>
      <c r="N101" s="4" t="str">
        <f>HYPERLINK("http://141.218.60.56/~jnz1568/getInfo.php?workbook=04_01.xlsx&amp;sheet=A0&amp;row=101&amp;col=14&amp;number=6.3832e-10&amp;sourceID=12","6.3832e-10")</f>
        <v>6.3832e-10</v>
      </c>
      <c r="O101" s="4" t="str">
        <f>HYPERLINK("http://141.218.60.56/~jnz1568/getInfo.php?workbook=04_01.xlsx&amp;sheet=A0&amp;row=101&amp;col=15&amp;number=&amp;sourceID=12","")</f>
        <v/>
      </c>
      <c r="P101" s="4" t="str">
        <f>HYPERLINK("http://141.218.60.56/~jnz1568/getInfo.php?workbook=04_01.xlsx&amp;sheet=A0&amp;row=101&amp;col=16&amp;number=0&amp;sourceID=12","0")</f>
        <v>0</v>
      </c>
      <c r="Q101" s="4" t="str">
        <f>HYPERLINK("http://141.218.60.56/~jnz1568/getInfo.php?workbook=04_01.xlsx&amp;sheet=A0&amp;row=101&amp;col=17&amp;number=&amp;sourceID=12","")</f>
        <v/>
      </c>
      <c r="R101" s="4" t="str">
        <f>HYPERLINK("http://141.218.60.56/~jnz1568/getInfo.php?workbook=04_01.xlsx&amp;sheet=A0&amp;row=101&amp;col=18&amp;number=6.3832e-10&amp;sourceID=12","6.3832e-10")</f>
        <v>6.3832e-10</v>
      </c>
      <c r="S101" s="4" t="str">
        <f>HYPERLINK("http://141.218.60.56/~jnz1568/getInfo.php?workbook=04_01.xlsx&amp;sheet=A0&amp;row=101&amp;col=19&amp;number=&amp;sourceID=12","")</f>
        <v/>
      </c>
      <c r="T101" s="4" t="str">
        <f>HYPERLINK("http://141.218.60.56/~jnz1568/getInfo.php?workbook=04_01.xlsx&amp;sheet=A0&amp;row=101&amp;col=20&amp;number=0&amp;sourceID=12","0")</f>
        <v>0</v>
      </c>
      <c r="U101" s="4" t="str">
        <f>HYPERLINK("http://141.218.60.56/~jnz1568/getInfo.php?workbook=04_01.xlsx&amp;sheet=A0&amp;row=101&amp;col=21&amp;number=&amp;sourceID=20","")</f>
        <v/>
      </c>
    </row>
    <row r="102" spans="1:21">
      <c r="A102" s="3">
        <v>4</v>
      </c>
      <c r="B102" s="3">
        <v>1</v>
      </c>
      <c r="C102" s="3">
        <v>15</v>
      </c>
      <c r="D102" s="3">
        <v>13</v>
      </c>
      <c r="E102" s="3">
        <f>((1/(INDEX(E0!J$4:J$28,C102,1)-INDEX(E0!J$4:J$28,D102,1))))*100000000</f>
        <v>0</v>
      </c>
      <c r="F102" s="4" t="str">
        <f>HYPERLINK("http://141.218.60.56/~jnz1568/getInfo.php?workbook=04_01.xlsx&amp;sheet=A0&amp;row=102&amp;col=6&amp;number=&amp;sourceID=18","")</f>
        <v/>
      </c>
      <c r="G102" s="4" t="str">
        <f>HYPERLINK("http://141.218.60.56/~jnz1568/getInfo.php?workbook=04_01.xlsx&amp;sheet=A0&amp;row=102&amp;col=7&amp;number==&amp;sourceID=11","=")</f>
        <v>=</v>
      </c>
      <c r="H102" s="4" t="str">
        <f>HYPERLINK("http://141.218.60.56/~jnz1568/getInfo.php?workbook=04_01.xlsx&amp;sheet=A0&amp;row=102&amp;col=8&amp;number=0.0012943&amp;sourceID=11","0.0012943")</f>
        <v>0.0012943</v>
      </c>
      <c r="I102" s="4" t="str">
        <f>HYPERLINK("http://141.218.60.56/~jnz1568/getInfo.php?workbook=04_01.xlsx&amp;sheet=A0&amp;row=102&amp;col=9&amp;number=&amp;sourceID=11","")</f>
        <v/>
      </c>
      <c r="J102" s="4" t="str">
        <f>HYPERLINK("http://141.218.60.56/~jnz1568/getInfo.php?workbook=04_01.xlsx&amp;sheet=A0&amp;row=102&amp;col=10&amp;number=0&amp;sourceID=11","0")</f>
        <v>0</v>
      </c>
      <c r="K102" s="4" t="str">
        <f>HYPERLINK("http://141.218.60.56/~jnz1568/getInfo.php?workbook=04_01.xlsx&amp;sheet=A0&amp;row=102&amp;col=11&amp;number=&amp;sourceID=11","")</f>
        <v/>
      </c>
      <c r="L102" s="4" t="str">
        <f>HYPERLINK("http://141.218.60.56/~jnz1568/getInfo.php?workbook=04_01.xlsx&amp;sheet=A0&amp;row=102&amp;col=12&amp;number=0&amp;sourceID=11","0")</f>
        <v>0</v>
      </c>
      <c r="M102" s="4" t="str">
        <f>HYPERLINK("http://141.218.60.56/~jnz1568/getInfo.php?workbook=04_01.xlsx&amp;sheet=A0&amp;row=102&amp;col=13&amp;number=&amp;sourceID=11","")</f>
        <v/>
      </c>
      <c r="N102" s="4" t="str">
        <f>HYPERLINK("http://141.218.60.56/~jnz1568/getInfo.php?workbook=04_01.xlsx&amp;sheet=A0&amp;row=102&amp;col=14&amp;number=0.0012945&amp;sourceID=12","0.0012945")</f>
        <v>0.0012945</v>
      </c>
      <c r="O102" s="4" t="str">
        <f>HYPERLINK("http://141.218.60.56/~jnz1568/getInfo.php?workbook=04_01.xlsx&amp;sheet=A0&amp;row=102&amp;col=15&amp;number=0.0012945&amp;sourceID=12","0.0012945")</f>
        <v>0.0012945</v>
      </c>
      <c r="P102" s="4" t="str">
        <f>HYPERLINK("http://141.218.60.56/~jnz1568/getInfo.php?workbook=04_01.xlsx&amp;sheet=A0&amp;row=102&amp;col=16&amp;number=&amp;sourceID=12","")</f>
        <v/>
      </c>
      <c r="Q102" s="4" t="str">
        <f>HYPERLINK("http://141.218.60.56/~jnz1568/getInfo.php?workbook=04_01.xlsx&amp;sheet=A0&amp;row=102&amp;col=17&amp;number=0&amp;sourceID=12","0")</f>
        <v>0</v>
      </c>
      <c r="R102" s="4" t="str">
        <f>HYPERLINK("http://141.218.60.56/~jnz1568/getInfo.php?workbook=04_01.xlsx&amp;sheet=A0&amp;row=102&amp;col=18&amp;number=&amp;sourceID=12","")</f>
        <v/>
      </c>
      <c r="S102" s="4" t="str">
        <f>HYPERLINK("http://141.218.60.56/~jnz1568/getInfo.php?workbook=04_01.xlsx&amp;sheet=A0&amp;row=102&amp;col=19&amp;number=0&amp;sourceID=12","0")</f>
        <v>0</v>
      </c>
      <c r="T102" s="4" t="str">
        <f>HYPERLINK("http://141.218.60.56/~jnz1568/getInfo.php?workbook=04_01.xlsx&amp;sheet=A0&amp;row=102&amp;col=20&amp;number=&amp;sourceID=12","")</f>
        <v/>
      </c>
      <c r="U102" s="4" t="str">
        <f>HYPERLINK("http://141.218.60.56/~jnz1568/getInfo.php?workbook=04_01.xlsx&amp;sheet=A0&amp;row=102&amp;col=21&amp;number=&amp;sourceID=20","")</f>
        <v/>
      </c>
    </row>
    <row r="103" spans="1:21">
      <c r="A103" s="3">
        <v>4</v>
      </c>
      <c r="B103" s="3">
        <v>1</v>
      </c>
      <c r="C103" s="3">
        <v>16</v>
      </c>
      <c r="D103" s="3">
        <v>1</v>
      </c>
      <c r="E103" s="3">
        <f>((1/(INDEX(E0!J$4:J$28,C103,1)-INDEX(E0!J$4:J$28,D103,1))))*100000000</f>
        <v>0</v>
      </c>
      <c r="F103" s="4" t="str">
        <f>HYPERLINK("http://141.218.60.56/~jnz1568/getInfo.php?workbook=04_01.xlsx&amp;sheet=A0&amp;row=103&amp;col=6&amp;number=&amp;sourceID=18","")</f>
        <v/>
      </c>
      <c r="G103" s="4" t="str">
        <f>HYPERLINK("http://141.218.60.56/~jnz1568/getInfo.php?workbook=04_01.xlsx&amp;sheet=A0&amp;row=103&amp;col=7&amp;number==&amp;sourceID=11","=")</f>
        <v>=</v>
      </c>
      <c r="H103" s="4" t="str">
        <f>HYPERLINK("http://141.218.60.56/~jnz1568/getInfo.php?workbook=04_01.xlsx&amp;sheet=A0&amp;row=103&amp;col=8&amp;number=&amp;sourceID=11","")</f>
        <v/>
      </c>
      <c r="I103" s="4" t="str">
        <f>HYPERLINK("http://141.218.60.56/~jnz1568/getInfo.php?workbook=04_01.xlsx&amp;sheet=A0&amp;row=103&amp;col=9&amp;number=&amp;sourceID=11","")</f>
        <v/>
      </c>
      <c r="J103" s="4" t="str">
        <f>HYPERLINK("http://141.218.60.56/~jnz1568/getInfo.php?workbook=04_01.xlsx&amp;sheet=A0&amp;row=103&amp;col=10&amp;number=20.354&amp;sourceID=11","20.354")</f>
        <v>20.354</v>
      </c>
      <c r="K103" s="4" t="str">
        <f>HYPERLINK("http://141.218.60.56/~jnz1568/getInfo.php?workbook=04_01.xlsx&amp;sheet=A0&amp;row=103&amp;col=11&amp;number=&amp;sourceID=11","")</f>
        <v/>
      </c>
      <c r="L103" s="4" t="str">
        <f>HYPERLINK("http://141.218.60.56/~jnz1568/getInfo.php?workbook=04_01.xlsx&amp;sheet=A0&amp;row=103&amp;col=12&amp;number=&amp;sourceID=11","")</f>
        <v/>
      </c>
      <c r="M103" s="4" t="str">
        <f>HYPERLINK("http://141.218.60.56/~jnz1568/getInfo.php?workbook=04_01.xlsx&amp;sheet=A0&amp;row=103&amp;col=13&amp;number=&amp;sourceID=11","")</f>
        <v/>
      </c>
      <c r="N103" s="4" t="str">
        <f>HYPERLINK("http://141.218.60.56/~jnz1568/getInfo.php?workbook=04_01.xlsx&amp;sheet=A0&amp;row=103&amp;col=14&amp;number=20.355&amp;sourceID=12","20.355")</f>
        <v>20.355</v>
      </c>
      <c r="O103" s="4" t="str">
        <f>HYPERLINK("http://141.218.60.56/~jnz1568/getInfo.php?workbook=04_01.xlsx&amp;sheet=A0&amp;row=103&amp;col=15&amp;number=&amp;sourceID=12","")</f>
        <v/>
      </c>
      <c r="P103" s="4" t="str">
        <f>HYPERLINK("http://141.218.60.56/~jnz1568/getInfo.php?workbook=04_01.xlsx&amp;sheet=A0&amp;row=103&amp;col=16&amp;number=&amp;sourceID=12","")</f>
        <v/>
      </c>
      <c r="Q103" s="4" t="str">
        <f>HYPERLINK("http://141.218.60.56/~jnz1568/getInfo.php?workbook=04_01.xlsx&amp;sheet=A0&amp;row=103&amp;col=17&amp;number=20.355&amp;sourceID=12","20.355")</f>
        <v>20.355</v>
      </c>
      <c r="R103" s="4" t="str">
        <f>HYPERLINK("http://141.218.60.56/~jnz1568/getInfo.php?workbook=04_01.xlsx&amp;sheet=A0&amp;row=103&amp;col=18&amp;number=&amp;sourceID=12","")</f>
        <v/>
      </c>
      <c r="S103" s="4" t="str">
        <f>HYPERLINK("http://141.218.60.56/~jnz1568/getInfo.php?workbook=04_01.xlsx&amp;sheet=A0&amp;row=103&amp;col=19&amp;number=&amp;sourceID=12","")</f>
        <v/>
      </c>
      <c r="T103" s="4" t="str">
        <f>HYPERLINK("http://141.218.60.56/~jnz1568/getInfo.php?workbook=04_01.xlsx&amp;sheet=A0&amp;row=103&amp;col=20&amp;number=&amp;sourceID=12","")</f>
        <v/>
      </c>
      <c r="U103" s="4" t="str">
        <f>HYPERLINK("http://141.218.60.56/~jnz1568/getInfo.php?workbook=04_01.xlsx&amp;sheet=A0&amp;row=103&amp;col=21&amp;number=&amp;sourceID=20","")</f>
        <v/>
      </c>
    </row>
    <row r="104" spans="1:21">
      <c r="A104" s="3">
        <v>4</v>
      </c>
      <c r="B104" s="3">
        <v>1</v>
      </c>
      <c r="C104" s="3">
        <v>16</v>
      </c>
      <c r="D104" s="3">
        <v>2</v>
      </c>
      <c r="E104" s="3">
        <f>((1/(INDEX(E0!J$4:J$28,C104,1)-INDEX(E0!J$4:J$28,D104,1))))*100000000</f>
        <v>0</v>
      </c>
      <c r="F104" s="4" t="str">
        <f>HYPERLINK("http://141.218.60.56/~jnz1568/getInfo.php?workbook=04_01.xlsx&amp;sheet=A0&amp;row=104&amp;col=6&amp;number=&amp;sourceID=18","")</f>
        <v/>
      </c>
      <c r="G104" s="4" t="str">
        <f>HYPERLINK("http://141.218.60.56/~jnz1568/getInfo.php?workbook=04_01.xlsx&amp;sheet=A0&amp;row=104&amp;col=7&amp;number==&amp;sourceID=11","=")</f>
        <v>=</v>
      </c>
      <c r="H104" s="4" t="str">
        <f>HYPERLINK("http://141.218.60.56/~jnz1568/getInfo.php?workbook=04_01.xlsx&amp;sheet=A0&amp;row=104&amp;col=8&amp;number=&amp;sourceID=11","")</f>
        <v/>
      </c>
      <c r="I104" s="4" t="str">
        <f>HYPERLINK("http://141.218.60.56/~jnz1568/getInfo.php?workbook=04_01.xlsx&amp;sheet=A0&amp;row=104&amp;col=9&amp;number=&amp;sourceID=11","")</f>
        <v/>
      </c>
      <c r="J104" s="4" t="str">
        <f>HYPERLINK("http://141.218.60.56/~jnz1568/getInfo.php?workbook=04_01.xlsx&amp;sheet=A0&amp;row=104&amp;col=10&amp;number=&amp;sourceID=11","")</f>
        <v/>
      </c>
      <c r="K104" s="4" t="str">
        <f>HYPERLINK("http://141.218.60.56/~jnz1568/getInfo.php?workbook=04_01.xlsx&amp;sheet=A0&amp;row=104&amp;col=11&amp;number=&amp;sourceID=11","")</f>
        <v/>
      </c>
      <c r="L104" s="4" t="str">
        <f>HYPERLINK("http://141.218.60.56/~jnz1568/getInfo.php?workbook=04_01.xlsx&amp;sheet=A0&amp;row=104&amp;col=12&amp;number=&amp;sourceID=11","")</f>
        <v/>
      </c>
      <c r="M104" s="4" t="str">
        <f>HYPERLINK("http://141.218.60.56/~jnz1568/getInfo.php?workbook=04_01.xlsx&amp;sheet=A0&amp;row=104&amp;col=13&amp;number=0.00011545&amp;sourceID=11","0.00011545")</f>
        <v>0.00011545</v>
      </c>
      <c r="N104" s="4" t="str">
        <f>HYPERLINK("http://141.218.60.56/~jnz1568/getInfo.php?workbook=04_01.xlsx&amp;sheet=A0&amp;row=104&amp;col=14&amp;number=0.00011545&amp;sourceID=12","0.00011545")</f>
        <v>0.00011545</v>
      </c>
      <c r="O104" s="4" t="str">
        <f>HYPERLINK("http://141.218.60.56/~jnz1568/getInfo.php?workbook=04_01.xlsx&amp;sheet=A0&amp;row=104&amp;col=15&amp;number=&amp;sourceID=12","")</f>
        <v/>
      </c>
      <c r="P104" s="4" t="str">
        <f>HYPERLINK("http://141.218.60.56/~jnz1568/getInfo.php?workbook=04_01.xlsx&amp;sheet=A0&amp;row=104&amp;col=16&amp;number=&amp;sourceID=12","")</f>
        <v/>
      </c>
      <c r="Q104" s="4" t="str">
        <f>HYPERLINK("http://141.218.60.56/~jnz1568/getInfo.php?workbook=04_01.xlsx&amp;sheet=A0&amp;row=104&amp;col=17&amp;number=&amp;sourceID=12","")</f>
        <v/>
      </c>
      <c r="R104" s="4" t="str">
        <f>HYPERLINK("http://141.218.60.56/~jnz1568/getInfo.php?workbook=04_01.xlsx&amp;sheet=A0&amp;row=104&amp;col=18&amp;number=&amp;sourceID=12","")</f>
        <v/>
      </c>
      <c r="S104" s="4" t="str">
        <f>HYPERLINK("http://141.218.60.56/~jnz1568/getInfo.php?workbook=04_01.xlsx&amp;sheet=A0&amp;row=104&amp;col=19&amp;number=&amp;sourceID=12","")</f>
        <v/>
      </c>
      <c r="T104" s="4" t="str">
        <f>HYPERLINK("http://141.218.60.56/~jnz1568/getInfo.php?workbook=04_01.xlsx&amp;sheet=A0&amp;row=104&amp;col=20&amp;number=0.00011545&amp;sourceID=12","0.00011545")</f>
        <v>0.00011545</v>
      </c>
      <c r="U104" s="4" t="str">
        <f>HYPERLINK("http://141.218.60.56/~jnz1568/getInfo.php?workbook=04_01.xlsx&amp;sheet=A0&amp;row=104&amp;col=21&amp;number=&amp;sourceID=20","")</f>
        <v/>
      </c>
    </row>
    <row r="105" spans="1:21">
      <c r="A105" s="3">
        <v>4</v>
      </c>
      <c r="B105" s="3">
        <v>1</v>
      </c>
      <c r="C105" s="3">
        <v>16</v>
      </c>
      <c r="D105" s="3">
        <v>3</v>
      </c>
      <c r="E105" s="3">
        <f>((1/(INDEX(E0!J$4:J$28,C105,1)-INDEX(E0!J$4:J$28,D105,1))))*100000000</f>
        <v>0</v>
      </c>
      <c r="F105" s="4" t="str">
        <f>HYPERLINK("http://141.218.60.56/~jnz1568/getInfo.php?workbook=04_01.xlsx&amp;sheet=A0&amp;row=105&amp;col=6&amp;number=&amp;sourceID=18","")</f>
        <v/>
      </c>
      <c r="G105" s="4" t="str">
        <f>HYPERLINK("http://141.218.60.56/~jnz1568/getInfo.php?workbook=04_01.xlsx&amp;sheet=A0&amp;row=105&amp;col=7&amp;number==&amp;sourceID=11","=")</f>
        <v>=</v>
      </c>
      <c r="H105" s="4" t="str">
        <f>HYPERLINK("http://141.218.60.56/~jnz1568/getInfo.php?workbook=04_01.xlsx&amp;sheet=A0&amp;row=105&amp;col=8&amp;number=&amp;sourceID=11","")</f>
        <v/>
      </c>
      <c r="I105" s="4" t="str">
        <f>HYPERLINK("http://141.218.60.56/~jnz1568/getInfo.php?workbook=04_01.xlsx&amp;sheet=A0&amp;row=105&amp;col=9&amp;number=&amp;sourceID=11","")</f>
        <v/>
      </c>
      <c r="J105" s="4" t="str">
        <f>HYPERLINK("http://141.218.60.56/~jnz1568/getInfo.php?workbook=04_01.xlsx&amp;sheet=A0&amp;row=105&amp;col=10&amp;number=8.0286&amp;sourceID=11","8.0286")</f>
        <v>8.0286</v>
      </c>
      <c r="K105" s="4" t="str">
        <f>HYPERLINK("http://141.218.60.56/~jnz1568/getInfo.php?workbook=04_01.xlsx&amp;sheet=A0&amp;row=105&amp;col=11&amp;number=&amp;sourceID=11","")</f>
        <v/>
      </c>
      <c r="L105" s="4" t="str">
        <f>HYPERLINK("http://141.218.60.56/~jnz1568/getInfo.php?workbook=04_01.xlsx&amp;sheet=A0&amp;row=105&amp;col=12&amp;number=&amp;sourceID=11","")</f>
        <v/>
      </c>
      <c r="M105" s="4" t="str">
        <f>HYPERLINK("http://141.218.60.56/~jnz1568/getInfo.php?workbook=04_01.xlsx&amp;sheet=A0&amp;row=105&amp;col=13&amp;number=&amp;sourceID=11","")</f>
        <v/>
      </c>
      <c r="N105" s="4" t="str">
        <f>HYPERLINK("http://141.218.60.56/~jnz1568/getInfo.php?workbook=04_01.xlsx&amp;sheet=A0&amp;row=105&amp;col=14&amp;number=8.0291&amp;sourceID=12","8.0291")</f>
        <v>8.0291</v>
      </c>
      <c r="O105" s="4" t="str">
        <f>HYPERLINK("http://141.218.60.56/~jnz1568/getInfo.php?workbook=04_01.xlsx&amp;sheet=A0&amp;row=105&amp;col=15&amp;number=&amp;sourceID=12","")</f>
        <v/>
      </c>
      <c r="P105" s="4" t="str">
        <f>HYPERLINK("http://141.218.60.56/~jnz1568/getInfo.php?workbook=04_01.xlsx&amp;sheet=A0&amp;row=105&amp;col=16&amp;number=&amp;sourceID=12","")</f>
        <v/>
      </c>
      <c r="Q105" s="4" t="str">
        <f>HYPERLINK("http://141.218.60.56/~jnz1568/getInfo.php?workbook=04_01.xlsx&amp;sheet=A0&amp;row=105&amp;col=17&amp;number=8.0291&amp;sourceID=12","8.0291")</f>
        <v>8.0291</v>
      </c>
      <c r="R105" s="4" t="str">
        <f>HYPERLINK("http://141.218.60.56/~jnz1568/getInfo.php?workbook=04_01.xlsx&amp;sheet=A0&amp;row=105&amp;col=18&amp;number=&amp;sourceID=12","")</f>
        <v/>
      </c>
      <c r="S105" s="4" t="str">
        <f>HYPERLINK("http://141.218.60.56/~jnz1568/getInfo.php?workbook=04_01.xlsx&amp;sheet=A0&amp;row=105&amp;col=19&amp;number=&amp;sourceID=12","")</f>
        <v/>
      </c>
      <c r="T105" s="4" t="str">
        <f>HYPERLINK("http://141.218.60.56/~jnz1568/getInfo.php?workbook=04_01.xlsx&amp;sheet=A0&amp;row=105&amp;col=20&amp;number=&amp;sourceID=12","")</f>
        <v/>
      </c>
      <c r="U105" s="4" t="str">
        <f>HYPERLINK("http://141.218.60.56/~jnz1568/getInfo.php?workbook=04_01.xlsx&amp;sheet=A0&amp;row=105&amp;col=21&amp;number=&amp;sourceID=20","")</f>
        <v/>
      </c>
    </row>
    <row r="106" spans="1:21">
      <c r="A106" s="3">
        <v>4</v>
      </c>
      <c r="B106" s="3">
        <v>1</v>
      </c>
      <c r="C106" s="3">
        <v>16</v>
      </c>
      <c r="D106" s="3">
        <v>4</v>
      </c>
      <c r="E106" s="3">
        <f>((1/(INDEX(E0!J$4:J$28,C106,1)-INDEX(E0!J$4:J$28,D106,1))))*100000000</f>
        <v>0</v>
      </c>
      <c r="F106" s="4" t="str">
        <f>HYPERLINK("http://141.218.60.56/~jnz1568/getInfo.php?workbook=04_01.xlsx&amp;sheet=A0&amp;row=106&amp;col=6&amp;number=&amp;sourceID=18","")</f>
        <v/>
      </c>
      <c r="G106" s="4" t="str">
        <f>HYPERLINK("http://141.218.60.56/~jnz1568/getInfo.php?workbook=04_01.xlsx&amp;sheet=A0&amp;row=106&amp;col=7&amp;number==&amp;sourceID=11","=")</f>
        <v>=</v>
      </c>
      <c r="H106" s="4" t="str">
        <f>HYPERLINK("http://141.218.60.56/~jnz1568/getInfo.php?workbook=04_01.xlsx&amp;sheet=A0&amp;row=106&amp;col=8&amp;number=&amp;sourceID=11","")</f>
        <v/>
      </c>
      <c r="I106" s="4" t="str">
        <f>HYPERLINK("http://141.218.60.56/~jnz1568/getInfo.php?workbook=04_01.xlsx&amp;sheet=A0&amp;row=106&amp;col=9&amp;number=253130&amp;sourceID=11","253130")</f>
        <v>253130</v>
      </c>
      <c r="J106" s="4" t="str">
        <f>HYPERLINK("http://141.218.60.56/~jnz1568/getInfo.php?workbook=04_01.xlsx&amp;sheet=A0&amp;row=106&amp;col=10&amp;number=&amp;sourceID=11","")</f>
        <v/>
      </c>
      <c r="K106" s="4" t="str">
        <f>HYPERLINK("http://141.218.60.56/~jnz1568/getInfo.php?workbook=04_01.xlsx&amp;sheet=A0&amp;row=106&amp;col=11&amp;number=&amp;sourceID=11","")</f>
        <v/>
      </c>
      <c r="L106" s="4" t="str">
        <f>HYPERLINK("http://141.218.60.56/~jnz1568/getInfo.php?workbook=04_01.xlsx&amp;sheet=A0&amp;row=106&amp;col=12&amp;number=&amp;sourceID=11","")</f>
        <v/>
      </c>
      <c r="M106" s="4" t="str">
        <f>HYPERLINK("http://141.218.60.56/~jnz1568/getInfo.php?workbook=04_01.xlsx&amp;sheet=A0&amp;row=106&amp;col=13&amp;number=0.00034612&amp;sourceID=11","0.00034612")</f>
        <v>0.00034612</v>
      </c>
      <c r="N106" s="4" t="str">
        <f>HYPERLINK("http://141.218.60.56/~jnz1568/getInfo.php?workbook=04_01.xlsx&amp;sheet=A0&amp;row=106&amp;col=14&amp;number=253140&amp;sourceID=12","253140")</f>
        <v>253140</v>
      </c>
      <c r="O106" s="4" t="str">
        <f>HYPERLINK("http://141.218.60.56/~jnz1568/getInfo.php?workbook=04_01.xlsx&amp;sheet=A0&amp;row=106&amp;col=15&amp;number=&amp;sourceID=12","")</f>
        <v/>
      </c>
      <c r="P106" s="4" t="str">
        <f>HYPERLINK("http://141.218.60.56/~jnz1568/getInfo.php?workbook=04_01.xlsx&amp;sheet=A0&amp;row=106&amp;col=16&amp;number=253140&amp;sourceID=12","253140")</f>
        <v>253140</v>
      </c>
      <c r="Q106" s="4" t="str">
        <f>HYPERLINK("http://141.218.60.56/~jnz1568/getInfo.php?workbook=04_01.xlsx&amp;sheet=A0&amp;row=106&amp;col=17&amp;number=&amp;sourceID=12","")</f>
        <v/>
      </c>
      <c r="R106" s="4" t="str">
        <f>HYPERLINK("http://141.218.60.56/~jnz1568/getInfo.php?workbook=04_01.xlsx&amp;sheet=A0&amp;row=106&amp;col=18&amp;number=&amp;sourceID=12","")</f>
        <v/>
      </c>
      <c r="S106" s="4" t="str">
        <f>HYPERLINK("http://141.218.60.56/~jnz1568/getInfo.php?workbook=04_01.xlsx&amp;sheet=A0&amp;row=106&amp;col=19&amp;number=&amp;sourceID=12","")</f>
        <v/>
      </c>
      <c r="T106" s="4" t="str">
        <f>HYPERLINK("http://141.218.60.56/~jnz1568/getInfo.php?workbook=04_01.xlsx&amp;sheet=A0&amp;row=106&amp;col=20&amp;number=0.00034615&amp;sourceID=12","0.00034615")</f>
        <v>0.00034615</v>
      </c>
      <c r="U106" s="4" t="str">
        <f>HYPERLINK("http://141.218.60.56/~jnz1568/getInfo.php?workbook=04_01.xlsx&amp;sheet=A0&amp;row=106&amp;col=21&amp;number=&amp;sourceID=20","")</f>
        <v/>
      </c>
    </row>
    <row r="107" spans="1:21">
      <c r="A107" s="3">
        <v>4</v>
      </c>
      <c r="B107" s="3">
        <v>1</v>
      </c>
      <c r="C107" s="3">
        <v>16</v>
      </c>
      <c r="D107" s="3">
        <v>5</v>
      </c>
      <c r="E107" s="3">
        <f>((1/(INDEX(E0!J$4:J$28,C107,1)-INDEX(E0!J$4:J$28,D107,1))))*100000000</f>
        <v>0</v>
      </c>
      <c r="F107" s="4" t="str">
        <f>HYPERLINK("http://141.218.60.56/~jnz1568/getInfo.php?workbook=04_01.xlsx&amp;sheet=A0&amp;row=107&amp;col=6&amp;number=&amp;sourceID=18","")</f>
        <v/>
      </c>
      <c r="G107" s="4" t="str">
        <f>HYPERLINK("http://141.218.60.56/~jnz1568/getInfo.php?workbook=04_01.xlsx&amp;sheet=A0&amp;row=107&amp;col=7&amp;number==&amp;sourceID=11","=")</f>
        <v>=</v>
      </c>
      <c r="H107" s="4" t="str">
        <f>HYPERLINK("http://141.218.60.56/~jnz1568/getInfo.php?workbook=04_01.xlsx&amp;sheet=A0&amp;row=107&amp;col=8&amp;number=&amp;sourceID=11","")</f>
        <v/>
      </c>
      <c r="I107" s="4" t="str">
        <f>HYPERLINK("http://141.218.60.56/~jnz1568/getInfo.php?workbook=04_01.xlsx&amp;sheet=A0&amp;row=107&amp;col=9&amp;number=&amp;sourceID=11","")</f>
        <v/>
      </c>
      <c r="J107" s="4" t="str">
        <f>HYPERLINK("http://141.218.60.56/~jnz1568/getInfo.php?workbook=04_01.xlsx&amp;sheet=A0&amp;row=107&amp;col=10&amp;number=&amp;sourceID=11","")</f>
        <v/>
      </c>
      <c r="K107" s="4" t="str">
        <f>HYPERLINK("http://141.218.60.56/~jnz1568/getInfo.php?workbook=04_01.xlsx&amp;sheet=A0&amp;row=107&amp;col=11&amp;number=&amp;sourceID=11","")</f>
        <v/>
      </c>
      <c r="L107" s="4" t="str">
        <f>HYPERLINK("http://141.218.60.56/~jnz1568/getInfo.php?workbook=04_01.xlsx&amp;sheet=A0&amp;row=107&amp;col=12&amp;number=&amp;sourceID=11","")</f>
        <v/>
      </c>
      <c r="M107" s="4" t="str">
        <f>HYPERLINK("http://141.218.60.56/~jnz1568/getInfo.php?workbook=04_01.xlsx&amp;sheet=A0&amp;row=107&amp;col=13&amp;number=7.278e-07&amp;sourceID=11","7.278e-07")</f>
        <v>7.278e-07</v>
      </c>
      <c r="N107" s="4" t="str">
        <f>HYPERLINK("http://141.218.60.56/~jnz1568/getInfo.php?workbook=04_01.xlsx&amp;sheet=A0&amp;row=107&amp;col=14&amp;number=7.2784e-07&amp;sourceID=12","7.2784e-07")</f>
        <v>7.2784e-07</v>
      </c>
      <c r="O107" s="4" t="str">
        <f>HYPERLINK("http://141.218.60.56/~jnz1568/getInfo.php?workbook=04_01.xlsx&amp;sheet=A0&amp;row=107&amp;col=15&amp;number=&amp;sourceID=12","")</f>
        <v/>
      </c>
      <c r="P107" s="4" t="str">
        <f>HYPERLINK("http://141.218.60.56/~jnz1568/getInfo.php?workbook=04_01.xlsx&amp;sheet=A0&amp;row=107&amp;col=16&amp;number=&amp;sourceID=12","")</f>
        <v/>
      </c>
      <c r="Q107" s="4" t="str">
        <f>HYPERLINK("http://141.218.60.56/~jnz1568/getInfo.php?workbook=04_01.xlsx&amp;sheet=A0&amp;row=107&amp;col=17&amp;number=&amp;sourceID=12","")</f>
        <v/>
      </c>
      <c r="R107" s="4" t="str">
        <f>HYPERLINK("http://141.218.60.56/~jnz1568/getInfo.php?workbook=04_01.xlsx&amp;sheet=A0&amp;row=107&amp;col=18&amp;number=&amp;sourceID=12","")</f>
        <v/>
      </c>
      <c r="S107" s="4" t="str">
        <f>HYPERLINK("http://141.218.60.56/~jnz1568/getInfo.php?workbook=04_01.xlsx&amp;sheet=A0&amp;row=107&amp;col=19&amp;number=&amp;sourceID=12","")</f>
        <v/>
      </c>
      <c r="T107" s="4" t="str">
        <f>HYPERLINK("http://141.218.60.56/~jnz1568/getInfo.php?workbook=04_01.xlsx&amp;sheet=A0&amp;row=107&amp;col=20&amp;number=7.2784e-07&amp;sourceID=12","7.2784e-07")</f>
        <v>7.2784e-07</v>
      </c>
      <c r="U107" s="4" t="str">
        <f>HYPERLINK("http://141.218.60.56/~jnz1568/getInfo.php?workbook=04_01.xlsx&amp;sheet=A0&amp;row=107&amp;col=21&amp;number=&amp;sourceID=20","")</f>
        <v/>
      </c>
    </row>
    <row r="108" spans="1:21">
      <c r="A108" s="3">
        <v>4</v>
      </c>
      <c r="B108" s="3">
        <v>1</v>
      </c>
      <c r="C108" s="3">
        <v>16</v>
      </c>
      <c r="D108" s="3">
        <v>6</v>
      </c>
      <c r="E108" s="3">
        <f>((1/(INDEX(E0!J$4:J$28,C108,1)-INDEX(E0!J$4:J$28,D108,1))))*100000000</f>
        <v>0</v>
      </c>
      <c r="F108" s="4" t="str">
        <f>HYPERLINK("http://141.218.60.56/~jnz1568/getInfo.php?workbook=04_01.xlsx&amp;sheet=A0&amp;row=108&amp;col=6&amp;number=&amp;sourceID=18","")</f>
        <v/>
      </c>
      <c r="G108" s="4" t="str">
        <f>HYPERLINK("http://141.218.60.56/~jnz1568/getInfo.php?workbook=04_01.xlsx&amp;sheet=A0&amp;row=108&amp;col=7&amp;number==&amp;sourceID=11","=")</f>
        <v>=</v>
      </c>
      <c r="H108" s="4" t="str">
        <f>HYPERLINK("http://141.218.60.56/~jnz1568/getInfo.php?workbook=04_01.xlsx&amp;sheet=A0&amp;row=108&amp;col=8&amp;number=&amp;sourceID=11","")</f>
        <v/>
      </c>
      <c r="I108" s="4" t="str">
        <f>HYPERLINK("http://141.218.60.56/~jnz1568/getInfo.php?workbook=04_01.xlsx&amp;sheet=A0&amp;row=108&amp;col=9&amp;number=&amp;sourceID=11","")</f>
        <v/>
      </c>
      <c r="J108" s="4" t="str">
        <f>HYPERLINK("http://141.218.60.56/~jnz1568/getInfo.php?workbook=04_01.xlsx&amp;sheet=A0&amp;row=108&amp;col=10&amp;number=0.073472&amp;sourceID=11","0.073472")</f>
        <v>0.073472</v>
      </c>
      <c r="K108" s="4" t="str">
        <f>HYPERLINK("http://141.218.60.56/~jnz1568/getInfo.php?workbook=04_01.xlsx&amp;sheet=A0&amp;row=108&amp;col=11&amp;number=&amp;sourceID=11","")</f>
        <v/>
      </c>
      <c r="L108" s="4" t="str">
        <f>HYPERLINK("http://141.218.60.56/~jnz1568/getInfo.php?workbook=04_01.xlsx&amp;sheet=A0&amp;row=108&amp;col=12&amp;number=&amp;sourceID=11","")</f>
        <v/>
      </c>
      <c r="M108" s="4" t="str">
        <f>HYPERLINK("http://141.218.60.56/~jnz1568/getInfo.php?workbook=04_01.xlsx&amp;sheet=A0&amp;row=108&amp;col=13&amp;number=&amp;sourceID=11","")</f>
        <v/>
      </c>
      <c r="N108" s="4" t="str">
        <f>HYPERLINK("http://141.218.60.56/~jnz1568/getInfo.php?workbook=04_01.xlsx&amp;sheet=A0&amp;row=108&amp;col=14&amp;number=0.073477&amp;sourceID=12","0.073477")</f>
        <v>0.073477</v>
      </c>
      <c r="O108" s="4" t="str">
        <f>HYPERLINK("http://141.218.60.56/~jnz1568/getInfo.php?workbook=04_01.xlsx&amp;sheet=A0&amp;row=108&amp;col=15&amp;number=&amp;sourceID=12","")</f>
        <v/>
      </c>
      <c r="P108" s="4" t="str">
        <f>HYPERLINK("http://141.218.60.56/~jnz1568/getInfo.php?workbook=04_01.xlsx&amp;sheet=A0&amp;row=108&amp;col=16&amp;number=&amp;sourceID=12","")</f>
        <v/>
      </c>
      <c r="Q108" s="4" t="str">
        <f>HYPERLINK("http://141.218.60.56/~jnz1568/getInfo.php?workbook=04_01.xlsx&amp;sheet=A0&amp;row=108&amp;col=17&amp;number=0.073477&amp;sourceID=12","0.073477")</f>
        <v>0.073477</v>
      </c>
      <c r="R108" s="4" t="str">
        <f>HYPERLINK("http://141.218.60.56/~jnz1568/getInfo.php?workbook=04_01.xlsx&amp;sheet=A0&amp;row=108&amp;col=18&amp;number=&amp;sourceID=12","")</f>
        <v/>
      </c>
      <c r="S108" s="4" t="str">
        <f>HYPERLINK("http://141.218.60.56/~jnz1568/getInfo.php?workbook=04_01.xlsx&amp;sheet=A0&amp;row=108&amp;col=19&amp;number=&amp;sourceID=12","")</f>
        <v/>
      </c>
      <c r="T108" s="4" t="str">
        <f>HYPERLINK("http://141.218.60.56/~jnz1568/getInfo.php?workbook=04_01.xlsx&amp;sheet=A0&amp;row=108&amp;col=20&amp;number=&amp;sourceID=12","")</f>
        <v/>
      </c>
      <c r="U108" s="4" t="str">
        <f>HYPERLINK("http://141.218.60.56/~jnz1568/getInfo.php?workbook=04_01.xlsx&amp;sheet=A0&amp;row=108&amp;col=21&amp;number=&amp;sourceID=20","")</f>
        <v/>
      </c>
    </row>
    <row r="109" spans="1:21">
      <c r="A109" s="3">
        <v>4</v>
      </c>
      <c r="B109" s="3">
        <v>1</v>
      </c>
      <c r="C109" s="3">
        <v>16</v>
      </c>
      <c r="D109" s="3">
        <v>7</v>
      </c>
      <c r="E109" s="3">
        <f>((1/(INDEX(E0!J$4:J$28,C109,1)-INDEX(E0!J$4:J$28,D109,1))))*100000000</f>
        <v>0</v>
      </c>
      <c r="F109" s="4" t="str">
        <f>HYPERLINK("http://141.218.60.56/~jnz1568/getInfo.php?workbook=04_01.xlsx&amp;sheet=A0&amp;row=109&amp;col=6&amp;number=&amp;sourceID=18","")</f>
        <v/>
      </c>
      <c r="G109" s="4" t="str">
        <f>HYPERLINK("http://141.218.60.56/~jnz1568/getInfo.php?workbook=04_01.xlsx&amp;sheet=A0&amp;row=109&amp;col=7&amp;number==&amp;sourceID=11","=")</f>
        <v>=</v>
      </c>
      <c r="H109" s="4" t="str">
        <f>HYPERLINK("http://141.218.60.56/~jnz1568/getInfo.php?workbook=04_01.xlsx&amp;sheet=A0&amp;row=109&amp;col=8&amp;number=&amp;sourceID=11","")</f>
        <v/>
      </c>
      <c r="I109" s="4" t="str">
        <f>HYPERLINK("http://141.218.60.56/~jnz1568/getInfo.php?workbook=04_01.xlsx&amp;sheet=A0&amp;row=109&amp;col=9&amp;number=&amp;sourceID=11","")</f>
        <v/>
      </c>
      <c r="J109" s="4" t="str">
        <f>HYPERLINK("http://141.218.60.56/~jnz1568/getInfo.php?workbook=04_01.xlsx&amp;sheet=A0&amp;row=109&amp;col=10&amp;number=0.0088349&amp;sourceID=11","0.0088349")</f>
        <v>0.0088349</v>
      </c>
      <c r="K109" s="4" t="str">
        <f>HYPERLINK("http://141.218.60.56/~jnz1568/getInfo.php?workbook=04_01.xlsx&amp;sheet=A0&amp;row=109&amp;col=11&amp;number=&amp;sourceID=11","")</f>
        <v/>
      </c>
      <c r="L109" s="4" t="str">
        <f>HYPERLINK("http://141.218.60.56/~jnz1568/getInfo.php?workbook=04_01.xlsx&amp;sheet=A0&amp;row=109&amp;col=12&amp;number=0.080803&amp;sourceID=11","0.080803")</f>
        <v>0.080803</v>
      </c>
      <c r="M109" s="4" t="str">
        <f>HYPERLINK("http://141.218.60.56/~jnz1568/getInfo.php?workbook=04_01.xlsx&amp;sheet=A0&amp;row=109&amp;col=13&amp;number=&amp;sourceID=11","")</f>
        <v/>
      </c>
      <c r="N109" s="4" t="str">
        <f>HYPERLINK("http://141.218.60.56/~jnz1568/getInfo.php?workbook=04_01.xlsx&amp;sheet=A0&amp;row=109&amp;col=14&amp;number=0.089644&amp;sourceID=12","0.089644")</f>
        <v>0.089644</v>
      </c>
      <c r="O109" s="4" t="str">
        <f>HYPERLINK("http://141.218.60.56/~jnz1568/getInfo.php?workbook=04_01.xlsx&amp;sheet=A0&amp;row=109&amp;col=15&amp;number=&amp;sourceID=12","")</f>
        <v/>
      </c>
      <c r="P109" s="4" t="str">
        <f>HYPERLINK("http://141.218.60.56/~jnz1568/getInfo.php?workbook=04_01.xlsx&amp;sheet=A0&amp;row=109&amp;col=16&amp;number=&amp;sourceID=12","")</f>
        <v/>
      </c>
      <c r="Q109" s="4" t="str">
        <f>HYPERLINK("http://141.218.60.56/~jnz1568/getInfo.php?workbook=04_01.xlsx&amp;sheet=A0&amp;row=109&amp;col=17&amp;number=0.0088355&amp;sourceID=12","0.0088355")</f>
        <v>0.0088355</v>
      </c>
      <c r="R109" s="4" t="str">
        <f>HYPERLINK("http://141.218.60.56/~jnz1568/getInfo.php?workbook=04_01.xlsx&amp;sheet=A0&amp;row=109&amp;col=18&amp;number=&amp;sourceID=12","")</f>
        <v/>
      </c>
      <c r="S109" s="4" t="str">
        <f>HYPERLINK("http://141.218.60.56/~jnz1568/getInfo.php?workbook=04_01.xlsx&amp;sheet=A0&amp;row=109&amp;col=19&amp;number=0.080808&amp;sourceID=12","0.080808")</f>
        <v>0.080808</v>
      </c>
      <c r="T109" s="4" t="str">
        <f>HYPERLINK("http://141.218.60.56/~jnz1568/getInfo.php?workbook=04_01.xlsx&amp;sheet=A0&amp;row=109&amp;col=20&amp;number=&amp;sourceID=12","")</f>
        <v/>
      </c>
      <c r="U109" s="4" t="str">
        <f>HYPERLINK("http://141.218.60.56/~jnz1568/getInfo.php?workbook=04_01.xlsx&amp;sheet=A0&amp;row=109&amp;col=21&amp;number=&amp;sourceID=20","")</f>
        <v/>
      </c>
    </row>
    <row r="110" spans="1:21">
      <c r="A110" s="3">
        <v>4</v>
      </c>
      <c r="B110" s="3">
        <v>1</v>
      </c>
      <c r="C110" s="3">
        <v>16</v>
      </c>
      <c r="D110" s="3">
        <v>8</v>
      </c>
      <c r="E110" s="3">
        <f>((1/(INDEX(E0!J$4:J$28,C110,1)-INDEX(E0!J$4:J$28,D110,1))))*100000000</f>
        <v>0</v>
      </c>
      <c r="F110" s="4" t="str">
        <f>HYPERLINK("http://141.218.60.56/~jnz1568/getInfo.php?workbook=04_01.xlsx&amp;sheet=A0&amp;row=110&amp;col=6&amp;number=&amp;sourceID=18","")</f>
        <v/>
      </c>
      <c r="G110" s="4" t="str">
        <f>HYPERLINK("http://141.218.60.56/~jnz1568/getInfo.php?workbook=04_01.xlsx&amp;sheet=A0&amp;row=110&amp;col=7&amp;number==&amp;sourceID=11","=")</f>
        <v>=</v>
      </c>
      <c r="H110" s="4" t="str">
        <f>HYPERLINK("http://141.218.60.56/~jnz1568/getInfo.php?workbook=04_01.xlsx&amp;sheet=A0&amp;row=110&amp;col=8&amp;number=&amp;sourceID=11","")</f>
        <v/>
      </c>
      <c r="I110" s="4" t="str">
        <f>HYPERLINK("http://141.218.60.56/~jnz1568/getInfo.php?workbook=04_01.xlsx&amp;sheet=A0&amp;row=110&amp;col=9&amp;number=23711&amp;sourceID=11","23711")</f>
        <v>23711</v>
      </c>
      <c r="J110" s="4" t="str">
        <f>HYPERLINK("http://141.218.60.56/~jnz1568/getInfo.php?workbook=04_01.xlsx&amp;sheet=A0&amp;row=110&amp;col=10&amp;number=&amp;sourceID=11","")</f>
        <v/>
      </c>
      <c r="K110" s="4" t="str">
        <f>HYPERLINK("http://141.218.60.56/~jnz1568/getInfo.php?workbook=04_01.xlsx&amp;sheet=A0&amp;row=110&amp;col=11&amp;number=&amp;sourceID=11","")</f>
        <v/>
      </c>
      <c r="L110" s="4" t="str">
        <f>HYPERLINK("http://141.218.60.56/~jnz1568/getInfo.php?workbook=04_01.xlsx&amp;sheet=A0&amp;row=110&amp;col=12&amp;number=&amp;sourceID=11","")</f>
        <v/>
      </c>
      <c r="M110" s="4" t="str">
        <f>HYPERLINK("http://141.218.60.56/~jnz1568/getInfo.php?workbook=04_01.xlsx&amp;sheet=A0&amp;row=110&amp;col=13&amp;number=2.1796e-06&amp;sourceID=11","2.1796e-06")</f>
        <v>2.1796e-06</v>
      </c>
      <c r="N110" s="4" t="str">
        <f>HYPERLINK("http://141.218.60.56/~jnz1568/getInfo.php?workbook=04_01.xlsx&amp;sheet=A0&amp;row=110&amp;col=14&amp;number=23713&amp;sourceID=12","23713")</f>
        <v>23713</v>
      </c>
      <c r="O110" s="4" t="str">
        <f>HYPERLINK("http://141.218.60.56/~jnz1568/getInfo.php?workbook=04_01.xlsx&amp;sheet=A0&amp;row=110&amp;col=15&amp;number=&amp;sourceID=12","")</f>
        <v/>
      </c>
      <c r="P110" s="4" t="str">
        <f>HYPERLINK("http://141.218.60.56/~jnz1568/getInfo.php?workbook=04_01.xlsx&amp;sheet=A0&amp;row=110&amp;col=16&amp;number=23713&amp;sourceID=12","23713")</f>
        <v>23713</v>
      </c>
      <c r="Q110" s="4" t="str">
        <f>HYPERLINK("http://141.218.60.56/~jnz1568/getInfo.php?workbook=04_01.xlsx&amp;sheet=A0&amp;row=110&amp;col=17&amp;number=&amp;sourceID=12","")</f>
        <v/>
      </c>
      <c r="R110" s="4" t="str">
        <f>HYPERLINK("http://141.218.60.56/~jnz1568/getInfo.php?workbook=04_01.xlsx&amp;sheet=A0&amp;row=110&amp;col=18&amp;number=&amp;sourceID=12","")</f>
        <v/>
      </c>
      <c r="S110" s="4" t="str">
        <f>HYPERLINK("http://141.218.60.56/~jnz1568/getInfo.php?workbook=04_01.xlsx&amp;sheet=A0&amp;row=110&amp;col=19&amp;number=&amp;sourceID=12","")</f>
        <v/>
      </c>
      <c r="T110" s="4" t="str">
        <f>HYPERLINK("http://141.218.60.56/~jnz1568/getInfo.php?workbook=04_01.xlsx&amp;sheet=A0&amp;row=110&amp;col=20&amp;number=2.1798e-06&amp;sourceID=12","2.1798e-06")</f>
        <v>2.1798e-06</v>
      </c>
      <c r="U110" s="4" t="str">
        <f>HYPERLINK("http://141.218.60.56/~jnz1568/getInfo.php?workbook=04_01.xlsx&amp;sheet=A0&amp;row=110&amp;col=21&amp;number=&amp;sourceID=20","")</f>
        <v/>
      </c>
    </row>
    <row r="111" spans="1:21">
      <c r="A111" s="3">
        <v>4</v>
      </c>
      <c r="B111" s="3">
        <v>1</v>
      </c>
      <c r="C111" s="3">
        <v>16</v>
      </c>
      <c r="D111" s="3">
        <v>9</v>
      </c>
      <c r="E111" s="3">
        <f>((1/(INDEX(E0!J$4:J$28,C111,1)-INDEX(E0!J$4:J$28,D111,1))))*100000000</f>
        <v>0</v>
      </c>
      <c r="F111" s="4" t="str">
        <f>HYPERLINK("http://141.218.60.56/~jnz1568/getInfo.php?workbook=04_01.xlsx&amp;sheet=A0&amp;row=111&amp;col=6&amp;number=&amp;sourceID=18","")</f>
        <v/>
      </c>
      <c r="G111" s="4" t="str">
        <f>HYPERLINK("http://141.218.60.56/~jnz1568/getInfo.php?workbook=04_01.xlsx&amp;sheet=A0&amp;row=111&amp;col=7&amp;number==&amp;sourceID=11","=")</f>
        <v>=</v>
      </c>
      <c r="H111" s="4" t="str">
        <f>HYPERLINK("http://141.218.60.56/~jnz1568/getInfo.php?workbook=04_01.xlsx&amp;sheet=A0&amp;row=111&amp;col=8&amp;number=3531400000&amp;sourceID=11","3531400000")</f>
        <v>3531400000</v>
      </c>
      <c r="I111" s="4" t="str">
        <f>HYPERLINK("http://141.218.60.56/~jnz1568/getInfo.php?workbook=04_01.xlsx&amp;sheet=A0&amp;row=111&amp;col=9&amp;number=&amp;sourceID=11","")</f>
        <v/>
      </c>
      <c r="J111" s="4" t="str">
        <f>HYPERLINK("http://141.218.60.56/~jnz1568/getInfo.php?workbook=04_01.xlsx&amp;sheet=A0&amp;row=111&amp;col=10&amp;number=0.026494&amp;sourceID=11","0.026494")</f>
        <v>0.026494</v>
      </c>
      <c r="K111" s="4" t="str">
        <f>HYPERLINK("http://141.218.60.56/~jnz1568/getInfo.php?workbook=04_01.xlsx&amp;sheet=A0&amp;row=111&amp;col=11&amp;number=&amp;sourceID=11","")</f>
        <v/>
      </c>
      <c r="L111" s="4" t="str">
        <f>HYPERLINK("http://141.218.60.56/~jnz1568/getInfo.php?workbook=04_01.xlsx&amp;sheet=A0&amp;row=111&amp;col=12&amp;number=0.55658&amp;sourceID=11","0.55658")</f>
        <v>0.55658</v>
      </c>
      <c r="M111" s="4" t="str">
        <f>HYPERLINK("http://141.218.60.56/~jnz1568/getInfo.php?workbook=04_01.xlsx&amp;sheet=A0&amp;row=111&amp;col=13&amp;number=&amp;sourceID=11","")</f>
        <v/>
      </c>
      <c r="N111" s="4" t="str">
        <f>HYPERLINK("http://141.218.60.56/~jnz1568/getInfo.php?workbook=04_01.xlsx&amp;sheet=A0&amp;row=111&amp;col=14&amp;number=3531600000&amp;sourceID=12","3531600000")</f>
        <v>3531600000</v>
      </c>
      <c r="O111" s="4" t="str">
        <f>HYPERLINK("http://141.218.60.56/~jnz1568/getInfo.php?workbook=04_01.xlsx&amp;sheet=A0&amp;row=111&amp;col=15&amp;number=3531600000&amp;sourceID=12","3531600000")</f>
        <v>3531600000</v>
      </c>
      <c r="P111" s="4" t="str">
        <f>HYPERLINK("http://141.218.60.56/~jnz1568/getInfo.php?workbook=04_01.xlsx&amp;sheet=A0&amp;row=111&amp;col=16&amp;number=&amp;sourceID=12","")</f>
        <v/>
      </c>
      <c r="Q111" s="4" t="str">
        <f>HYPERLINK("http://141.218.60.56/~jnz1568/getInfo.php?workbook=04_01.xlsx&amp;sheet=A0&amp;row=111&amp;col=17&amp;number=0.026495&amp;sourceID=12","0.026495")</f>
        <v>0.026495</v>
      </c>
      <c r="R111" s="4" t="str">
        <f>HYPERLINK("http://141.218.60.56/~jnz1568/getInfo.php?workbook=04_01.xlsx&amp;sheet=A0&amp;row=111&amp;col=18&amp;number=&amp;sourceID=12","")</f>
        <v/>
      </c>
      <c r="S111" s="4" t="str">
        <f>HYPERLINK("http://141.218.60.56/~jnz1568/getInfo.php?workbook=04_01.xlsx&amp;sheet=A0&amp;row=111&amp;col=19&amp;number=0.55662&amp;sourceID=12","0.55662")</f>
        <v>0.55662</v>
      </c>
      <c r="T111" s="4" t="str">
        <f>HYPERLINK("http://141.218.60.56/~jnz1568/getInfo.php?workbook=04_01.xlsx&amp;sheet=A0&amp;row=111&amp;col=20&amp;number=&amp;sourceID=12","")</f>
        <v/>
      </c>
      <c r="U111" s="4" t="str">
        <f>HYPERLINK("http://141.218.60.56/~jnz1568/getInfo.php?workbook=04_01.xlsx&amp;sheet=A0&amp;row=111&amp;col=21&amp;number=&amp;sourceID=20","")</f>
        <v/>
      </c>
    </row>
    <row r="112" spans="1:21">
      <c r="A112" s="3">
        <v>4</v>
      </c>
      <c r="B112" s="3">
        <v>1</v>
      </c>
      <c r="C112" s="3">
        <v>16</v>
      </c>
      <c r="D112" s="3">
        <v>10</v>
      </c>
      <c r="E112" s="3">
        <f>((1/(INDEX(E0!J$4:J$28,C112,1)-INDEX(E0!J$4:J$28,D112,1))))*100000000</f>
        <v>0</v>
      </c>
      <c r="F112" s="4" t="str">
        <f>HYPERLINK("http://141.218.60.56/~jnz1568/getInfo.php?workbook=04_01.xlsx&amp;sheet=A0&amp;row=112&amp;col=6&amp;number=&amp;sourceID=18","")</f>
        <v/>
      </c>
      <c r="G112" s="4" t="str">
        <f>HYPERLINK("http://141.218.60.56/~jnz1568/getInfo.php?workbook=04_01.xlsx&amp;sheet=A0&amp;row=112&amp;col=7&amp;number==&amp;sourceID=11","=")</f>
        <v>=</v>
      </c>
      <c r="H112" s="4" t="str">
        <f>HYPERLINK("http://141.218.60.56/~jnz1568/getInfo.php?workbook=04_01.xlsx&amp;sheet=A0&amp;row=112&amp;col=8&amp;number=&amp;sourceID=11","")</f>
        <v/>
      </c>
      <c r="I112" s="4" t="str">
        <f>HYPERLINK("http://141.218.60.56/~jnz1568/getInfo.php?workbook=04_01.xlsx&amp;sheet=A0&amp;row=112&amp;col=9&amp;number=&amp;sourceID=11","")</f>
        <v/>
      </c>
      <c r="J112" s="4" t="str">
        <f>HYPERLINK("http://141.218.60.56/~jnz1568/getInfo.php?workbook=04_01.xlsx&amp;sheet=A0&amp;row=112&amp;col=10&amp;number=&amp;sourceID=11","")</f>
        <v/>
      </c>
      <c r="K112" s="4" t="str">
        <f>HYPERLINK("http://141.218.60.56/~jnz1568/getInfo.php?workbook=04_01.xlsx&amp;sheet=A0&amp;row=112&amp;col=11&amp;number=&amp;sourceID=11","")</f>
        <v/>
      </c>
      <c r="L112" s="4" t="str">
        <f>HYPERLINK("http://141.218.60.56/~jnz1568/getInfo.php?workbook=04_01.xlsx&amp;sheet=A0&amp;row=112&amp;col=12&amp;number=&amp;sourceID=11","")</f>
        <v/>
      </c>
      <c r="M112" s="4" t="str">
        <f>HYPERLINK("http://141.218.60.56/~jnz1568/getInfo.php?workbook=04_01.xlsx&amp;sheet=A0&amp;row=112&amp;col=13&amp;number=0&amp;sourceID=11","0")</f>
        <v>0</v>
      </c>
      <c r="N112" s="4" t="str">
        <f>HYPERLINK("http://141.218.60.56/~jnz1568/getInfo.php?workbook=04_01.xlsx&amp;sheet=A0&amp;row=112&amp;col=14&amp;number=0&amp;sourceID=12","0")</f>
        <v>0</v>
      </c>
      <c r="O112" s="4" t="str">
        <f>HYPERLINK("http://141.218.60.56/~jnz1568/getInfo.php?workbook=04_01.xlsx&amp;sheet=A0&amp;row=112&amp;col=15&amp;number=&amp;sourceID=12","")</f>
        <v/>
      </c>
      <c r="P112" s="4" t="str">
        <f>HYPERLINK("http://141.218.60.56/~jnz1568/getInfo.php?workbook=04_01.xlsx&amp;sheet=A0&amp;row=112&amp;col=16&amp;number=&amp;sourceID=12","")</f>
        <v/>
      </c>
      <c r="Q112" s="4" t="str">
        <f>HYPERLINK("http://141.218.60.56/~jnz1568/getInfo.php?workbook=04_01.xlsx&amp;sheet=A0&amp;row=112&amp;col=17&amp;number=&amp;sourceID=12","")</f>
        <v/>
      </c>
      <c r="R112" s="4" t="str">
        <f>HYPERLINK("http://141.218.60.56/~jnz1568/getInfo.php?workbook=04_01.xlsx&amp;sheet=A0&amp;row=112&amp;col=18&amp;number=&amp;sourceID=12","")</f>
        <v/>
      </c>
      <c r="S112" s="4" t="str">
        <f>HYPERLINK("http://141.218.60.56/~jnz1568/getInfo.php?workbook=04_01.xlsx&amp;sheet=A0&amp;row=112&amp;col=19&amp;number=&amp;sourceID=12","")</f>
        <v/>
      </c>
      <c r="T112" s="4" t="str">
        <f>HYPERLINK("http://141.218.60.56/~jnz1568/getInfo.php?workbook=04_01.xlsx&amp;sheet=A0&amp;row=112&amp;col=20&amp;number=0&amp;sourceID=12","0")</f>
        <v>0</v>
      </c>
      <c r="U112" s="4" t="str">
        <f>HYPERLINK("http://141.218.60.56/~jnz1568/getInfo.php?workbook=04_01.xlsx&amp;sheet=A0&amp;row=112&amp;col=21&amp;number=&amp;sourceID=20","")</f>
        <v/>
      </c>
    </row>
    <row r="113" spans="1:21">
      <c r="A113" s="3">
        <v>4</v>
      </c>
      <c r="B113" s="3">
        <v>1</v>
      </c>
      <c r="C113" s="3">
        <v>16</v>
      </c>
      <c r="D113" s="3">
        <v>11</v>
      </c>
      <c r="E113" s="3">
        <f>((1/(INDEX(E0!J$4:J$28,C113,1)-INDEX(E0!J$4:J$28,D113,1))))*100000000</f>
        <v>0</v>
      </c>
      <c r="F113" s="4" t="str">
        <f>HYPERLINK("http://141.218.60.56/~jnz1568/getInfo.php?workbook=04_01.xlsx&amp;sheet=A0&amp;row=113&amp;col=6&amp;number=&amp;sourceID=18","")</f>
        <v/>
      </c>
      <c r="G113" s="4" t="str">
        <f>HYPERLINK("http://141.218.60.56/~jnz1568/getInfo.php?workbook=04_01.xlsx&amp;sheet=A0&amp;row=113&amp;col=7&amp;number==&amp;sourceID=11","=")</f>
        <v>=</v>
      </c>
      <c r="H113" s="4" t="str">
        <f>HYPERLINK("http://141.218.60.56/~jnz1568/getInfo.php?workbook=04_01.xlsx&amp;sheet=A0&amp;row=113&amp;col=8&amp;number=&amp;sourceID=11","")</f>
        <v/>
      </c>
      <c r="I113" s="4" t="str">
        <f>HYPERLINK("http://141.218.60.56/~jnz1568/getInfo.php?workbook=04_01.xlsx&amp;sheet=A0&amp;row=113&amp;col=9&amp;number=&amp;sourceID=11","")</f>
        <v/>
      </c>
      <c r="J113" s="4" t="str">
        <f>HYPERLINK("http://141.218.60.56/~jnz1568/getInfo.php?workbook=04_01.xlsx&amp;sheet=A0&amp;row=113&amp;col=10&amp;number=0&amp;sourceID=11","0")</f>
        <v>0</v>
      </c>
      <c r="K113" s="4" t="str">
        <f>HYPERLINK("http://141.218.60.56/~jnz1568/getInfo.php?workbook=04_01.xlsx&amp;sheet=A0&amp;row=113&amp;col=11&amp;number=&amp;sourceID=11","")</f>
        <v/>
      </c>
      <c r="L113" s="4" t="str">
        <f>HYPERLINK("http://141.218.60.56/~jnz1568/getInfo.php?workbook=04_01.xlsx&amp;sheet=A0&amp;row=113&amp;col=12&amp;number=&amp;sourceID=11","")</f>
        <v/>
      </c>
      <c r="M113" s="4" t="str">
        <f>HYPERLINK("http://141.218.60.56/~jnz1568/getInfo.php?workbook=04_01.xlsx&amp;sheet=A0&amp;row=113&amp;col=13&amp;number=&amp;sourceID=11","")</f>
        <v/>
      </c>
      <c r="N113" s="4" t="str">
        <f>HYPERLINK("http://141.218.60.56/~jnz1568/getInfo.php?workbook=04_01.xlsx&amp;sheet=A0&amp;row=113&amp;col=14&amp;number=0&amp;sourceID=12","0")</f>
        <v>0</v>
      </c>
      <c r="O113" s="4" t="str">
        <f>HYPERLINK("http://141.218.60.56/~jnz1568/getInfo.php?workbook=04_01.xlsx&amp;sheet=A0&amp;row=113&amp;col=15&amp;number=&amp;sourceID=12","")</f>
        <v/>
      </c>
      <c r="P113" s="4" t="str">
        <f>HYPERLINK("http://141.218.60.56/~jnz1568/getInfo.php?workbook=04_01.xlsx&amp;sheet=A0&amp;row=113&amp;col=16&amp;number=&amp;sourceID=12","")</f>
        <v/>
      </c>
      <c r="Q113" s="4" t="str">
        <f>HYPERLINK("http://141.218.60.56/~jnz1568/getInfo.php?workbook=04_01.xlsx&amp;sheet=A0&amp;row=113&amp;col=17&amp;number=0&amp;sourceID=12","0")</f>
        <v>0</v>
      </c>
      <c r="R113" s="4" t="str">
        <f>HYPERLINK("http://141.218.60.56/~jnz1568/getInfo.php?workbook=04_01.xlsx&amp;sheet=A0&amp;row=113&amp;col=18&amp;number=&amp;sourceID=12","")</f>
        <v/>
      </c>
      <c r="S113" s="4" t="str">
        <f>HYPERLINK("http://141.218.60.56/~jnz1568/getInfo.php?workbook=04_01.xlsx&amp;sheet=A0&amp;row=113&amp;col=19&amp;number=&amp;sourceID=12","")</f>
        <v/>
      </c>
      <c r="T113" s="4" t="str">
        <f>HYPERLINK("http://141.218.60.56/~jnz1568/getInfo.php?workbook=04_01.xlsx&amp;sheet=A0&amp;row=113&amp;col=20&amp;number=&amp;sourceID=12","")</f>
        <v/>
      </c>
      <c r="U113" s="4" t="str">
        <f>HYPERLINK("http://141.218.60.56/~jnz1568/getInfo.php?workbook=04_01.xlsx&amp;sheet=A0&amp;row=113&amp;col=21&amp;number=&amp;sourceID=20","")</f>
        <v/>
      </c>
    </row>
    <row r="114" spans="1:21">
      <c r="A114" s="3">
        <v>4</v>
      </c>
      <c r="B114" s="3">
        <v>1</v>
      </c>
      <c r="C114" s="3">
        <v>16</v>
      </c>
      <c r="D114" s="3">
        <v>12</v>
      </c>
      <c r="E114" s="3">
        <f>((1/(INDEX(E0!J$4:J$28,C114,1)-INDEX(E0!J$4:J$28,D114,1))))*100000000</f>
        <v>0</v>
      </c>
      <c r="F114" s="4" t="str">
        <f>HYPERLINK("http://141.218.60.56/~jnz1568/getInfo.php?workbook=04_01.xlsx&amp;sheet=A0&amp;row=114&amp;col=6&amp;number=&amp;sourceID=18","")</f>
        <v/>
      </c>
      <c r="G114" s="4" t="str">
        <f>HYPERLINK("http://141.218.60.56/~jnz1568/getInfo.php?workbook=04_01.xlsx&amp;sheet=A0&amp;row=114&amp;col=7&amp;number==&amp;sourceID=11","=")</f>
        <v>=</v>
      </c>
      <c r="H114" s="4" t="str">
        <f>HYPERLINK("http://141.218.60.56/~jnz1568/getInfo.php?workbook=04_01.xlsx&amp;sheet=A0&amp;row=114&amp;col=8&amp;number=&amp;sourceID=11","")</f>
        <v/>
      </c>
      <c r="I114" s="4" t="str">
        <f>HYPERLINK("http://141.218.60.56/~jnz1568/getInfo.php?workbook=04_01.xlsx&amp;sheet=A0&amp;row=114&amp;col=9&amp;number=&amp;sourceID=11","")</f>
        <v/>
      </c>
      <c r="J114" s="4" t="str">
        <f>HYPERLINK("http://141.218.60.56/~jnz1568/getInfo.php?workbook=04_01.xlsx&amp;sheet=A0&amp;row=114&amp;col=10&amp;number=0&amp;sourceID=11","0")</f>
        <v>0</v>
      </c>
      <c r="K114" s="4" t="str">
        <f>HYPERLINK("http://141.218.60.56/~jnz1568/getInfo.php?workbook=04_01.xlsx&amp;sheet=A0&amp;row=114&amp;col=11&amp;number=&amp;sourceID=11","")</f>
        <v/>
      </c>
      <c r="L114" s="4" t="str">
        <f>HYPERLINK("http://141.218.60.56/~jnz1568/getInfo.php?workbook=04_01.xlsx&amp;sheet=A0&amp;row=114&amp;col=12&amp;number=0&amp;sourceID=11","0")</f>
        <v>0</v>
      </c>
      <c r="M114" s="4" t="str">
        <f>HYPERLINK("http://141.218.60.56/~jnz1568/getInfo.php?workbook=04_01.xlsx&amp;sheet=A0&amp;row=114&amp;col=13&amp;number=&amp;sourceID=11","")</f>
        <v/>
      </c>
      <c r="N114" s="4" t="str">
        <f>HYPERLINK("http://141.218.60.56/~jnz1568/getInfo.php?workbook=04_01.xlsx&amp;sheet=A0&amp;row=114&amp;col=14&amp;number=0&amp;sourceID=12","0")</f>
        <v>0</v>
      </c>
      <c r="O114" s="4" t="str">
        <f>HYPERLINK("http://141.218.60.56/~jnz1568/getInfo.php?workbook=04_01.xlsx&amp;sheet=A0&amp;row=114&amp;col=15&amp;number=&amp;sourceID=12","")</f>
        <v/>
      </c>
      <c r="P114" s="4" t="str">
        <f>HYPERLINK("http://141.218.60.56/~jnz1568/getInfo.php?workbook=04_01.xlsx&amp;sheet=A0&amp;row=114&amp;col=16&amp;number=&amp;sourceID=12","")</f>
        <v/>
      </c>
      <c r="Q114" s="4" t="str">
        <f>HYPERLINK("http://141.218.60.56/~jnz1568/getInfo.php?workbook=04_01.xlsx&amp;sheet=A0&amp;row=114&amp;col=17&amp;number=0&amp;sourceID=12","0")</f>
        <v>0</v>
      </c>
      <c r="R114" s="4" t="str">
        <f>HYPERLINK("http://141.218.60.56/~jnz1568/getInfo.php?workbook=04_01.xlsx&amp;sheet=A0&amp;row=114&amp;col=18&amp;number=&amp;sourceID=12","")</f>
        <v/>
      </c>
      <c r="S114" s="4" t="str">
        <f>HYPERLINK("http://141.218.60.56/~jnz1568/getInfo.php?workbook=04_01.xlsx&amp;sheet=A0&amp;row=114&amp;col=19&amp;number=0&amp;sourceID=12","0")</f>
        <v>0</v>
      </c>
      <c r="T114" s="4" t="str">
        <f>HYPERLINK("http://141.218.60.56/~jnz1568/getInfo.php?workbook=04_01.xlsx&amp;sheet=A0&amp;row=114&amp;col=20&amp;number=&amp;sourceID=12","")</f>
        <v/>
      </c>
      <c r="U114" s="4" t="str">
        <f>HYPERLINK("http://141.218.60.56/~jnz1568/getInfo.php?workbook=04_01.xlsx&amp;sheet=A0&amp;row=114&amp;col=21&amp;number=&amp;sourceID=20","")</f>
        <v/>
      </c>
    </row>
    <row r="115" spans="1:21">
      <c r="A115" s="3">
        <v>4</v>
      </c>
      <c r="B115" s="3">
        <v>1</v>
      </c>
      <c r="C115" s="3">
        <v>16</v>
      </c>
      <c r="D115" s="3">
        <v>13</v>
      </c>
      <c r="E115" s="3">
        <f>((1/(INDEX(E0!J$4:J$28,C115,1)-INDEX(E0!J$4:J$28,D115,1))))*100000000</f>
        <v>0</v>
      </c>
      <c r="F115" s="4" t="str">
        <f>HYPERLINK("http://141.218.60.56/~jnz1568/getInfo.php?workbook=04_01.xlsx&amp;sheet=A0&amp;row=115&amp;col=6&amp;number=&amp;sourceID=18","")</f>
        <v/>
      </c>
      <c r="G115" s="4" t="str">
        <f>HYPERLINK("http://141.218.60.56/~jnz1568/getInfo.php?workbook=04_01.xlsx&amp;sheet=A0&amp;row=115&amp;col=7&amp;number==&amp;sourceID=11","=")</f>
        <v>=</v>
      </c>
      <c r="H115" s="4" t="str">
        <f>HYPERLINK("http://141.218.60.56/~jnz1568/getInfo.php?workbook=04_01.xlsx&amp;sheet=A0&amp;row=115&amp;col=8&amp;number=&amp;sourceID=11","")</f>
        <v/>
      </c>
      <c r="I115" s="4" t="str">
        <f>HYPERLINK("http://141.218.60.56/~jnz1568/getInfo.php?workbook=04_01.xlsx&amp;sheet=A0&amp;row=115&amp;col=9&amp;number=0&amp;sourceID=11","0")</f>
        <v>0</v>
      </c>
      <c r="J115" s="4" t="str">
        <f>HYPERLINK("http://141.218.60.56/~jnz1568/getInfo.php?workbook=04_01.xlsx&amp;sheet=A0&amp;row=115&amp;col=10&amp;number=&amp;sourceID=11","")</f>
        <v/>
      </c>
      <c r="K115" s="4" t="str">
        <f>HYPERLINK("http://141.218.60.56/~jnz1568/getInfo.php?workbook=04_01.xlsx&amp;sheet=A0&amp;row=115&amp;col=11&amp;number=&amp;sourceID=11","")</f>
        <v/>
      </c>
      <c r="L115" s="4" t="str">
        <f>HYPERLINK("http://141.218.60.56/~jnz1568/getInfo.php?workbook=04_01.xlsx&amp;sheet=A0&amp;row=115&amp;col=12&amp;number=&amp;sourceID=11","")</f>
        <v/>
      </c>
      <c r="M115" s="4" t="str">
        <f>HYPERLINK("http://141.218.60.56/~jnz1568/getInfo.php?workbook=04_01.xlsx&amp;sheet=A0&amp;row=115&amp;col=13&amp;number=0&amp;sourceID=11","0")</f>
        <v>0</v>
      </c>
      <c r="N115" s="4" t="str">
        <f>HYPERLINK("http://141.218.60.56/~jnz1568/getInfo.php?workbook=04_01.xlsx&amp;sheet=A0&amp;row=115&amp;col=14&amp;number=0&amp;sourceID=12","0")</f>
        <v>0</v>
      </c>
      <c r="O115" s="4" t="str">
        <f>HYPERLINK("http://141.218.60.56/~jnz1568/getInfo.php?workbook=04_01.xlsx&amp;sheet=A0&amp;row=115&amp;col=15&amp;number=&amp;sourceID=12","")</f>
        <v/>
      </c>
      <c r="P115" s="4" t="str">
        <f>HYPERLINK("http://141.218.60.56/~jnz1568/getInfo.php?workbook=04_01.xlsx&amp;sheet=A0&amp;row=115&amp;col=16&amp;number=0&amp;sourceID=12","0")</f>
        <v>0</v>
      </c>
      <c r="Q115" s="4" t="str">
        <f>HYPERLINK("http://141.218.60.56/~jnz1568/getInfo.php?workbook=04_01.xlsx&amp;sheet=A0&amp;row=115&amp;col=17&amp;number=&amp;sourceID=12","")</f>
        <v/>
      </c>
      <c r="R115" s="4" t="str">
        <f>HYPERLINK("http://141.218.60.56/~jnz1568/getInfo.php?workbook=04_01.xlsx&amp;sheet=A0&amp;row=115&amp;col=18&amp;number=&amp;sourceID=12","")</f>
        <v/>
      </c>
      <c r="S115" s="4" t="str">
        <f>HYPERLINK("http://141.218.60.56/~jnz1568/getInfo.php?workbook=04_01.xlsx&amp;sheet=A0&amp;row=115&amp;col=19&amp;number=&amp;sourceID=12","")</f>
        <v/>
      </c>
      <c r="T115" s="4" t="str">
        <f>HYPERLINK("http://141.218.60.56/~jnz1568/getInfo.php?workbook=04_01.xlsx&amp;sheet=A0&amp;row=115&amp;col=20&amp;number=0&amp;sourceID=12","0")</f>
        <v>0</v>
      </c>
      <c r="U115" s="4" t="str">
        <f>HYPERLINK("http://141.218.60.56/~jnz1568/getInfo.php?workbook=04_01.xlsx&amp;sheet=A0&amp;row=115&amp;col=21&amp;number=&amp;sourceID=20","")</f>
        <v/>
      </c>
    </row>
    <row r="116" spans="1:21">
      <c r="A116" s="3">
        <v>4</v>
      </c>
      <c r="B116" s="3">
        <v>1</v>
      </c>
      <c r="C116" s="3">
        <v>16</v>
      </c>
      <c r="D116" s="3">
        <v>14</v>
      </c>
      <c r="E116" s="3">
        <f>((1/(INDEX(E0!J$4:J$28,C116,1)-INDEX(E0!J$4:J$28,D116,1))))*100000000</f>
        <v>0</v>
      </c>
      <c r="F116" s="4" t="str">
        <f>HYPERLINK("http://141.218.60.56/~jnz1568/getInfo.php?workbook=04_01.xlsx&amp;sheet=A0&amp;row=116&amp;col=6&amp;number=&amp;sourceID=18","")</f>
        <v/>
      </c>
      <c r="G116" s="4" t="str">
        <f>HYPERLINK("http://141.218.60.56/~jnz1568/getInfo.php?workbook=04_01.xlsx&amp;sheet=A0&amp;row=116&amp;col=7&amp;number==&amp;sourceID=11","=")</f>
        <v>=</v>
      </c>
      <c r="H116" s="4" t="str">
        <f>HYPERLINK("http://141.218.60.56/~jnz1568/getInfo.php?workbook=04_01.xlsx&amp;sheet=A0&amp;row=116&amp;col=8&amp;number=&amp;sourceID=11","")</f>
        <v/>
      </c>
      <c r="I116" s="4" t="str">
        <f>HYPERLINK("http://141.218.60.56/~jnz1568/getInfo.php?workbook=04_01.xlsx&amp;sheet=A0&amp;row=116&amp;col=9&amp;number=0&amp;sourceID=11","0")</f>
        <v>0</v>
      </c>
      <c r="J116" s="4" t="str">
        <f>HYPERLINK("http://141.218.60.56/~jnz1568/getInfo.php?workbook=04_01.xlsx&amp;sheet=A0&amp;row=116&amp;col=10&amp;number=&amp;sourceID=11","")</f>
        <v/>
      </c>
      <c r="K116" s="4" t="str">
        <f>HYPERLINK("http://141.218.60.56/~jnz1568/getInfo.php?workbook=04_01.xlsx&amp;sheet=A0&amp;row=116&amp;col=11&amp;number=8.5448e-11&amp;sourceID=11","8.5448e-11")</f>
        <v>8.5448e-11</v>
      </c>
      <c r="L116" s="4" t="str">
        <f>HYPERLINK("http://141.218.60.56/~jnz1568/getInfo.php?workbook=04_01.xlsx&amp;sheet=A0&amp;row=116&amp;col=12&amp;number=&amp;sourceID=11","")</f>
        <v/>
      </c>
      <c r="M116" s="4" t="str">
        <f>HYPERLINK("http://141.218.60.56/~jnz1568/getInfo.php?workbook=04_01.xlsx&amp;sheet=A0&amp;row=116&amp;col=13&amp;number=0&amp;sourceID=11","0")</f>
        <v>0</v>
      </c>
      <c r="N116" s="4" t="str">
        <f>HYPERLINK("http://141.218.60.56/~jnz1568/getInfo.php?workbook=04_01.xlsx&amp;sheet=A0&amp;row=116&amp;col=14&amp;number=8.5459e-11&amp;sourceID=12","8.5459e-11")</f>
        <v>8.5459e-11</v>
      </c>
      <c r="O116" s="4" t="str">
        <f>HYPERLINK("http://141.218.60.56/~jnz1568/getInfo.php?workbook=04_01.xlsx&amp;sheet=A0&amp;row=116&amp;col=15&amp;number=&amp;sourceID=12","")</f>
        <v/>
      </c>
      <c r="P116" s="4" t="str">
        <f>HYPERLINK("http://141.218.60.56/~jnz1568/getInfo.php?workbook=04_01.xlsx&amp;sheet=A0&amp;row=116&amp;col=16&amp;number=0&amp;sourceID=12","0")</f>
        <v>0</v>
      </c>
      <c r="Q116" s="4" t="str">
        <f>HYPERLINK("http://141.218.60.56/~jnz1568/getInfo.php?workbook=04_01.xlsx&amp;sheet=A0&amp;row=116&amp;col=17&amp;number=&amp;sourceID=12","")</f>
        <v/>
      </c>
      <c r="R116" s="4" t="str">
        <f>HYPERLINK("http://141.218.60.56/~jnz1568/getInfo.php?workbook=04_01.xlsx&amp;sheet=A0&amp;row=116&amp;col=18&amp;number=8.5459e-11&amp;sourceID=12","8.5459e-11")</f>
        <v>8.5459e-11</v>
      </c>
      <c r="S116" s="4" t="str">
        <f>HYPERLINK("http://141.218.60.56/~jnz1568/getInfo.php?workbook=04_01.xlsx&amp;sheet=A0&amp;row=116&amp;col=19&amp;number=&amp;sourceID=12","")</f>
        <v/>
      </c>
      <c r="T116" s="4" t="str">
        <f>HYPERLINK("http://141.218.60.56/~jnz1568/getInfo.php?workbook=04_01.xlsx&amp;sheet=A0&amp;row=116&amp;col=20&amp;number=0&amp;sourceID=12","0")</f>
        <v>0</v>
      </c>
      <c r="U116" s="4" t="str">
        <f>HYPERLINK("http://141.218.60.56/~jnz1568/getInfo.php?workbook=04_01.xlsx&amp;sheet=A0&amp;row=116&amp;col=21&amp;number=&amp;sourceID=20","")</f>
        <v/>
      </c>
    </row>
    <row r="117" spans="1:21">
      <c r="A117" s="3">
        <v>4</v>
      </c>
      <c r="B117" s="3">
        <v>1</v>
      </c>
      <c r="C117" s="3">
        <v>16</v>
      </c>
      <c r="D117" s="3">
        <v>15</v>
      </c>
      <c r="E117" s="3">
        <f>((1/(INDEX(E0!J$4:J$28,C117,1)-INDEX(E0!J$4:J$28,D117,1))))*100000000</f>
        <v>0</v>
      </c>
      <c r="F117" s="4" t="str">
        <f>HYPERLINK("http://141.218.60.56/~jnz1568/getInfo.php?workbook=04_01.xlsx&amp;sheet=A0&amp;row=117&amp;col=6&amp;number=&amp;sourceID=18","")</f>
        <v/>
      </c>
      <c r="G117" s="4" t="str">
        <f>HYPERLINK("http://141.218.60.56/~jnz1568/getInfo.php?workbook=04_01.xlsx&amp;sheet=A0&amp;row=117&amp;col=7&amp;number==&amp;sourceID=11","=")</f>
        <v>=</v>
      </c>
      <c r="H117" s="4" t="str">
        <f>HYPERLINK("http://141.218.60.56/~jnz1568/getInfo.php?workbook=04_01.xlsx&amp;sheet=A0&amp;row=117&amp;col=8&amp;number=0.00010109&amp;sourceID=11","0.00010109")</f>
        <v>0.00010109</v>
      </c>
      <c r="I117" s="4" t="str">
        <f>HYPERLINK("http://141.218.60.56/~jnz1568/getInfo.php?workbook=04_01.xlsx&amp;sheet=A0&amp;row=117&amp;col=9&amp;number=&amp;sourceID=11","")</f>
        <v/>
      </c>
      <c r="J117" s="4" t="str">
        <f>HYPERLINK("http://141.218.60.56/~jnz1568/getInfo.php?workbook=04_01.xlsx&amp;sheet=A0&amp;row=117&amp;col=10&amp;number=0&amp;sourceID=11","0")</f>
        <v>0</v>
      </c>
      <c r="K117" s="4" t="str">
        <f>HYPERLINK("http://141.218.60.56/~jnz1568/getInfo.php?workbook=04_01.xlsx&amp;sheet=A0&amp;row=117&amp;col=11&amp;number=&amp;sourceID=11","")</f>
        <v/>
      </c>
      <c r="L117" s="4" t="str">
        <f>HYPERLINK("http://141.218.60.56/~jnz1568/getInfo.php?workbook=04_01.xlsx&amp;sheet=A0&amp;row=117&amp;col=12&amp;number=0&amp;sourceID=11","0")</f>
        <v>0</v>
      </c>
      <c r="M117" s="4" t="str">
        <f>HYPERLINK("http://141.218.60.56/~jnz1568/getInfo.php?workbook=04_01.xlsx&amp;sheet=A0&amp;row=117&amp;col=13&amp;number=&amp;sourceID=11","")</f>
        <v/>
      </c>
      <c r="N117" s="4" t="str">
        <f>HYPERLINK("http://141.218.60.56/~jnz1568/getInfo.php?workbook=04_01.xlsx&amp;sheet=A0&amp;row=117&amp;col=14&amp;number=0.0001011&amp;sourceID=12","0.0001011")</f>
        <v>0.0001011</v>
      </c>
      <c r="O117" s="4" t="str">
        <f>HYPERLINK("http://141.218.60.56/~jnz1568/getInfo.php?workbook=04_01.xlsx&amp;sheet=A0&amp;row=117&amp;col=15&amp;number=0.0001011&amp;sourceID=12","0.0001011")</f>
        <v>0.0001011</v>
      </c>
      <c r="P117" s="4" t="str">
        <f>HYPERLINK("http://141.218.60.56/~jnz1568/getInfo.php?workbook=04_01.xlsx&amp;sheet=A0&amp;row=117&amp;col=16&amp;number=&amp;sourceID=12","")</f>
        <v/>
      </c>
      <c r="Q117" s="4" t="str">
        <f>HYPERLINK("http://141.218.60.56/~jnz1568/getInfo.php?workbook=04_01.xlsx&amp;sheet=A0&amp;row=117&amp;col=17&amp;number=0&amp;sourceID=12","0")</f>
        <v>0</v>
      </c>
      <c r="R117" s="4" t="str">
        <f>HYPERLINK("http://141.218.60.56/~jnz1568/getInfo.php?workbook=04_01.xlsx&amp;sheet=A0&amp;row=117&amp;col=18&amp;number=&amp;sourceID=12","")</f>
        <v/>
      </c>
      <c r="S117" s="4" t="str">
        <f>HYPERLINK("http://141.218.60.56/~jnz1568/getInfo.php?workbook=04_01.xlsx&amp;sheet=A0&amp;row=117&amp;col=19&amp;number=0&amp;sourceID=12","0")</f>
        <v>0</v>
      </c>
      <c r="T117" s="4" t="str">
        <f>HYPERLINK("http://141.218.60.56/~jnz1568/getInfo.php?workbook=04_01.xlsx&amp;sheet=A0&amp;row=117&amp;col=20&amp;number=&amp;sourceID=12","")</f>
        <v/>
      </c>
      <c r="U117" s="4" t="str">
        <f>HYPERLINK("http://141.218.60.56/~jnz1568/getInfo.php?workbook=04_01.xlsx&amp;sheet=A0&amp;row=117&amp;col=21&amp;number=&amp;sourceID=20","")</f>
        <v/>
      </c>
    </row>
    <row r="118" spans="1:21">
      <c r="A118" s="3">
        <v>4</v>
      </c>
      <c r="B118" s="3">
        <v>1</v>
      </c>
      <c r="C118" s="3">
        <v>17</v>
      </c>
      <c r="D118" s="3">
        <v>1</v>
      </c>
      <c r="E118" s="3">
        <f>((1/(INDEX(E0!J$4:J$28,C118,1)-INDEX(E0!J$4:J$28,D118,1))))*100000000</f>
        <v>0</v>
      </c>
      <c r="F118" s="4" t="str">
        <f>HYPERLINK("http://141.218.60.56/~jnz1568/getInfo.php?workbook=04_01.xlsx&amp;sheet=A0&amp;row=118&amp;col=6&amp;number=&amp;sourceID=18","")</f>
        <v/>
      </c>
      <c r="G118" s="4" t="str">
        <f>HYPERLINK("http://141.218.60.56/~jnz1568/getInfo.php?workbook=04_01.xlsx&amp;sheet=A0&amp;row=118&amp;col=7&amp;number==&amp;sourceID=11","=")</f>
        <v>=</v>
      </c>
      <c r="H118" s="4" t="str">
        <f>HYPERLINK("http://141.218.60.56/~jnz1568/getInfo.php?workbook=04_01.xlsx&amp;sheet=A0&amp;row=118&amp;col=8&amp;number=8801600000&amp;sourceID=11","8801600000")</f>
        <v>8801600000</v>
      </c>
      <c r="I118" s="4" t="str">
        <f>HYPERLINK("http://141.218.60.56/~jnz1568/getInfo.php?workbook=04_01.xlsx&amp;sheet=A0&amp;row=118&amp;col=9&amp;number=&amp;sourceID=11","")</f>
        <v/>
      </c>
      <c r="J118" s="4" t="str">
        <f>HYPERLINK("http://141.218.60.56/~jnz1568/getInfo.php?workbook=04_01.xlsx&amp;sheet=A0&amp;row=118&amp;col=10&amp;number=&amp;sourceID=11","")</f>
        <v/>
      </c>
      <c r="K118" s="4" t="str">
        <f>HYPERLINK("http://141.218.60.56/~jnz1568/getInfo.php?workbook=04_01.xlsx&amp;sheet=A0&amp;row=118&amp;col=11&amp;number=&amp;sourceID=11","")</f>
        <v/>
      </c>
      <c r="L118" s="4" t="str">
        <f>HYPERLINK("http://141.218.60.56/~jnz1568/getInfo.php?workbook=04_01.xlsx&amp;sheet=A0&amp;row=118&amp;col=12&amp;number=&amp;sourceID=11","")</f>
        <v/>
      </c>
      <c r="M118" s="4" t="str">
        <f>HYPERLINK("http://141.218.60.56/~jnz1568/getInfo.php?workbook=04_01.xlsx&amp;sheet=A0&amp;row=118&amp;col=13&amp;number=&amp;sourceID=11","")</f>
        <v/>
      </c>
      <c r="N118" s="4" t="str">
        <f>HYPERLINK("http://141.218.60.56/~jnz1568/getInfo.php?workbook=04_01.xlsx&amp;sheet=A0&amp;row=118&amp;col=14&amp;number=8802100000&amp;sourceID=12","8802100000")</f>
        <v>8802100000</v>
      </c>
      <c r="O118" s="4" t="str">
        <f>HYPERLINK("http://141.218.60.56/~jnz1568/getInfo.php?workbook=04_01.xlsx&amp;sheet=A0&amp;row=118&amp;col=15&amp;number=8802100000&amp;sourceID=12","8802100000")</f>
        <v>8802100000</v>
      </c>
      <c r="P118" s="4" t="str">
        <f>HYPERLINK("http://141.218.60.56/~jnz1568/getInfo.php?workbook=04_01.xlsx&amp;sheet=A0&amp;row=118&amp;col=16&amp;number=&amp;sourceID=12","")</f>
        <v/>
      </c>
      <c r="Q118" s="4" t="str">
        <f>HYPERLINK("http://141.218.60.56/~jnz1568/getInfo.php?workbook=04_01.xlsx&amp;sheet=A0&amp;row=118&amp;col=17&amp;number=&amp;sourceID=12","")</f>
        <v/>
      </c>
      <c r="R118" s="4" t="str">
        <f>HYPERLINK("http://141.218.60.56/~jnz1568/getInfo.php?workbook=04_01.xlsx&amp;sheet=A0&amp;row=118&amp;col=18&amp;number=&amp;sourceID=12","")</f>
        <v/>
      </c>
      <c r="S118" s="4" t="str">
        <f>HYPERLINK("http://141.218.60.56/~jnz1568/getInfo.php?workbook=04_01.xlsx&amp;sheet=A0&amp;row=118&amp;col=19&amp;number=&amp;sourceID=12","")</f>
        <v/>
      </c>
      <c r="T118" s="4" t="str">
        <f>HYPERLINK("http://141.218.60.56/~jnz1568/getInfo.php?workbook=04_01.xlsx&amp;sheet=A0&amp;row=118&amp;col=20&amp;number=&amp;sourceID=12","")</f>
        <v/>
      </c>
      <c r="U118" s="4" t="str">
        <f>HYPERLINK("http://141.218.60.56/~jnz1568/getInfo.php?workbook=04_01.xlsx&amp;sheet=A0&amp;row=118&amp;col=21&amp;number=&amp;sourceID=20","")</f>
        <v/>
      </c>
    </row>
    <row r="119" spans="1:21">
      <c r="A119" s="3">
        <v>4</v>
      </c>
      <c r="B119" s="3">
        <v>1</v>
      </c>
      <c r="C119" s="3">
        <v>17</v>
      </c>
      <c r="D119" s="3">
        <v>2</v>
      </c>
      <c r="E119" s="3">
        <f>((1/(INDEX(E0!J$4:J$28,C119,1)-INDEX(E0!J$4:J$28,D119,1))))*100000000</f>
        <v>0</v>
      </c>
      <c r="F119" s="4" t="str">
        <f>HYPERLINK("http://141.218.60.56/~jnz1568/getInfo.php?workbook=04_01.xlsx&amp;sheet=A0&amp;row=119&amp;col=6&amp;number=&amp;sourceID=18","")</f>
        <v/>
      </c>
      <c r="G119" s="4" t="str">
        <f>HYPERLINK("http://141.218.60.56/~jnz1568/getInfo.php?workbook=04_01.xlsx&amp;sheet=A0&amp;row=119&amp;col=7&amp;number==&amp;sourceID=11","=")</f>
        <v>=</v>
      </c>
      <c r="H119" s="4" t="str">
        <f>HYPERLINK("http://141.218.60.56/~jnz1568/getInfo.php?workbook=04_01.xlsx&amp;sheet=A0&amp;row=119&amp;col=8&amp;number=&amp;sourceID=11","")</f>
        <v/>
      </c>
      <c r="I119" s="4" t="str">
        <f>HYPERLINK("http://141.218.60.56/~jnz1568/getInfo.php?workbook=04_01.xlsx&amp;sheet=A0&amp;row=119&amp;col=9&amp;number=&amp;sourceID=11","")</f>
        <v/>
      </c>
      <c r="J119" s="4" t="str">
        <f>HYPERLINK("http://141.218.60.56/~jnz1568/getInfo.php?workbook=04_01.xlsx&amp;sheet=A0&amp;row=119&amp;col=10&amp;number=&amp;sourceID=11","")</f>
        <v/>
      </c>
      <c r="K119" s="4" t="str">
        <f>HYPERLINK("http://141.218.60.56/~jnz1568/getInfo.php?workbook=04_01.xlsx&amp;sheet=A0&amp;row=119&amp;col=11&amp;number=0.00025959&amp;sourceID=11","0.00025959")</f>
        <v>0.00025959</v>
      </c>
      <c r="L119" s="4" t="str">
        <f>HYPERLINK("http://141.218.60.56/~jnz1568/getInfo.php?workbook=04_01.xlsx&amp;sheet=A0&amp;row=119&amp;col=12&amp;number=&amp;sourceID=11","")</f>
        <v/>
      </c>
      <c r="M119" s="4" t="str">
        <f>HYPERLINK("http://141.218.60.56/~jnz1568/getInfo.php?workbook=04_01.xlsx&amp;sheet=A0&amp;row=119&amp;col=13&amp;number=&amp;sourceID=11","")</f>
        <v/>
      </c>
      <c r="N119" s="4" t="str">
        <f>HYPERLINK("http://141.218.60.56/~jnz1568/getInfo.php?workbook=04_01.xlsx&amp;sheet=A0&amp;row=119&amp;col=14&amp;number=0.0002599&amp;sourceID=12","0.0002599")</f>
        <v>0.0002599</v>
      </c>
      <c r="O119" s="4" t="str">
        <f>HYPERLINK("http://141.218.60.56/~jnz1568/getInfo.php?workbook=04_01.xlsx&amp;sheet=A0&amp;row=119&amp;col=15&amp;number=&amp;sourceID=12","")</f>
        <v/>
      </c>
      <c r="P119" s="4" t="str">
        <f>HYPERLINK("http://141.218.60.56/~jnz1568/getInfo.php?workbook=04_01.xlsx&amp;sheet=A0&amp;row=119&amp;col=16&amp;number=&amp;sourceID=12","")</f>
        <v/>
      </c>
      <c r="Q119" s="4" t="str">
        <f>HYPERLINK("http://141.218.60.56/~jnz1568/getInfo.php?workbook=04_01.xlsx&amp;sheet=A0&amp;row=119&amp;col=17&amp;number=&amp;sourceID=12","")</f>
        <v/>
      </c>
      <c r="R119" s="4" t="str">
        <f>HYPERLINK("http://141.218.60.56/~jnz1568/getInfo.php?workbook=04_01.xlsx&amp;sheet=A0&amp;row=119&amp;col=18&amp;number=0.0002599&amp;sourceID=12","0.0002599")</f>
        <v>0.0002599</v>
      </c>
      <c r="S119" s="4" t="str">
        <f>HYPERLINK("http://141.218.60.56/~jnz1568/getInfo.php?workbook=04_01.xlsx&amp;sheet=A0&amp;row=119&amp;col=19&amp;number=&amp;sourceID=12","")</f>
        <v/>
      </c>
      <c r="T119" s="4" t="str">
        <f>HYPERLINK("http://141.218.60.56/~jnz1568/getInfo.php?workbook=04_01.xlsx&amp;sheet=A0&amp;row=119&amp;col=20&amp;number=&amp;sourceID=12","")</f>
        <v/>
      </c>
      <c r="U119" s="4" t="str">
        <f>HYPERLINK("http://141.218.60.56/~jnz1568/getInfo.php?workbook=04_01.xlsx&amp;sheet=A0&amp;row=119&amp;col=21&amp;number=&amp;sourceID=20","")</f>
        <v/>
      </c>
    </row>
    <row r="120" spans="1:21">
      <c r="A120" s="3">
        <v>4</v>
      </c>
      <c r="B120" s="3">
        <v>1</v>
      </c>
      <c r="C120" s="3">
        <v>17</v>
      </c>
      <c r="D120" s="3">
        <v>3</v>
      </c>
      <c r="E120" s="3">
        <f>((1/(INDEX(E0!J$4:J$28,C120,1)-INDEX(E0!J$4:J$28,D120,1))))*100000000</f>
        <v>0</v>
      </c>
      <c r="F120" s="4" t="str">
        <f>HYPERLINK("http://141.218.60.56/~jnz1568/getInfo.php?workbook=04_01.xlsx&amp;sheet=A0&amp;row=120&amp;col=6&amp;number=&amp;sourceID=18","")</f>
        <v/>
      </c>
      <c r="G120" s="4" t="str">
        <f>HYPERLINK("http://141.218.60.56/~jnz1568/getInfo.php?workbook=04_01.xlsx&amp;sheet=A0&amp;row=120&amp;col=7&amp;number==&amp;sourceID=11","=")</f>
        <v>=</v>
      </c>
      <c r="H120" s="4" t="str">
        <f>HYPERLINK("http://141.218.60.56/~jnz1568/getInfo.php?workbook=04_01.xlsx&amp;sheet=A0&amp;row=120&amp;col=8&amp;number=1267900000&amp;sourceID=11","1267900000")</f>
        <v>1267900000</v>
      </c>
      <c r="I120" s="4" t="str">
        <f>HYPERLINK("http://141.218.60.56/~jnz1568/getInfo.php?workbook=04_01.xlsx&amp;sheet=A0&amp;row=120&amp;col=9&amp;number=&amp;sourceID=11","")</f>
        <v/>
      </c>
      <c r="J120" s="4" t="str">
        <f>HYPERLINK("http://141.218.60.56/~jnz1568/getInfo.php?workbook=04_01.xlsx&amp;sheet=A0&amp;row=120&amp;col=10&amp;number=&amp;sourceID=11","")</f>
        <v/>
      </c>
      <c r="K120" s="4" t="str">
        <f>HYPERLINK("http://141.218.60.56/~jnz1568/getInfo.php?workbook=04_01.xlsx&amp;sheet=A0&amp;row=120&amp;col=11&amp;number=&amp;sourceID=11","")</f>
        <v/>
      </c>
      <c r="L120" s="4" t="str">
        <f>HYPERLINK("http://141.218.60.56/~jnz1568/getInfo.php?workbook=04_01.xlsx&amp;sheet=A0&amp;row=120&amp;col=12&amp;number=&amp;sourceID=11","")</f>
        <v/>
      </c>
      <c r="M120" s="4" t="str">
        <f>HYPERLINK("http://141.218.60.56/~jnz1568/getInfo.php?workbook=04_01.xlsx&amp;sheet=A0&amp;row=120&amp;col=13&amp;number=&amp;sourceID=11","")</f>
        <v/>
      </c>
      <c r="N120" s="4" t="str">
        <f>HYPERLINK("http://141.218.60.56/~jnz1568/getInfo.php?workbook=04_01.xlsx&amp;sheet=A0&amp;row=120&amp;col=14&amp;number=1268000000&amp;sourceID=12","1268000000")</f>
        <v>1268000000</v>
      </c>
      <c r="O120" s="4" t="str">
        <f>HYPERLINK("http://141.218.60.56/~jnz1568/getInfo.php?workbook=04_01.xlsx&amp;sheet=A0&amp;row=120&amp;col=15&amp;number=1268000000&amp;sourceID=12","1268000000")</f>
        <v>1268000000</v>
      </c>
      <c r="P120" s="4" t="str">
        <f>HYPERLINK("http://141.218.60.56/~jnz1568/getInfo.php?workbook=04_01.xlsx&amp;sheet=A0&amp;row=120&amp;col=16&amp;number=&amp;sourceID=12","")</f>
        <v/>
      </c>
      <c r="Q120" s="4" t="str">
        <f>HYPERLINK("http://141.218.60.56/~jnz1568/getInfo.php?workbook=04_01.xlsx&amp;sheet=A0&amp;row=120&amp;col=17&amp;number=&amp;sourceID=12","")</f>
        <v/>
      </c>
      <c r="R120" s="4" t="str">
        <f>HYPERLINK("http://141.218.60.56/~jnz1568/getInfo.php?workbook=04_01.xlsx&amp;sheet=A0&amp;row=120&amp;col=18&amp;number=&amp;sourceID=12","")</f>
        <v/>
      </c>
      <c r="S120" s="4" t="str">
        <f>HYPERLINK("http://141.218.60.56/~jnz1568/getInfo.php?workbook=04_01.xlsx&amp;sheet=A0&amp;row=120&amp;col=19&amp;number=&amp;sourceID=12","")</f>
        <v/>
      </c>
      <c r="T120" s="4" t="str">
        <f>HYPERLINK("http://141.218.60.56/~jnz1568/getInfo.php?workbook=04_01.xlsx&amp;sheet=A0&amp;row=120&amp;col=20&amp;number=&amp;sourceID=12","")</f>
        <v/>
      </c>
      <c r="U120" s="4" t="str">
        <f>HYPERLINK("http://141.218.60.56/~jnz1568/getInfo.php?workbook=04_01.xlsx&amp;sheet=A0&amp;row=120&amp;col=21&amp;number=&amp;sourceID=20","")</f>
        <v/>
      </c>
    </row>
    <row r="121" spans="1:21">
      <c r="A121" s="3">
        <v>4</v>
      </c>
      <c r="B121" s="3">
        <v>1</v>
      </c>
      <c r="C121" s="3">
        <v>17</v>
      </c>
      <c r="D121" s="3">
        <v>4</v>
      </c>
      <c r="E121" s="3">
        <f>((1/(INDEX(E0!J$4:J$28,C121,1)-INDEX(E0!J$4:J$28,D121,1))))*100000000</f>
        <v>0</v>
      </c>
      <c r="F121" s="4" t="str">
        <f>HYPERLINK("http://141.218.60.56/~jnz1568/getInfo.php?workbook=04_01.xlsx&amp;sheet=A0&amp;row=121&amp;col=6&amp;number=&amp;sourceID=18","")</f>
        <v/>
      </c>
      <c r="G121" s="4" t="str">
        <f>HYPERLINK("http://141.218.60.56/~jnz1568/getInfo.php?workbook=04_01.xlsx&amp;sheet=A0&amp;row=121&amp;col=7&amp;number==&amp;sourceID=11","=")</f>
        <v>=</v>
      </c>
      <c r="H121" s="4" t="str">
        <f>HYPERLINK("http://141.218.60.56/~jnz1568/getInfo.php?workbook=04_01.xlsx&amp;sheet=A0&amp;row=121&amp;col=8&amp;number=&amp;sourceID=11","")</f>
        <v/>
      </c>
      <c r="I121" s="4" t="str">
        <f>HYPERLINK("http://141.218.60.56/~jnz1568/getInfo.php?workbook=04_01.xlsx&amp;sheet=A0&amp;row=121&amp;col=9&amp;number=21585&amp;sourceID=11","21585")</f>
        <v>21585</v>
      </c>
      <c r="J121" s="4" t="str">
        <f>HYPERLINK("http://141.218.60.56/~jnz1568/getInfo.php?workbook=04_01.xlsx&amp;sheet=A0&amp;row=121&amp;col=10&amp;number=&amp;sourceID=11","")</f>
        <v/>
      </c>
      <c r="K121" s="4" t="str">
        <f>HYPERLINK("http://141.218.60.56/~jnz1568/getInfo.php?workbook=04_01.xlsx&amp;sheet=A0&amp;row=121&amp;col=11&amp;number=0.0045667&amp;sourceID=11","0.0045667")</f>
        <v>0.0045667</v>
      </c>
      <c r="L121" s="4" t="str">
        <f>HYPERLINK("http://141.218.60.56/~jnz1568/getInfo.php?workbook=04_01.xlsx&amp;sheet=A0&amp;row=121&amp;col=12&amp;number=&amp;sourceID=11","")</f>
        <v/>
      </c>
      <c r="M121" s="4" t="str">
        <f>HYPERLINK("http://141.218.60.56/~jnz1568/getInfo.php?workbook=04_01.xlsx&amp;sheet=A0&amp;row=121&amp;col=13&amp;number=&amp;sourceID=11","")</f>
        <v/>
      </c>
      <c r="N121" s="4" t="str">
        <f>HYPERLINK("http://141.218.60.56/~jnz1568/getInfo.php?workbook=04_01.xlsx&amp;sheet=A0&amp;row=121&amp;col=14&amp;number=21586&amp;sourceID=12","21586")</f>
        <v>21586</v>
      </c>
      <c r="O121" s="4" t="str">
        <f>HYPERLINK("http://141.218.60.56/~jnz1568/getInfo.php?workbook=04_01.xlsx&amp;sheet=A0&amp;row=121&amp;col=15&amp;number=&amp;sourceID=12","")</f>
        <v/>
      </c>
      <c r="P121" s="4" t="str">
        <f>HYPERLINK("http://141.218.60.56/~jnz1568/getInfo.php?workbook=04_01.xlsx&amp;sheet=A0&amp;row=121&amp;col=16&amp;number=21586&amp;sourceID=12","21586")</f>
        <v>21586</v>
      </c>
      <c r="Q121" s="4" t="str">
        <f>HYPERLINK("http://141.218.60.56/~jnz1568/getInfo.php?workbook=04_01.xlsx&amp;sheet=A0&amp;row=121&amp;col=17&amp;number=&amp;sourceID=12","")</f>
        <v/>
      </c>
      <c r="R121" s="4" t="str">
        <f>HYPERLINK("http://141.218.60.56/~jnz1568/getInfo.php?workbook=04_01.xlsx&amp;sheet=A0&amp;row=121&amp;col=18&amp;number=0.0045661&amp;sourceID=12","0.0045661")</f>
        <v>0.0045661</v>
      </c>
      <c r="S121" s="4" t="str">
        <f>HYPERLINK("http://141.218.60.56/~jnz1568/getInfo.php?workbook=04_01.xlsx&amp;sheet=A0&amp;row=121&amp;col=19&amp;number=&amp;sourceID=12","")</f>
        <v/>
      </c>
      <c r="T121" s="4" t="str">
        <f>HYPERLINK("http://141.218.60.56/~jnz1568/getInfo.php?workbook=04_01.xlsx&amp;sheet=A0&amp;row=121&amp;col=20&amp;number=&amp;sourceID=12","")</f>
        <v/>
      </c>
      <c r="U121" s="4" t="str">
        <f>HYPERLINK("http://141.218.60.56/~jnz1568/getInfo.php?workbook=04_01.xlsx&amp;sheet=A0&amp;row=121&amp;col=21&amp;number=&amp;sourceID=20","")</f>
        <v/>
      </c>
    </row>
    <row r="122" spans="1:21">
      <c r="A122" s="3">
        <v>4</v>
      </c>
      <c r="B122" s="3">
        <v>1</v>
      </c>
      <c r="C122" s="3">
        <v>17</v>
      </c>
      <c r="D122" s="3">
        <v>5</v>
      </c>
      <c r="E122" s="3">
        <f>((1/(INDEX(E0!J$4:J$28,C122,1)-INDEX(E0!J$4:J$28,D122,1))))*100000000</f>
        <v>0</v>
      </c>
      <c r="F122" s="4" t="str">
        <f>HYPERLINK("http://141.218.60.56/~jnz1568/getInfo.php?workbook=04_01.xlsx&amp;sheet=A0&amp;row=122&amp;col=6&amp;number=&amp;sourceID=18","")</f>
        <v/>
      </c>
      <c r="G122" s="4" t="str">
        <f>HYPERLINK("http://141.218.60.56/~jnz1568/getInfo.php?workbook=04_01.xlsx&amp;sheet=A0&amp;row=122&amp;col=7&amp;number==&amp;sourceID=11","=")</f>
        <v>=</v>
      </c>
      <c r="H122" s="4" t="str">
        <f>HYPERLINK("http://141.218.60.56/~jnz1568/getInfo.php?workbook=04_01.xlsx&amp;sheet=A0&amp;row=122&amp;col=8&amp;number=&amp;sourceID=11","")</f>
        <v/>
      </c>
      <c r="I122" s="4" t="str">
        <f>HYPERLINK("http://141.218.60.56/~jnz1568/getInfo.php?workbook=04_01.xlsx&amp;sheet=A0&amp;row=122&amp;col=9&amp;number=&amp;sourceID=11","")</f>
        <v/>
      </c>
      <c r="J122" s="4" t="str">
        <f>HYPERLINK("http://141.218.60.56/~jnz1568/getInfo.php?workbook=04_01.xlsx&amp;sheet=A0&amp;row=122&amp;col=10&amp;number=&amp;sourceID=11","")</f>
        <v/>
      </c>
      <c r="K122" s="4" t="str">
        <f>HYPERLINK("http://141.218.60.56/~jnz1568/getInfo.php?workbook=04_01.xlsx&amp;sheet=A0&amp;row=122&amp;col=11&amp;number=8.0635e-06&amp;sourceID=11","8.0635e-06")</f>
        <v>8.0635e-06</v>
      </c>
      <c r="L122" s="4" t="str">
        <f>HYPERLINK("http://141.218.60.56/~jnz1568/getInfo.php?workbook=04_01.xlsx&amp;sheet=A0&amp;row=122&amp;col=12&amp;number=&amp;sourceID=11","")</f>
        <v/>
      </c>
      <c r="M122" s="4" t="str">
        <f>HYPERLINK("http://141.218.60.56/~jnz1568/getInfo.php?workbook=04_01.xlsx&amp;sheet=A0&amp;row=122&amp;col=13&amp;number=&amp;sourceID=11","")</f>
        <v/>
      </c>
      <c r="N122" s="4" t="str">
        <f>HYPERLINK("http://141.218.60.56/~jnz1568/getInfo.php?workbook=04_01.xlsx&amp;sheet=A0&amp;row=122&amp;col=14&amp;number=8.0634e-06&amp;sourceID=12","8.0634e-06")</f>
        <v>8.0634e-06</v>
      </c>
      <c r="O122" s="4" t="str">
        <f>HYPERLINK("http://141.218.60.56/~jnz1568/getInfo.php?workbook=04_01.xlsx&amp;sheet=A0&amp;row=122&amp;col=15&amp;number=&amp;sourceID=12","")</f>
        <v/>
      </c>
      <c r="P122" s="4" t="str">
        <f>HYPERLINK("http://141.218.60.56/~jnz1568/getInfo.php?workbook=04_01.xlsx&amp;sheet=A0&amp;row=122&amp;col=16&amp;number=&amp;sourceID=12","")</f>
        <v/>
      </c>
      <c r="Q122" s="4" t="str">
        <f>HYPERLINK("http://141.218.60.56/~jnz1568/getInfo.php?workbook=04_01.xlsx&amp;sheet=A0&amp;row=122&amp;col=17&amp;number=&amp;sourceID=12","")</f>
        <v/>
      </c>
      <c r="R122" s="4" t="str">
        <f>HYPERLINK("http://141.218.60.56/~jnz1568/getInfo.php?workbook=04_01.xlsx&amp;sheet=A0&amp;row=122&amp;col=18&amp;number=8.0634e-06&amp;sourceID=12","8.0634e-06")</f>
        <v>8.0634e-06</v>
      </c>
      <c r="S122" s="4" t="str">
        <f>HYPERLINK("http://141.218.60.56/~jnz1568/getInfo.php?workbook=04_01.xlsx&amp;sheet=A0&amp;row=122&amp;col=19&amp;number=&amp;sourceID=12","")</f>
        <v/>
      </c>
      <c r="T122" s="4" t="str">
        <f>HYPERLINK("http://141.218.60.56/~jnz1568/getInfo.php?workbook=04_01.xlsx&amp;sheet=A0&amp;row=122&amp;col=20&amp;number=&amp;sourceID=12","")</f>
        <v/>
      </c>
      <c r="U122" s="4" t="str">
        <f>HYPERLINK("http://141.218.60.56/~jnz1568/getInfo.php?workbook=04_01.xlsx&amp;sheet=A0&amp;row=122&amp;col=21&amp;number=&amp;sourceID=20","")</f>
        <v/>
      </c>
    </row>
    <row r="123" spans="1:21">
      <c r="A123" s="3">
        <v>4</v>
      </c>
      <c r="B123" s="3">
        <v>1</v>
      </c>
      <c r="C123" s="3">
        <v>17</v>
      </c>
      <c r="D123" s="3">
        <v>6</v>
      </c>
      <c r="E123" s="3">
        <f>((1/(INDEX(E0!J$4:J$28,C123,1)-INDEX(E0!J$4:J$28,D123,1))))*100000000</f>
        <v>0</v>
      </c>
      <c r="F123" s="4" t="str">
        <f>HYPERLINK("http://141.218.60.56/~jnz1568/getInfo.php?workbook=04_01.xlsx&amp;sheet=A0&amp;row=123&amp;col=6&amp;number=&amp;sourceID=18","")</f>
        <v/>
      </c>
      <c r="G123" s="4" t="str">
        <f>HYPERLINK("http://141.218.60.56/~jnz1568/getInfo.php?workbook=04_01.xlsx&amp;sheet=A0&amp;row=123&amp;col=7&amp;number==&amp;sourceID=11","=")</f>
        <v>=</v>
      </c>
      <c r="H123" s="4" t="str">
        <f>HYPERLINK("http://141.218.60.56/~jnz1568/getInfo.php?workbook=04_01.xlsx&amp;sheet=A0&amp;row=123&amp;col=8&amp;number=419640000&amp;sourceID=11","419640000")</f>
        <v>419640000</v>
      </c>
      <c r="I123" s="4" t="str">
        <f>HYPERLINK("http://141.218.60.56/~jnz1568/getInfo.php?workbook=04_01.xlsx&amp;sheet=A0&amp;row=123&amp;col=9&amp;number=&amp;sourceID=11","")</f>
        <v/>
      </c>
      <c r="J123" s="4" t="str">
        <f>HYPERLINK("http://141.218.60.56/~jnz1568/getInfo.php?workbook=04_01.xlsx&amp;sheet=A0&amp;row=123&amp;col=10&amp;number=&amp;sourceID=11","")</f>
        <v/>
      </c>
      <c r="K123" s="4" t="str">
        <f>HYPERLINK("http://141.218.60.56/~jnz1568/getInfo.php?workbook=04_01.xlsx&amp;sheet=A0&amp;row=123&amp;col=11&amp;number=&amp;sourceID=11","")</f>
        <v/>
      </c>
      <c r="L123" s="4" t="str">
        <f>HYPERLINK("http://141.218.60.56/~jnz1568/getInfo.php?workbook=04_01.xlsx&amp;sheet=A0&amp;row=123&amp;col=12&amp;number=&amp;sourceID=11","")</f>
        <v/>
      </c>
      <c r="M123" s="4" t="str">
        <f>HYPERLINK("http://141.218.60.56/~jnz1568/getInfo.php?workbook=04_01.xlsx&amp;sheet=A0&amp;row=123&amp;col=13&amp;number=&amp;sourceID=11","")</f>
        <v/>
      </c>
      <c r="N123" s="4" t="str">
        <f>HYPERLINK("http://141.218.60.56/~jnz1568/getInfo.php?workbook=04_01.xlsx&amp;sheet=A0&amp;row=123&amp;col=14&amp;number=419670000&amp;sourceID=12","419670000")</f>
        <v>419670000</v>
      </c>
      <c r="O123" s="4" t="str">
        <f>HYPERLINK("http://141.218.60.56/~jnz1568/getInfo.php?workbook=04_01.xlsx&amp;sheet=A0&amp;row=123&amp;col=15&amp;number=419670000&amp;sourceID=12","419670000")</f>
        <v>419670000</v>
      </c>
      <c r="P123" s="4" t="str">
        <f>HYPERLINK("http://141.218.60.56/~jnz1568/getInfo.php?workbook=04_01.xlsx&amp;sheet=A0&amp;row=123&amp;col=16&amp;number=&amp;sourceID=12","")</f>
        <v/>
      </c>
      <c r="Q123" s="4" t="str">
        <f>HYPERLINK("http://141.218.60.56/~jnz1568/getInfo.php?workbook=04_01.xlsx&amp;sheet=A0&amp;row=123&amp;col=17&amp;number=&amp;sourceID=12","")</f>
        <v/>
      </c>
      <c r="R123" s="4" t="str">
        <f>HYPERLINK("http://141.218.60.56/~jnz1568/getInfo.php?workbook=04_01.xlsx&amp;sheet=A0&amp;row=123&amp;col=18&amp;number=&amp;sourceID=12","")</f>
        <v/>
      </c>
      <c r="S123" s="4" t="str">
        <f>HYPERLINK("http://141.218.60.56/~jnz1568/getInfo.php?workbook=04_01.xlsx&amp;sheet=A0&amp;row=123&amp;col=19&amp;number=&amp;sourceID=12","")</f>
        <v/>
      </c>
      <c r="T123" s="4" t="str">
        <f>HYPERLINK("http://141.218.60.56/~jnz1568/getInfo.php?workbook=04_01.xlsx&amp;sheet=A0&amp;row=123&amp;col=20&amp;number=&amp;sourceID=12","")</f>
        <v/>
      </c>
      <c r="U123" s="4" t="str">
        <f>HYPERLINK("http://141.218.60.56/~jnz1568/getInfo.php?workbook=04_01.xlsx&amp;sheet=A0&amp;row=123&amp;col=21&amp;number=&amp;sourceID=20","")</f>
        <v/>
      </c>
    </row>
    <row r="124" spans="1:21">
      <c r="A124" s="3">
        <v>4</v>
      </c>
      <c r="B124" s="3">
        <v>1</v>
      </c>
      <c r="C124" s="3">
        <v>17</v>
      </c>
      <c r="D124" s="3">
        <v>7</v>
      </c>
      <c r="E124" s="3">
        <f>((1/(INDEX(E0!J$4:J$28,C124,1)-INDEX(E0!J$4:J$28,D124,1))))*100000000</f>
        <v>0</v>
      </c>
      <c r="F124" s="4" t="str">
        <f>HYPERLINK("http://141.218.60.56/~jnz1568/getInfo.php?workbook=04_01.xlsx&amp;sheet=A0&amp;row=124&amp;col=6&amp;number=&amp;sourceID=18","")</f>
        <v/>
      </c>
      <c r="G124" s="4" t="str">
        <f>HYPERLINK("http://141.218.60.56/~jnz1568/getInfo.php?workbook=04_01.xlsx&amp;sheet=A0&amp;row=124&amp;col=7&amp;number==&amp;sourceID=11","=")</f>
        <v>=</v>
      </c>
      <c r="H124" s="4" t="str">
        <f>HYPERLINK("http://141.218.60.56/~jnz1568/getInfo.php?workbook=04_01.xlsx&amp;sheet=A0&amp;row=124&amp;col=8&amp;number=38398000&amp;sourceID=11","38398000")</f>
        <v>38398000</v>
      </c>
      <c r="I124" s="4" t="str">
        <f>HYPERLINK("http://141.218.60.56/~jnz1568/getInfo.php?workbook=04_01.xlsx&amp;sheet=A0&amp;row=124&amp;col=9&amp;number=&amp;sourceID=11","")</f>
        <v/>
      </c>
      <c r="J124" s="4" t="str">
        <f>HYPERLINK("http://141.218.60.56/~jnz1568/getInfo.php?workbook=04_01.xlsx&amp;sheet=A0&amp;row=124&amp;col=10&amp;number=&amp;sourceID=11","")</f>
        <v/>
      </c>
      <c r="K124" s="4" t="str">
        <f>HYPERLINK("http://141.218.60.56/~jnz1568/getInfo.php?workbook=04_01.xlsx&amp;sheet=A0&amp;row=124&amp;col=11&amp;number=&amp;sourceID=11","")</f>
        <v/>
      </c>
      <c r="L124" s="4" t="str">
        <f>HYPERLINK("http://141.218.60.56/~jnz1568/getInfo.php?workbook=04_01.xlsx&amp;sheet=A0&amp;row=124&amp;col=12&amp;number=0.00026434&amp;sourceID=11","0.00026434")</f>
        <v>0.00026434</v>
      </c>
      <c r="M124" s="4" t="str">
        <f>HYPERLINK("http://141.218.60.56/~jnz1568/getInfo.php?workbook=04_01.xlsx&amp;sheet=A0&amp;row=124&amp;col=13&amp;number=&amp;sourceID=11","")</f>
        <v/>
      </c>
      <c r="N124" s="4" t="str">
        <f>HYPERLINK("http://141.218.60.56/~jnz1568/getInfo.php?workbook=04_01.xlsx&amp;sheet=A0&amp;row=124&amp;col=14&amp;number=38400000&amp;sourceID=12","38400000")</f>
        <v>38400000</v>
      </c>
      <c r="O124" s="4" t="str">
        <f>HYPERLINK("http://141.218.60.56/~jnz1568/getInfo.php?workbook=04_01.xlsx&amp;sheet=A0&amp;row=124&amp;col=15&amp;number=38400000&amp;sourceID=12","38400000")</f>
        <v>38400000</v>
      </c>
      <c r="P124" s="4" t="str">
        <f>HYPERLINK("http://141.218.60.56/~jnz1568/getInfo.php?workbook=04_01.xlsx&amp;sheet=A0&amp;row=124&amp;col=16&amp;number=&amp;sourceID=12","")</f>
        <v/>
      </c>
      <c r="Q124" s="4" t="str">
        <f>HYPERLINK("http://141.218.60.56/~jnz1568/getInfo.php?workbook=04_01.xlsx&amp;sheet=A0&amp;row=124&amp;col=17&amp;number=&amp;sourceID=12","")</f>
        <v/>
      </c>
      <c r="R124" s="4" t="str">
        <f>HYPERLINK("http://141.218.60.56/~jnz1568/getInfo.php?workbook=04_01.xlsx&amp;sheet=A0&amp;row=124&amp;col=18&amp;number=&amp;sourceID=12","")</f>
        <v/>
      </c>
      <c r="S124" s="4" t="str">
        <f>HYPERLINK("http://141.218.60.56/~jnz1568/getInfo.php?workbook=04_01.xlsx&amp;sheet=A0&amp;row=124&amp;col=19&amp;number=0.00026436&amp;sourceID=12","0.00026436")</f>
        <v>0.00026436</v>
      </c>
      <c r="T124" s="4" t="str">
        <f>HYPERLINK("http://141.218.60.56/~jnz1568/getInfo.php?workbook=04_01.xlsx&amp;sheet=A0&amp;row=124&amp;col=20&amp;number=&amp;sourceID=12","")</f>
        <v/>
      </c>
      <c r="U124" s="4" t="str">
        <f>HYPERLINK("http://141.218.60.56/~jnz1568/getInfo.php?workbook=04_01.xlsx&amp;sheet=A0&amp;row=124&amp;col=21&amp;number=&amp;sourceID=20","")</f>
        <v/>
      </c>
    </row>
    <row r="125" spans="1:21">
      <c r="A125" s="3">
        <v>4</v>
      </c>
      <c r="B125" s="3">
        <v>1</v>
      </c>
      <c r="C125" s="3">
        <v>17</v>
      </c>
      <c r="D125" s="3">
        <v>8</v>
      </c>
      <c r="E125" s="3">
        <f>((1/(INDEX(E0!J$4:J$28,C125,1)-INDEX(E0!J$4:J$28,D125,1))))*100000000</f>
        <v>0</v>
      </c>
      <c r="F125" s="4" t="str">
        <f>HYPERLINK("http://141.218.60.56/~jnz1568/getInfo.php?workbook=04_01.xlsx&amp;sheet=A0&amp;row=125&amp;col=6&amp;number=&amp;sourceID=18","")</f>
        <v/>
      </c>
      <c r="G125" s="4" t="str">
        <f>HYPERLINK("http://141.218.60.56/~jnz1568/getInfo.php?workbook=04_01.xlsx&amp;sheet=A0&amp;row=125&amp;col=7&amp;number==&amp;sourceID=11","=")</f>
        <v>=</v>
      </c>
      <c r="H125" s="4" t="str">
        <f>HYPERLINK("http://141.218.60.56/~jnz1568/getInfo.php?workbook=04_01.xlsx&amp;sheet=A0&amp;row=125&amp;col=8&amp;number=&amp;sourceID=11","")</f>
        <v/>
      </c>
      <c r="I125" s="4" t="str">
        <f>HYPERLINK("http://141.218.60.56/~jnz1568/getInfo.php?workbook=04_01.xlsx&amp;sheet=A0&amp;row=125&amp;col=9&amp;number=5850.4&amp;sourceID=11","5850.4")</f>
        <v>5850.4</v>
      </c>
      <c r="J125" s="4" t="str">
        <f>HYPERLINK("http://141.218.60.56/~jnz1568/getInfo.php?workbook=04_01.xlsx&amp;sheet=A0&amp;row=125&amp;col=10&amp;number=&amp;sourceID=11","")</f>
        <v/>
      </c>
      <c r="K125" s="4" t="str">
        <f>HYPERLINK("http://141.218.60.56/~jnz1568/getInfo.php?workbook=04_01.xlsx&amp;sheet=A0&amp;row=125&amp;col=11&amp;number=0.00043518&amp;sourceID=11","0.00043518")</f>
        <v>0.00043518</v>
      </c>
      <c r="L125" s="4" t="str">
        <f>HYPERLINK("http://141.218.60.56/~jnz1568/getInfo.php?workbook=04_01.xlsx&amp;sheet=A0&amp;row=125&amp;col=12&amp;number=&amp;sourceID=11","")</f>
        <v/>
      </c>
      <c r="M125" s="4" t="str">
        <f>HYPERLINK("http://141.218.60.56/~jnz1568/getInfo.php?workbook=04_01.xlsx&amp;sheet=A0&amp;row=125&amp;col=13&amp;number=&amp;sourceID=11","")</f>
        <v/>
      </c>
      <c r="N125" s="4" t="str">
        <f>HYPERLINK("http://141.218.60.56/~jnz1568/getInfo.php?workbook=04_01.xlsx&amp;sheet=A0&amp;row=125&amp;col=14&amp;number=5850.8&amp;sourceID=12","5850.8")</f>
        <v>5850.8</v>
      </c>
      <c r="O125" s="4" t="str">
        <f>HYPERLINK("http://141.218.60.56/~jnz1568/getInfo.php?workbook=04_01.xlsx&amp;sheet=A0&amp;row=125&amp;col=15&amp;number=&amp;sourceID=12","")</f>
        <v/>
      </c>
      <c r="P125" s="4" t="str">
        <f>HYPERLINK("http://141.218.60.56/~jnz1568/getInfo.php?workbook=04_01.xlsx&amp;sheet=A0&amp;row=125&amp;col=16&amp;number=5850.8&amp;sourceID=12","5850.8")</f>
        <v>5850.8</v>
      </c>
      <c r="Q125" s="4" t="str">
        <f>HYPERLINK("http://141.218.60.56/~jnz1568/getInfo.php?workbook=04_01.xlsx&amp;sheet=A0&amp;row=125&amp;col=17&amp;number=&amp;sourceID=12","")</f>
        <v/>
      </c>
      <c r="R125" s="4" t="str">
        <f>HYPERLINK("http://141.218.60.56/~jnz1568/getInfo.php?workbook=04_01.xlsx&amp;sheet=A0&amp;row=125&amp;col=18&amp;number=0.00043521&amp;sourceID=12","0.00043521")</f>
        <v>0.00043521</v>
      </c>
      <c r="S125" s="4" t="str">
        <f>HYPERLINK("http://141.218.60.56/~jnz1568/getInfo.php?workbook=04_01.xlsx&amp;sheet=A0&amp;row=125&amp;col=19&amp;number=&amp;sourceID=12","")</f>
        <v/>
      </c>
      <c r="T125" s="4" t="str">
        <f>HYPERLINK("http://141.218.60.56/~jnz1568/getInfo.php?workbook=04_01.xlsx&amp;sheet=A0&amp;row=125&amp;col=20&amp;number=&amp;sourceID=12","")</f>
        <v/>
      </c>
      <c r="U125" s="4" t="str">
        <f>HYPERLINK("http://141.218.60.56/~jnz1568/getInfo.php?workbook=04_01.xlsx&amp;sheet=A0&amp;row=125&amp;col=21&amp;number=&amp;sourceID=20","")</f>
        <v/>
      </c>
    </row>
    <row r="126" spans="1:21">
      <c r="A126" s="3">
        <v>4</v>
      </c>
      <c r="B126" s="3">
        <v>1</v>
      </c>
      <c r="C126" s="3">
        <v>17</v>
      </c>
      <c r="D126" s="3">
        <v>9</v>
      </c>
      <c r="E126" s="3">
        <f>((1/(INDEX(E0!J$4:J$28,C126,1)-INDEX(E0!J$4:J$28,D126,1))))*100000000</f>
        <v>0</v>
      </c>
      <c r="F126" s="4" t="str">
        <f>HYPERLINK("http://141.218.60.56/~jnz1568/getInfo.php?workbook=04_01.xlsx&amp;sheet=A0&amp;row=126&amp;col=6&amp;number=&amp;sourceID=18","")</f>
        <v/>
      </c>
      <c r="G126" s="4" t="str">
        <f>HYPERLINK("http://141.218.60.56/~jnz1568/getInfo.php?workbook=04_01.xlsx&amp;sheet=A0&amp;row=126&amp;col=7&amp;number==&amp;sourceID=11","=")</f>
        <v>=</v>
      </c>
      <c r="H126" s="4" t="str">
        <f>HYPERLINK("http://141.218.60.56/~jnz1568/getInfo.php?workbook=04_01.xlsx&amp;sheet=A0&amp;row=126&amp;col=8&amp;number=&amp;sourceID=11","")</f>
        <v/>
      </c>
      <c r="I126" s="4" t="str">
        <f>HYPERLINK("http://141.218.60.56/~jnz1568/getInfo.php?workbook=04_01.xlsx&amp;sheet=A0&amp;row=126&amp;col=9&amp;number=&amp;sourceID=11","")</f>
        <v/>
      </c>
      <c r="J126" s="4" t="str">
        <f>HYPERLINK("http://141.218.60.56/~jnz1568/getInfo.php?workbook=04_01.xlsx&amp;sheet=A0&amp;row=126&amp;col=10&amp;number=0.014827&amp;sourceID=11","0.014827")</f>
        <v>0.014827</v>
      </c>
      <c r="K126" s="4" t="str">
        <f>HYPERLINK("http://141.218.60.56/~jnz1568/getInfo.php?workbook=04_01.xlsx&amp;sheet=A0&amp;row=126&amp;col=11&amp;number=&amp;sourceID=11","")</f>
        <v/>
      </c>
      <c r="L126" s="4" t="str">
        <f>HYPERLINK("http://141.218.60.56/~jnz1568/getInfo.php?workbook=04_01.xlsx&amp;sheet=A0&amp;row=126&amp;col=12&amp;number=0.0028212&amp;sourceID=11","0.0028212")</f>
        <v>0.0028212</v>
      </c>
      <c r="M126" s="4" t="str">
        <f>HYPERLINK("http://141.218.60.56/~jnz1568/getInfo.php?workbook=04_01.xlsx&amp;sheet=A0&amp;row=126&amp;col=13&amp;number=&amp;sourceID=11","")</f>
        <v/>
      </c>
      <c r="N126" s="4" t="str">
        <f>HYPERLINK("http://141.218.60.56/~jnz1568/getInfo.php?workbook=04_01.xlsx&amp;sheet=A0&amp;row=126&amp;col=14&amp;number=0.017649&amp;sourceID=12","0.017649")</f>
        <v>0.017649</v>
      </c>
      <c r="O126" s="4" t="str">
        <f>HYPERLINK("http://141.218.60.56/~jnz1568/getInfo.php?workbook=04_01.xlsx&amp;sheet=A0&amp;row=126&amp;col=15&amp;number=&amp;sourceID=12","")</f>
        <v/>
      </c>
      <c r="P126" s="4" t="str">
        <f>HYPERLINK("http://141.218.60.56/~jnz1568/getInfo.php?workbook=04_01.xlsx&amp;sheet=A0&amp;row=126&amp;col=16&amp;number=&amp;sourceID=12","")</f>
        <v/>
      </c>
      <c r="Q126" s="4" t="str">
        <f>HYPERLINK("http://141.218.60.56/~jnz1568/getInfo.php?workbook=04_01.xlsx&amp;sheet=A0&amp;row=126&amp;col=17&amp;number=0.014828&amp;sourceID=12","0.014828")</f>
        <v>0.014828</v>
      </c>
      <c r="R126" s="4" t="str">
        <f>HYPERLINK("http://141.218.60.56/~jnz1568/getInfo.php?workbook=04_01.xlsx&amp;sheet=A0&amp;row=126&amp;col=18&amp;number=&amp;sourceID=12","")</f>
        <v/>
      </c>
      <c r="S126" s="4" t="str">
        <f>HYPERLINK("http://141.218.60.56/~jnz1568/getInfo.php?workbook=04_01.xlsx&amp;sheet=A0&amp;row=126&amp;col=19&amp;number=0.0028214&amp;sourceID=12","0.0028214")</f>
        <v>0.0028214</v>
      </c>
      <c r="T126" s="4" t="str">
        <f>HYPERLINK("http://141.218.60.56/~jnz1568/getInfo.php?workbook=04_01.xlsx&amp;sheet=A0&amp;row=126&amp;col=20&amp;number=&amp;sourceID=12","")</f>
        <v/>
      </c>
      <c r="U126" s="4" t="str">
        <f>HYPERLINK("http://141.218.60.56/~jnz1568/getInfo.php?workbook=04_01.xlsx&amp;sheet=A0&amp;row=126&amp;col=21&amp;number=&amp;sourceID=20","")</f>
        <v/>
      </c>
    </row>
    <row r="127" spans="1:21">
      <c r="A127" s="3">
        <v>4</v>
      </c>
      <c r="B127" s="3">
        <v>1</v>
      </c>
      <c r="C127" s="3">
        <v>17</v>
      </c>
      <c r="D127" s="3">
        <v>10</v>
      </c>
      <c r="E127" s="3">
        <f>((1/(INDEX(E0!J$4:J$28,C127,1)-INDEX(E0!J$4:J$28,D127,1))))*100000000</f>
        <v>0</v>
      </c>
      <c r="F127" s="4" t="str">
        <f>HYPERLINK("http://141.218.60.56/~jnz1568/getInfo.php?workbook=04_01.xlsx&amp;sheet=A0&amp;row=127&amp;col=6&amp;number=&amp;sourceID=18","")</f>
        <v/>
      </c>
      <c r="G127" s="4" t="str">
        <f>HYPERLINK("http://141.218.60.56/~jnz1568/getInfo.php?workbook=04_01.xlsx&amp;sheet=A0&amp;row=127&amp;col=7&amp;number==&amp;sourceID=11","=")</f>
        <v>=</v>
      </c>
      <c r="H127" s="4" t="str">
        <f>HYPERLINK("http://141.218.60.56/~jnz1568/getInfo.php?workbook=04_01.xlsx&amp;sheet=A0&amp;row=127&amp;col=8&amp;number=&amp;sourceID=11","")</f>
        <v/>
      </c>
      <c r="I127" s="4" t="str">
        <f>HYPERLINK("http://141.218.60.56/~jnz1568/getInfo.php?workbook=04_01.xlsx&amp;sheet=A0&amp;row=127&amp;col=9&amp;number=&amp;sourceID=11","")</f>
        <v/>
      </c>
      <c r="J127" s="4" t="str">
        <f>HYPERLINK("http://141.218.60.56/~jnz1568/getInfo.php?workbook=04_01.xlsx&amp;sheet=A0&amp;row=127&amp;col=10&amp;number=&amp;sourceID=11","")</f>
        <v/>
      </c>
      <c r="K127" s="4" t="str">
        <f>HYPERLINK("http://141.218.60.56/~jnz1568/getInfo.php?workbook=04_01.xlsx&amp;sheet=A0&amp;row=127&amp;col=11&amp;number=2.5671e-07&amp;sourceID=11","2.5671e-07")</f>
        <v>2.5671e-07</v>
      </c>
      <c r="L127" s="4" t="str">
        <f>HYPERLINK("http://141.218.60.56/~jnz1568/getInfo.php?workbook=04_01.xlsx&amp;sheet=A0&amp;row=127&amp;col=12&amp;number=&amp;sourceID=11","")</f>
        <v/>
      </c>
      <c r="M127" s="4" t="str">
        <f>HYPERLINK("http://141.218.60.56/~jnz1568/getInfo.php?workbook=04_01.xlsx&amp;sheet=A0&amp;row=127&amp;col=13&amp;number=&amp;sourceID=11","")</f>
        <v/>
      </c>
      <c r="N127" s="4" t="str">
        <f>HYPERLINK("http://141.218.60.56/~jnz1568/getInfo.php?workbook=04_01.xlsx&amp;sheet=A0&amp;row=127&amp;col=14&amp;number=2.5673e-07&amp;sourceID=12","2.5673e-07")</f>
        <v>2.5673e-07</v>
      </c>
      <c r="O127" s="4" t="str">
        <f>HYPERLINK("http://141.218.60.56/~jnz1568/getInfo.php?workbook=04_01.xlsx&amp;sheet=A0&amp;row=127&amp;col=15&amp;number=&amp;sourceID=12","")</f>
        <v/>
      </c>
      <c r="P127" s="4" t="str">
        <f>HYPERLINK("http://141.218.60.56/~jnz1568/getInfo.php?workbook=04_01.xlsx&amp;sheet=A0&amp;row=127&amp;col=16&amp;number=&amp;sourceID=12","")</f>
        <v/>
      </c>
      <c r="Q127" s="4" t="str">
        <f>HYPERLINK("http://141.218.60.56/~jnz1568/getInfo.php?workbook=04_01.xlsx&amp;sheet=A0&amp;row=127&amp;col=17&amp;number=&amp;sourceID=12","")</f>
        <v/>
      </c>
      <c r="R127" s="4" t="str">
        <f>HYPERLINK("http://141.218.60.56/~jnz1568/getInfo.php?workbook=04_01.xlsx&amp;sheet=A0&amp;row=127&amp;col=18&amp;number=2.5673e-07&amp;sourceID=12","2.5673e-07")</f>
        <v>2.5673e-07</v>
      </c>
      <c r="S127" s="4" t="str">
        <f>HYPERLINK("http://141.218.60.56/~jnz1568/getInfo.php?workbook=04_01.xlsx&amp;sheet=A0&amp;row=127&amp;col=19&amp;number=&amp;sourceID=12","")</f>
        <v/>
      </c>
      <c r="T127" s="4" t="str">
        <f>HYPERLINK("http://141.218.60.56/~jnz1568/getInfo.php?workbook=04_01.xlsx&amp;sheet=A0&amp;row=127&amp;col=20&amp;number=&amp;sourceID=12","")</f>
        <v/>
      </c>
      <c r="U127" s="4" t="str">
        <f>HYPERLINK("http://141.218.60.56/~jnz1568/getInfo.php?workbook=04_01.xlsx&amp;sheet=A0&amp;row=127&amp;col=21&amp;number=&amp;sourceID=20","")</f>
        <v/>
      </c>
    </row>
    <row r="128" spans="1:21">
      <c r="A128" s="3">
        <v>4</v>
      </c>
      <c r="B128" s="3">
        <v>1</v>
      </c>
      <c r="C128" s="3">
        <v>17</v>
      </c>
      <c r="D128" s="3">
        <v>11</v>
      </c>
      <c r="E128" s="3">
        <f>((1/(INDEX(E0!J$4:J$28,C128,1)-INDEX(E0!J$4:J$28,D128,1))))*100000000</f>
        <v>0</v>
      </c>
      <c r="F128" s="4" t="str">
        <f>HYPERLINK("http://141.218.60.56/~jnz1568/getInfo.php?workbook=04_01.xlsx&amp;sheet=A0&amp;row=128&amp;col=6&amp;number=&amp;sourceID=18","")</f>
        <v/>
      </c>
      <c r="G128" s="4" t="str">
        <f>HYPERLINK("http://141.218.60.56/~jnz1568/getInfo.php?workbook=04_01.xlsx&amp;sheet=A0&amp;row=128&amp;col=7&amp;number==&amp;sourceID=11","=")</f>
        <v>=</v>
      </c>
      <c r="H128" s="4" t="str">
        <f>HYPERLINK("http://141.218.60.56/~jnz1568/getInfo.php?workbook=04_01.xlsx&amp;sheet=A0&amp;row=128&amp;col=8&amp;number=188890000&amp;sourceID=11","188890000")</f>
        <v>188890000</v>
      </c>
      <c r="I128" s="4" t="str">
        <f>HYPERLINK("http://141.218.60.56/~jnz1568/getInfo.php?workbook=04_01.xlsx&amp;sheet=A0&amp;row=128&amp;col=9&amp;number=&amp;sourceID=11","")</f>
        <v/>
      </c>
      <c r="J128" s="4" t="str">
        <f>HYPERLINK("http://141.218.60.56/~jnz1568/getInfo.php?workbook=04_01.xlsx&amp;sheet=A0&amp;row=128&amp;col=10&amp;number=&amp;sourceID=11","")</f>
        <v/>
      </c>
      <c r="K128" s="4" t="str">
        <f>HYPERLINK("http://141.218.60.56/~jnz1568/getInfo.php?workbook=04_01.xlsx&amp;sheet=A0&amp;row=128&amp;col=11&amp;number=&amp;sourceID=11","")</f>
        <v/>
      </c>
      <c r="L128" s="4" t="str">
        <f>HYPERLINK("http://141.218.60.56/~jnz1568/getInfo.php?workbook=04_01.xlsx&amp;sheet=A0&amp;row=128&amp;col=12&amp;number=&amp;sourceID=11","")</f>
        <v/>
      </c>
      <c r="M128" s="4" t="str">
        <f>HYPERLINK("http://141.218.60.56/~jnz1568/getInfo.php?workbook=04_01.xlsx&amp;sheet=A0&amp;row=128&amp;col=13&amp;number=&amp;sourceID=11","")</f>
        <v/>
      </c>
      <c r="N128" s="4" t="str">
        <f>HYPERLINK("http://141.218.60.56/~jnz1568/getInfo.php?workbook=04_01.xlsx&amp;sheet=A0&amp;row=128&amp;col=14&amp;number=188900000&amp;sourceID=12","188900000")</f>
        <v>188900000</v>
      </c>
      <c r="O128" s="4" t="str">
        <f>HYPERLINK("http://141.218.60.56/~jnz1568/getInfo.php?workbook=04_01.xlsx&amp;sheet=A0&amp;row=128&amp;col=15&amp;number=188900000&amp;sourceID=12","188900000")</f>
        <v>188900000</v>
      </c>
      <c r="P128" s="4" t="str">
        <f>HYPERLINK("http://141.218.60.56/~jnz1568/getInfo.php?workbook=04_01.xlsx&amp;sheet=A0&amp;row=128&amp;col=16&amp;number=&amp;sourceID=12","")</f>
        <v/>
      </c>
      <c r="Q128" s="4" t="str">
        <f>HYPERLINK("http://141.218.60.56/~jnz1568/getInfo.php?workbook=04_01.xlsx&amp;sheet=A0&amp;row=128&amp;col=17&amp;number=&amp;sourceID=12","")</f>
        <v/>
      </c>
      <c r="R128" s="4" t="str">
        <f>HYPERLINK("http://141.218.60.56/~jnz1568/getInfo.php?workbook=04_01.xlsx&amp;sheet=A0&amp;row=128&amp;col=18&amp;number=&amp;sourceID=12","")</f>
        <v/>
      </c>
      <c r="S128" s="4" t="str">
        <f>HYPERLINK("http://141.218.60.56/~jnz1568/getInfo.php?workbook=04_01.xlsx&amp;sheet=A0&amp;row=128&amp;col=19&amp;number=&amp;sourceID=12","")</f>
        <v/>
      </c>
      <c r="T128" s="4" t="str">
        <f>HYPERLINK("http://141.218.60.56/~jnz1568/getInfo.php?workbook=04_01.xlsx&amp;sheet=A0&amp;row=128&amp;col=20&amp;number=&amp;sourceID=12","")</f>
        <v/>
      </c>
      <c r="U128" s="4" t="str">
        <f>HYPERLINK("http://141.218.60.56/~jnz1568/getInfo.php?workbook=04_01.xlsx&amp;sheet=A0&amp;row=128&amp;col=21&amp;number=&amp;sourceID=20","")</f>
        <v/>
      </c>
    </row>
    <row r="129" spans="1:21">
      <c r="A129" s="3">
        <v>4</v>
      </c>
      <c r="B129" s="3">
        <v>1</v>
      </c>
      <c r="C129" s="3">
        <v>17</v>
      </c>
      <c r="D129" s="3">
        <v>12</v>
      </c>
      <c r="E129" s="3">
        <f>((1/(INDEX(E0!J$4:J$28,C129,1)-INDEX(E0!J$4:J$28,D129,1))))*100000000</f>
        <v>0</v>
      </c>
      <c r="F129" s="4" t="str">
        <f>HYPERLINK("http://141.218.60.56/~jnz1568/getInfo.php?workbook=04_01.xlsx&amp;sheet=A0&amp;row=129&amp;col=6&amp;number=&amp;sourceID=18","")</f>
        <v/>
      </c>
      <c r="G129" s="4" t="str">
        <f>HYPERLINK("http://141.218.60.56/~jnz1568/getInfo.php?workbook=04_01.xlsx&amp;sheet=A0&amp;row=129&amp;col=7&amp;number==&amp;sourceID=11","=")</f>
        <v>=</v>
      </c>
      <c r="H129" s="4" t="str">
        <f>HYPERLINK("http://141.218.60.56/~jnz1568/getInfo.php?workbook=04_01.xlsx&amp;sheet=A0&amp;row=129&amp;col=8&amp;number=48380000&amp;sourceID=11","48380000")</f>
        <v>48380000</v>
      </c>
      <c r="I129" s="4" t="str">
        <f>HYPERLINK("http://141.218.60.56/~jnz1568/getInfo.php?workbook=04_01.xlsx&amp;sheet=A0&amp;row=129&amp;col=9&amp;number=&amp;sourceID=11","")</f>
        <v/>
      </c>
      <c r="J129" s="4" t="str">
        <f>HYPERLINK("http://141.218.60.56/~jnz1568/getInfo.php?workbook=04_01.xlsx&amp;sheet=A0&amp;row=129&amp;col=10&amp;number=&amp;sourceID=11","")</f>
        <v/>
      </c>
      <c r="K129" s="4" t="str">
        <f>HYPERLINK("http://141.218.60.56/~jnz1568/getInfo.php?workbook=04_01.xlsx&amp;sheet=A0&amp;row=129&amp;col=11&amp;number=&amp;sourceID=11","")</f>
        <v/>
      </c>
      <c r="L129" s="4" t="str">
        <f>HYPERLINK("http://141.218.60.56/~jnz1568/getInfo.php?workbook=04_01.xlsx&amp;sheet=A0&amp;row=129&amp;col=12&amp;number=3.3334e-05&amp;sourceID=11","3.3334e-05")</f>
        <v>3.3334e-05</v>
      </c>
      <c r="M129" s="4" t="str">
        <f>HYPERLINK("http://141.218.60.56/~jnz1568/getInfo.php?workbook=04_01.xlsx&amp;sheet=A0&amp;row=129&amp;col=13&amp;number=&amp;sourceID=11","")</f>
        <v/>
      </c>
      <c r="N129" s="4" t="str">
        <f>HYPERLINK("http://141.218.60.56/~jnz1568/getInfo.php?workbook=04_01.xlsx&amp;sheet=A0&amp;row=129&amp;col=14&amp;number=48383000&amp;sourceID=12","48383000")</f>
        <v>48383000</v>
      </c>
      <c r="O129" s="4" t="str">
        <f>HYPERLINK("http://141.218.60.56/~jnz1568/getInfo.php?workbook=04_01.xlsx&amp;sheet=A0&amp;row=129&amp;col=15&amp;number=48383000&amp;sourceID=12","48383000")</f>
        <v>48383000</v>
      </c>
      <c r="P129" s="4" t="str">
        <f>HYPERLINK("http://141.218.60.56/~jnz1568/getInfo.php?workbook=04_01.xlsx&amp;sheet=A0&amp;row=129&amp;col=16&amp;number=&amp;sourceID=12","")</f>
        <v/>
      </c>
      <c r="Q129" s="4" t="str">
        <f>HYPERLINK("http://141.218.60.56/~jnz1568/getInfo.php?workbook=04_01.xlsx&amp;sheet=A0&amp;row=129&amp;col=17&amp;number=&amp;sourceID=12","")</f>
        <v/>
      </c>
      <c r="R129" s="4" t="str">
        <f>HYPERLINK("http://141.218.60.56/~jnz1568/getInfo.php?workbook=04_01.xlsx&amp;sheet=A0&amp;row=129&amp;col=18&amp;number=&amp;sourceID=12","")</f>
        <v/>
      </c>
      <c r="S129" s="4" t="str">
        <f>HYPERLINK("http://141.218.60.56/~jnz1568/getInfo.php?workbook=04_01.xlsx&amp;sheet=A0&amp;row=129&amp;col=19&amp;number=3.3336e-05&amp;sourceID=12","3.3336e-05")</f>
        <v>3.3336e-05</v>
      </c>
      <c r="T129" s="4" t="str">
        <f>HYPERLINK("http://141.218.60.56/~jnz1568/getInfo.php?workbook=04_01.xlsx&amp;sheet=A0&amp;row=129&amp;col=20&amp;number=&amp;sourceID=12","")</f>
        <v/>
      </c>
      <c r="U129" s="4" t="str">
        <f>HYPERLINK("http://141.218.60.56/~jnz1568/getInfo.php?workbook=04_01.xlsx&amp;sheet=A0&amp;row=129&amp;col=21&amp;number=&amp;sourceID=20","")</f>
        <v/>
      </c>
    </row>
    <row r="130" spans="1:21">
      <c r="A130" s="3">
        <v>4</v>
      </c>
      <c r="B130" s="3">
        <v>1</v>
      </c>
      <c r="C130" s="3">
        <v>17</v>
      </c>
      <c r="D130" s="3">
        <v>13</v>
      </c>
      <c r="E130" s="3">
        <f>((1/(INDEX(E0!J$4:J$28,C130,1)-INDEX(E0!J$4:J$28,D130,1))))*100000000</f>
        <v>0</v>
      </c>
      <c r="F130" s="4" t="str">
        <f>HYPERLINK("http://141.218.60.56/~jnz1568/getInfo.php?workbook=04_01.xlsx&amp;sheet=A0&amp;row=130&amp;col=6&amp;number=&amp;sourceID=18","")</f>
        <v/>
      </c>
      <c r="G130" s="4" t="str">
        <f>HYPERLINK("http://141.218.60.56/~jnz1568/getInfo.php?workbook=04_01.xlsx&amp;sheet=A0&amp;row=130&amp;col=7&amp;number==&amp;sourceID=11","=")</f>
        <v>=</v>
      </c>
      <c r="H130" s="4" t="str">
        <f>HYPERLINK("http://141.218.60.56/~jnz1568/getInfo.php?workbook=04_01.xlsx&amp;sheet=A0&amp;row=130&amp;col=8&amp;number=&amp;sourceID=11","")</f>
        <v/>
      </c>
      <c r="I130" s="4" t="str">
        <f>HYPERLINK("http://141.218.60.56/~jnz1568/getInfo.php?workbook=04_01.xlsx&amp;sheet=A0&amp;row=130&amp;col=9&amp;number=1861.4&amp;sourceID=11","1861.4")</f>
        <v>1861.4</v>
      </c>
      <c r="J130" s="4" t="str">
        <f>HYPERLINK("http://141.218.60.56/~jnz1568/getInfo.php?workbook=04_01.xlsx&amp;sheet=A0&amp;row=130&amp;col=10&amp;number=&amp;sourceID=11","")</f>
        <v/>
      </c>
      <c r="K130" s="4" t="str">
        <f>HYPERLINK("http://141.218.60.56/~jnz1568/getInfo.php?workbook=04_01.xlsx&amp;sheet=A0&amp;row=130&amp;col=11&amp;number=5.4109e-05&amp;sourceID=11","5.4109e-05")</f>
        <v>5.4109e-05</v>
      </c>
      <c r="L130" s="4" t="str">
        <f>HYPERLINK("http://141.218.60.56/~jnz1568/getInfo.php?workbook=04_01.xlsx&amp;sheet=A0&amp;row=130&amp;col=12&amp;number=&amp;sourceID=11","")</f>
        <v/>
      </c>
      <c r="M130" s="4" t="str">
        <f>HYPERLINK("http://141.218.60.56/~jnz1568/getInfo.php?workbook=04_01.xlsx&amp;sheet=A0&amp;row=130&amp;col=13&amp;number=&amp;sourceID=11","")</f>
        <v/>
      </c>
      <c r="N130" s="4" t="str">
        <f>HYPERLINK("http://141.218.60.56/~jnz1568/getInfo.php?workbook=04_01.xlsx&amp;sheet=A0&amp;row=130&amp;col=14&amp;number=1861.5&amp;sourceID=12","1861.5")</f>
        <v>1861.5</v>
      </c>
      <c r="O130" s="4" t="str">
        <f>HYPERLINK("http://141.218.60.56/~jnz1568/getInfo.php?workbook=04_01.xlsx&amp;sheet=A0&amp;row=130&amp;col=15&amp;number=&amp;sourceID=12","")</f>
        <v/>
      </c>
      <c r="P130" s="4" t="str">
        <f>HYPERLINK("http://141.218.60.56/~jnz1568/getInfo.php?workbook=04_01.xlsx&amp;sheet=A0&amp;row=130&amp;col=16&amp;number=1861.5&amp;sourceID=12","1861.5")</f>
        <v>1861.5</v>
      </c>
      <c r="Q130" s="4" t="str">
        <f>HYPERLINK("http://141.218.60.56/~jnz1568/getInfo.php?workbook=04_01.xlsx&amp;sheet=A0&amp;row=130&amp;col=17&amp;number=&amp;sourceID=12","")</f>
        <v/>
      </c>
      <c r="R130" s="4" t="str">
        <f>HYPERLINK("http://141.218.60.56/~jnz1568/getInfo.php?workbook=04_01.xlsx&amp;sheet=A0&amp;row=130&amp;col=18&amp;number=5.4117e-05&amp;sourceID=12","5.4117e-05")</f>
        <v>5.4117e-05</v>
      </c>
      <c r="S130" s="4" t="str">
        <f>HYPERLINK("http://141.218.60.56/~jnz1568/getInfo.php?workbook=04_01.xlsx&amp;sheet=A0&amp;row=130&amp;col=19&amp;number=&amp;sourceID=12","")</f>
        <v/>
      </c>
      <c r="T130" s="4" t="str">
        <f>HYPERLINK("http://141.218.60.56/~jnz1568/getInfo.php?workbook=04_01.xlsx&amp;sheet=A0&amp;row=130&amp;col=20&amp;number=&amp;sourceID=12","")</f>
        <v/>
      </c>
      <c r="U130" s="4" t="str">
        <f>HYPERLINK("http://141.218.60.56/~jnz1568/getInfo.php?workbook=04_01.xlsx&amp;sheet=A0&amp;row=130&amp;col=21&amp;number=&amp;sourceID=20","")</f>
        <v/>
      </c>
    </row>
    <row r="131" spans="1:21">
      <c r="A131" s="3">
        <v>4</v>
      </c>
      <c r="B131" s="3">
        <v>1</v>
      </c>
      <c r="C131" s="3">
        <v>17</v>
      </c>
      <c r="D131" s="3">
        <v>14</v>
      </c>
      <c r="E131" s="3">
        <f>((1/(INDEX(E0!J$4:J$28,C131,1)-INDEX(E0!J$4:J$28,D131,1))))*100000000</f>
        <v>0</v>
      </c>
      <c r="F131" s="4" t="str">
        <f>HYPERLINK("http://141.218.60.56/~jnz1568/getInfo.php?workbook=04_01.xlsx&amp;sheet=A0&amp;row=131&amp;col=6&amp;number=&amp;sourceID=18","")</f>
        <v/>
      </c>
      <c r="G131" s="4" t="str">
        <f>HYPERLINK("http://141.218.60.56/~jnz1568/getInfo.php?workbook=04_01.xlsx&amp;sheet=A0&amp;row=131&amp;col=7&amp;number==&amp;sourceID=11","=")</f>
        <v>=</v>
      </c>
      <c r="H131" s="4" t="str">
        <f>HYPERLINK("http://141.218.60.56/~jnz1568/getInfo.php?workbook=04_01.xlsx&amp;sheet=A0&amp;row=131&amp;col=8&amp;number=&amp;sourceID=11","")</f>
        <v/>
      </c>
      <c r="I131" s="4" t="str">
        <f>HYPERLINK("http://141.218.60.56/~jnz1568/getInfo.php?workbook=04_01.xlsx&amp;sheet=A0&amp;row=131&amp;col=9&amp;number=193.16&amp;sourceID=11","193.16")</f>
        <v>193.16</v>
      </c>
      <c r="J131" s="4" t="str">
        <f>HYPERLINK("http://141.218.60.56/~jnz1568/getInfo.php?workbook=04_01.xlsx&amp;sheet=A0&amp;row=131&amp;col=10&amp;number=&amp;sourceID=11","")</f>
        <v/>
      </c>
      <c r="K131" s="4" t="str">
        <f>HYPERLINK("http://141.218.60.56/~jnz1568/getInfo.php?workbook=04_01.xlsx&amp;sheet=A0&amp;row=131&amp;col=11&amp;number=&amp;sourceID=11","")</f>
        <v/>
      </c>
      <c r="L131" s="4" t="str">
        <f>HYPERLINK("http://141.218.60.56/~jnz1568/getInfo.php?workbook=04_01.xlsx&amp;sheet=A0&amp;row=131&amp;col=12&amp;number=&amp;sourceID=11","")</f>
        <v/>
      </c>
      <c r="M131" s="4" t="str">
        <f>HYPERLINK("http://141.218.60.56/~jnz1568/getInfo.php?workbook=04_01.xlsx&amp;sheet=A0&amp;row=131&amp;col=13&amp;number=8.0459e-11&amp;sourceID=11","8.0459e-11")</f>
        <v>8.0459e-11</v>
      </c>
      <c r="N131" s="4" t="str">
        <f>HYPERLINK("http://141.218.60.56/~jnz1568/getInfo.php?workbook=04_01.xlsx&amp;sheet=A0&amp;row=131&amp;col=14&amp;number=193.17&amp;sourceID=12","193.17")</f>
        <v>193.17</v>
      </c>
      <c r="O131" s="4" t="str">
        <f>HYPERLINK("http://141.218.60.56/~jnz1568/getInfo.php?workbook=04_01.xlsx&amp;sheet=A0&amp;row=131&amp;col=15&amp;number=&amp;sourceID=12","")</f>
        <v/>
      </c>
      <c r="P131" s="4" t="str">
        <f>HYPERLINK("http://141.218.60.56/~jnz1568/getInfo.php?workbook=04_01.xlsx&amp;sheet=A0&amp;row=131&amp;col=16&amp;number=193.17&amp;sourceID=12","193.17")</f>
        <v>193.17</v>
      </c>
      <c r="Q131" s="4" t="str">
        <f>HYPERLINK("http://141.218.60.56/~jnz1568/getInfo.php?workbook=04_01.xlsx&amp;sheet=A0&amp;row=131&amp;col=17&amp;number=&amp;sourceID=12","")</f>
        <v/>
      </c>
      <c r="R131" s="4" t="str">
        <f>HYPERLINK("http://141.218.60.56/~jnz1568/getInfo.php?workbook=04_01.xlsx&amp;sheet=A0&amp;row=131&amp;col=18&amp;number=&amp;sourceID=12","")</f>
        <v/>
      </c>
      <c r="S131" s="4" t="str">
        <f>HYPERLINK("http://141.218.60.56/~jnz1568/getInfo.php?workbook=04_01.xlsx&amp;sheet=A0&amp;row=131&amp;col=19&amp;number=&amp;sourceID=12","")</f>
        <v/>
      </c>
      <c r="T131" s="4" t="str">
        <f>HYPERLINK("http://141.218.60.56/~jnz1568/getInfo.php?workbook=04_01.xlsx&amp;sheet=A0&amp;row=131&amp;col=20&amp;number=8.0463e-11&amp;sourceID=12","8.0463e-11")</f>
        <v>8.0463e-11</v>
      </c>
      <c r="U131" s="4" t="str">
        <f>HYPERLINK("http://141.218.60.56/~jnz1568/getInfo.php?workbook=04_01.xlsx&amp;sheet=A0&amp;row=131&amp;col=21&amp;number=&amp;sourceID=20","")</f>
        <v/>
      </c>
    </row>
    <row r="132" spans="1:21">
      <c r="A132" s="3">
        <v>4</v>
      </c>
      <c r="B132" s="3">
        <v>1</v>
      </c>
      <c r="C132" s="3">
        <v>17</v>
      </c>
      <c r="D132" s="3">
        <v>15</v>
      </c>
      <c r="E132" s="3">
        <f>((1/(INDEX(E0!J$4:J$28,C132,1)-INDEX(E0!J$4:J$28,D132,1))))*100000000</f>
        <v>0</v>
      </c>
      <c r="F132" s="4" t="str">
        <f>HYPERLINK("http://141.218.60.56/~jnz1568/getInfo.php?workbook=04_01.xlsx&amp;sheet=A0&amp;row=132&amp;col=6&amp;number=&amp;sourceID=18","")</f>
        <v/>
      </c>
      <c r="G132" s="4" t="str">
        <f>HYPERLINK("http://141.218.60.56/~jnz1568/getInfo.php?workbook=04_01.xlsx&amp;sheet=A0&amp;row=132&amp;col=7&amp;number==&amp;sourceID=11","=")</f>
        <v>=</v>
      </c>
      <c r="H132" s="4" t="str">
        <f>HYPERLINK("http://141.218.60.56/~jnz1568/getInfo.php?workbook=04_01.xlsx&amp;sheet=A0&amp;row=132&amp;col=8&amp;number=&amp;sourceID=11","")</f>
        <v/>
      </c>
      <c r="I132" s="4" t="str">
        <f>HYPERLINK("http://141.218.60.56/~jnz1568/getInfo.php?workbook=04_01.xlsx&amp;sheet=A0&amp;row=132&amp;col=9&amp;number=&amp;sourceID=11","")</f>
        <v/>
      </c>
      <c r="J132" s="4" t="str">
        <f>HYPERLINK("http://141.218.60.56/~jnz1568/getInfo.php?workbook=04_01.xlsx&amp;sheet=A0&amp;row=132&amp;col=10&amp;number=0.005043&amp;sourceID=11","0.005043")</f>
        <v>0.005043</v>
      </c>
      <c r="K132" s="4" t="str">
        <f>HYPERLINK("http://141.218.60.56/~jnz1568/getInfo.php?workbook=04_01.xlsx&amp;sheet=A0&amp;row=132&amp;col=11&amp;number=&amp;sourceID=11","")</f>
        <v/>
      </c>
      <c r="L132" s="4" t="str">
        <f>HYPERLINK("http://141.218.60.56/~jnz1568/getInfo.php?workbook=04_01.xlsx&amp;sheet=A0&amp;row=132&amp;col=12&amp;number=0.00035572&amp;sourceID=11","0.00035572")</f>
        <v>0.00035572</v>
      </c>
      <c r="M132" s="4" t="str">
        <f>HYPERLINK("http://141.218.60.56/~jnz1568/getInfo.php?workbook=04_01.xlsx&amp;sheet=A0&amp;row=132&amp;col=13&amp;number=&amp;sourceID=11","")</f>
        <v/>
      </c>
      <c r="N132" s="4" t="str">
        <f>HYPERLINK("http://141.218.60.56/~jnz1568/getInfo.php?workbook=04_01.xlsx&amp;sheet=A0&amp;row=132&amp;col=14&amp;number=0.005399&amp;sourceID=12","0.005399")</f>
        <v>0.005399</v>
      </c>
      <c r="O132" s="4" t="str">
        <f>HYPERLINK("http://141.218.60.56/~jnz1568/getInfo.php?workbook=04_01.xlsx&amp;sheet=A0&amp;row=132&amp;col=15&amp;number=&amp;sourceID=12","")</f>
        <v/>
      </c>
      <c r="P132" s="4" t="str">
        <f>HYPERLINK("http://141.218.60.56/~jnz1568/getInfo.php?workbook=04_01.xlsx&amp;sheet=A0&amp;row=132&amp;col=16&amp;number=&amp;sourceID=12","")</f>
        <v/>
      </c>
      <c r="Q132" s="4" t="str">
        <f>HYPERLINK("http://141.218.60.56/~jnz1568/getInfo.php?workbook=04_01.xlsx&amp;sheet=A0&amp;row=132&amp;col=17&amp;number=0.0050433&amp;sourceID=12","0.0050433")</f>
        <v>0.0050433</v>
      </c>
      <c r="R132" s="4" t="str">
        <f>HYPERLINK("http://141.218.60.56/~jnz1568/getInfo.php?workbook=04_01.xlsx&amp;sheet=A0&amp;row=132&amp;col=18&amp;number=&amp;sourceID=12","")</f>
        <v/>
      </c>
      <c r="S132" s="4" t="str">
        <f>HYPERLINK("http://141.218.60.56/~jnz1568/getInfo.php?workbook=04_01.xlsx&amp;sheet=A0&amp;row=132&amp;col=19&amp;number=0.00035575&amp;sourceID=12","0.00035575")</f>
        <v>0.00035575</v>
      </c>
      <c r="T132" s="4" t="str">
        <f>HYPERLINK("http://141.218.60.56/~jnz1568/getInfo.php?workbook=04_01.xlsx&amp;sheet=A0&amp;row=132&amp;col=20&amp;number=&amp;sourceID=12","")</f>
        <v/>
      </c>
      <c r="U132" s="4" t="str">
        <f>HYPERLINK("http://141.218.60.56/~jnz1568/getInfo.php?workbook=04_01.xlsx&amp;sheet=A0&amp;row=132&amp;col=21&amp;number=&amp;sourceID=20","")</f>
        <v/>
      </c>
    </row>
    <row r="133" spans="1:21">
      <c r="A133" s="3">
        <v>4</v>
      </c>
      <c r="B133" s="3">
        <v>1</v>
      </c>
      <c r="C133" s="3">
        <v>17</v>
      </c>
      <c r="D133" s="3">
        <v>16</v>
      </c>
      <c r="E133" s="3">
        <f>((1/(INDEX(E0!J$4:J$28,C133,1)-INDEX(E0!J$4:J$28,D133,1))))*100000000</f>
        <v>0</v>
      </c>
      <c r="F133" s="4" t="str">
        <f>HYPERLINK("http://141.218.60.56/~jnz1568/getInfo.php?workbook=04_01.xlsx&amp;sheet=A0&amp;row=133&amp;col=6&amp;number=&amp;sourceID=18","")</f>
        <v/>
      </c>
      <c r="G133" s="4" t="str">
        <f>HYPERLINK("http://141.218.60.56/~jnz1568/getInfo.php?workbook=04_01.xlsx&amp;sheet=A0&amp;row=133&amp;col=7&amp;number==&amp;sourceID=11","=")</f>
        <v>=</v>
      </c>
      <c r="H133" s="4" t="str">
        <f>HYPERLINK("http://141.218.60.56/~jnz1568/getInfo.php?workbook=04_01.xlsx&amp;sheet=A0&amp;row=133&amp;col=8&amp;number=&amp;sourceID=11","")</f>
        <v/>
      </c>
      <c r="I133" s="4" t="str">
        <f>HYPERLINK("http://141.218.60.56/~jnz1568/getInfo.php?workbook=04_01.xlsx&amp;sheet=A0&amp;row=133&amp;col=9&amp;number=&amp;sourceID=11","")</f>
        <v/>
      </c>
      <c r="J133" s="4" t="str">
        <f>HYPERLINK("http://141.218.60.56/~jnz1568/getInfo.php?workbook=04_01.xlsx&amp;sheet=A0&amp;row=133&amp;col=10&amp;number=&amp;sourceID=11","")</f>
        <v/>
      </c>
      <c r="K133" s="4" t="str">
        <f>HYPERLINK("http://141.218.60.56/~jnz1568/getInfo.php?workbook=04_01.xlsx&amp;sheet=A0&amp;row=133&amp;col=11&amp;number=&amp;sourceID=11","")</f>
        <v/>
      </c>
      <c r="L133" s="4" t="str">
        <f>HYPERLINK("http://141.218.60.56/~jnz1568/getInfo.php?workbook=04_01.xlsx&amp;sheet=A0&amp;row=133&amp;col=12&amp;number=&amp;sourceID=11","")</f>
        <v/>
      </c>
      <c r="M133" s="4" t="str">
        <f>HYPERLINK("http://141.218.60.56/~jnz1568/getInfo.php?workbook=04_01.xlsx&amp;sheet=A0&amp;row=133&amp;col=13&amp;number=2.1724e-09&amp;sourceID=11","2.1724e-09")</f>
        <v>2.1724e-09</v>
      </c>
      <c r="N133" s="4" t="str">
        <f>HYPERLINK("http://141.218.60.56/~jnz1568/getInfo.php?workbook=04_01.xlsx&amp;sheet=A0&amp;row=133&amp;col=14&amp;number=2.1725e-09&amp;sourceID=12","2.1725e-09")</f>
        <v>2.1725e-09</v>
      </c>
      <c r="O133" s="4" t="str">
        <f>HYPERLINK("http://141.218.60.56/~jnz1568/getInfo.php?workbook=04_01.xlsx&amp;sheet=A0&amp;row=133&amp;col=15&amp;number=&amp;sourceID=12","")</f>
        <v/>
      </c>
      <c r="P133" s="4" t="str">
        <f>HYPERLINK("http://141.218.60.56/~jnz1568/getInfo.php?workbook=04_01.xlsx&amp;sheet=A0&amp;row=133&amp;col=16&amp;number=&amp;sourceID=12","")</f>
        <v/>
      </c>
      <c r="Q133" s="4" t="str">
        <f>HYPERLINK("http://141.218.60.56/~jnz1568/getInfo.php?workbook=04_01.xlsx&amp;sheet=A0&amp;row=133&amp;col=17&amp;number=&amp;sourceID=12","")</f>
        <v/>
      </c>
      <c r="R133" s="4" t="str">
        <f>HYPERLINK("http://141.218.60.56/~jnz1568/getInfo.php?workbook=04_01.xlsx&amp;sheet=A0&amp;row=133&amp;col=18&amp;number=&amp;sourceID=12","")</f>
        <v/>
      </c>
      <c r="S133" s="4" t="str">
        <f>HYPERLINK("http://141.218.60.56/~jnz1568/getInfo.php?workbook=04_01.xlsx&amp;sheet=A0&amp;row=133&amp;col=19&amp;number=&amp;sourceID=12","")</f>
        <v/>
      </c>
      <c r="T133" s="4" t="str">
        <f>HYPERLINK("http://141.218.60.56/~jnz1568/getInfo.php?workbook=04_01.xlsx&amp;sheet=A0&amp;row=133&amp;col=20&amp;number=2.1725e-09&amp;sourceID=12","2.1725e-09")</f>
        <v>2.1725e-09</v>
      </c>
      <c r="U133" s="4" t="str">
        <f>HYPERLINK("http://141.218.60.56/~jnz1568/getInfo.php?workbook=04_01.xlsx&amp;sheet=A0&amp;row=133&amp;col=21&amp;number=&amp;sourceID=20","")</f>
        <v/>
      </c>
    </row>
    <row r="134" spans="1:21">
      <c r="A134" s="3">
        <v>4</v>
      </c>
      <c r="B134" s="3">
        <v>1</v>
      </c>
      <c r="C134" s="3">
        <v>18</v>
      </c>
      <c r="D134" s="3">
        <v>1</v>
      </c>
      <c r="E134" s="3">
        <f>((1/(INDEX(E0!J$4:J$28,C134,1)-INDEX(E0!J$4:J$28,D134,1))))*100000000</f>
        <v>0</v>
      </c>
      <c r="F134" s="4" t="str">
        <f>HYPERLINK("http://141.218.60.56/~jnz1568/getInfo.php?workbook=04_01.xlsx&amp;sheet=A0&amp;row=134&amp;col=6&amp;number=&amp;sourceID=18","")</f>
        <v/>
      </c>
      <c r="G134" s="4" t="str">
        <f>HYPERLINK("http://141.218.60.56/~jnz1568/getInfo.php?workbook=04_01.xlsx&amp;sheet=A0&amp;row=134&amp;col=7&amp;number==SUM(H134:M134)&amp;sourceID=11","=SUM(H134:M134)")</f>
        <v>=SUM(H134:M134)</v>
      </c>
      <c r="H134" s="4" t="str">
        <f>HYPERLINK("http://141.218.60.56/~jnz1568/getInfo.php?workbook=04_01.xlsx&amp;sheet=A0&amp;row=134&amp;col=8&amp;number=&amp;sourceID=11","")</f>
        <v/>
      </c>
      <c r="I134" s="4" t="str">
        <f>HYPERLINK("http://141.218.60.56/~jnz1568/getInfo.php?workbook=04_01.xlsx&amp;sheet=A0&amp;row=134&amp;col=9&amp;number=&amp;sourceID=11","")</f>
        <v/>
      </c>
      <c r="J134" s="4" t="str">
        <f>HYPERLINK("http://141.218.60.56/~jnz1568/getInfo.php?workbook=04_01.xlsx&amp;sheet=A0&amp;row=134&amp;col=10&amp;number=&amp;sourceID=11","")</f>
        <v/>
      </c>
      <c r="K134" s="4" t="str">
        <f>HYPERLINK("http://141.218.60.56/~jnz1568/getInfo.php?workbook=04_01.xlsx&amp;sheet=A0&amp;row=134&amp;col=11&amp;number=0.30133&amp;sourceID=11","0.30133")</f>
        <v>0.30133</v>
      </c>
      <c r="L134" s="4" t="str">
        <f>HYPERLINK("http://141.218.60.56/~jnz1568/getInfo.php?workbook=04_01.xlsx&amp;sheet=A0&amp;row=134&amp;col=12&amp;number=&amp;sourceID=11","")</f>
        <v/>
      </c>
      <c r="M134" s="4" t="str">
        <f>HYPERLINK("http://141.218.60.56/~jnz1568/getInfo.php?workbook=04_01.xlsx&amp;sheet=A0&amp;row=134&amp;col=13&amp;number=&amp;sourceID=11","")</f>
        <v/>
      </c>
      <c r="N134" s="4" t="str">
        <f>HYPERLINK("http://141.218.60.56/~jnz1568/getInfo.php?workbook=04_01.xlsx&amp;sheet=A0&amp;row=134&amp;col=14&amp;number=0.3013&amp;sourceID=12","0.3013")</f>
        <v>0.3013</v>
      </c>
      <c r="O134" s="4" t="str">
        <f>HYPERLINK("http://141.218.60.56/~jnz1568/getInfo.php?workbook=04_01.xlsx&amp;sheet=A0&amp;row=134&amp;col=15&amp;number=&amp;sourceID=12","")</f>
        <v/>
      </c>
      <c r="P134" s="4" t="str">
        <f>HYPERLINK("http://141.218.60.56/~jnz1568/getInfo.php?workbook=04_01.xlsx&amp;sheet=A0&amp;row=134&amp;col=16&amp;number=&amp;sourceID=12","")</f>
        <v/>
      </c>
      <c r="Q134" s="4" t="str">
        <f>HYPERLINK("http://141.218.60.56/~jnz1568/getInfo.php?workbook=04_01.xlsx&amp;sheet=A0&amp;row=134&amp;col=17&amp;number=&amp;sourceID=12","")</f>
        <v/>
      </c>
      <c r="R134" s="4" t="str">
        <f>HYPERLINK("http://141.218.60.56/~jnz1568/getInfo.php?workbook=04_01.xlsx&amp;sheet=A0&amp;row=134&amp;col=18&amp;number=0.3013&amp;sourceID=12","0.3013")</f>
        <v>0.3013</v>
      </c>
      <c r="S134" s="4" t="str">
        <f>HYPERLINK("http://141.218.60.56/~jnz1568/getInfo.php?workbook=04_01.xlsx&amp;sheet=A0&amp;row=134&amp;col=19&amp;number=&amp;sourceID=12","")</f>
        <v/>
      </c>
      <c r="T134" s="4" t="str">
        <f>HYPERLINK("http://141.218.60.56/~jnz1568/getInfo.php?workbook=04_01.xlsx&amp;sheet=A0&amp;row=134&amp;col=20&amp;number=&amp;sourceID=12","")</f>
        <v/>
      </c>
      <c r="U134" s="4" t="str">
        <f>HYPERLINK("http://141.218.60.56/~jnz1568/getInfo.php?workbook=04_01.xlsx&amp;sheet=A0&amp;row=134&amp;col=21&amp;number=&amp;sourceID=20","")</f>
        <v/>
      </c>
    </row>
    <row r="135" spans="1:21">
      <c r="A135" s="3">
        <v>4</v>
      </c>
      <c r="B135" s="3">
        <v>1</v>
      </c>
      <c r="C135" s="3">
        <v>18</v>
      </c>
      <c r="D135" s="3">
        <v>2</v>
      </c>
      <c r="E135" s="3">
        <f>((1/(INDEX(E0!J$4:J$28,C135,1)-INDEX(E0!J$4:J$28,D135,1))))*100000000</f>
        <v>0</v>
      </c>
      <c r="F135" s="4" t="str">
        <f>HYPERLINK("http://141.218.60.56/~jnz1568/getInfo.php?workbook=04_01.xlsx&amp;sheet=A0&amp;row=135&amp;col=6&amp;number=&amp;sourceID=18","")</f>
        <v/>
      </c>
      <c r="G135" s="4" t="str">
        <f>HYPERLINK("http://141.218.60.56/~jnz1568/getInfo.php?workbook=04_01.xlsx&amp;sheet=A0&amp;row=135&amp;col=7&amp;number==&amp;sourceID=11","=")</f>
        <v>=</v>
      </c>
      <c r="H135" s="4" t="str">
        <f>HYPERLINK("http://141.218.60.56/~jnz1568/getInfo.php?workbook=04_01.xlsx&amp;sheet=A0&amp;row=135&amp;col=8&amp;number=110070000&amp;sourceID=11","110070000")</f>
        <v>110070000</v>
      </c>
      <c r="I135" s="4" t="str">
        <f>HYPERLINK("http://141.218.60.56/~jnz1568/getInfo.php?workbook=04_01.xlsx&amp;sheet=A0&amp;row=135&amp;col=9&amp;number=&amp;sourceID=11","")</f>
        <v/>
      </c>
      <c r="J135" s="4" t="str">
        <f>HYPERLINK("http://141.218.60.56/~jnz1568/getInfo.php?workbook=04_01.xlsx&amp;sheet=A0&amp;row=135&amp;col=10&amp;number=&amp;sourceID=11","")</f>
        <v/>
      </c>
      <c r="K135" s="4" t="str">
        <f>HYPERLINK("http://141.218.60.56/~jnz1568/getInfo.php?workbook=04_01.xlsx&amp;sheet=A0&amp;row=135&amp;col=11&amp;number=&amp;sourceID=11","")</f>
        <v/>
      </c>
      <c r="L135" s="4" t="str">
        <f>HYPERLINK("http://141.218.60.56/~jnz1568/getInfo.php?workbook=04_01.xlsx&amp;sheet=A0&amp;row=135&amp;col=12&amp;number=&amp;sourceID=11","")</f>
        <v/>
      </c>
      <c r="M135" s="4" t="str">
        <f>HYPERLINK("http://141.218.60.56/~jnz1568/getInfo.php?workbook=04_01.xlsx&amp;sheet=A0&amp;row=135&amp;col=13&amp;number=&amp;sourceID=11","")</f>
        <v/>
      </c>
      <c r="N135" s="4" t="str">
        <f>HYPERLINK("http://141.218.60.56/~jnz1568/getInfo.php?workbook=04_01.xlsx&amp;sheet=A0&amp;row=135&amp;col=14&amp;number=110080000&amp;sourceID=12","110080000")</f>
        <v>110080000</v>
      </c>
      <c r="O135" s="4" t="str">
        <f>HYPERLINK("http://141.218.60.56/~jnz1568/getInfo.php?workbook=04_01.xlsx&amp;sheet=A0&amp;row=135&amp;col=15&amp;number=110080000&amp;sourceID=12","110080000")</f>
        <v>110080000</v>
      </c>
      <c r="P135" s="4" t="str">
        <f>HYPERLINK("http://141.218.60.56/~jnz1568/getInfo.php?workbook=04_01.xlsx&amp;sheet=A0&amp;row=135&amp;col=16&amp;number=&amp;sourceID=12","")</f>
        <v/>
      </c>
      <c r="Q135" s="4" t="str">
        <f>HYPERLINK("http://141.218.60.56/~jnz1568/getInfo.php?workbook=04_01.xlsx&amp;sheet=A0&amp;row=135&amp;col=17&amp;number=&amp;sourceID=12","")</f>
        <v/>
      </c>
      <c r="R135" s="4" t="str">
        <f>HYPERLINK("http://141.218.60.56/~jnz1568/getInfo.php?workbook=04_01.xlsx&amp;sheet=A0&amp;row=135&amp;col=18&amp;number=&amp;sourceID=12","")</f>
        <v/>
      </c>
      <c r="S135" s="4" t="str">
        <f>HYPERLINK("http://141.218.60.56/~jnz1568/getInfo.php?workbook=04_01.xlsx&amp;sheet=A0&amp;row=135&amp;col=19&amp;number=&amp;sourceID=12","")</f>
        <v/>
      </c>
      <c r="T135" s="4" t="str">
        <f>HYPERLINK("http://141.218.60.56/~jnz1568/getInfo.php?workbook=04_01.xlsx&amp;sheet=A0&amp;row=135&amp;col=20&amp;number=&amp;sourceID=12","")</f>
        <v/>
      </c>
      <c r="U135" s="4" t="str">
        <f>HYPERLINK("http://141.218.60.56/~jnz1568/getInfo.php?workbook=04_01.xlsx&amp;sheet=A0&amp;row=135&amp;col=21&amp;number=&amp;sourceID=20","")</f>
        <v/>
      </c>
    </row>
    <row r="136" spans="1:21">
      <c r="A136" s="3">
        <v>4</v>
      </c>
      <c r="B136" s="3">
        <v>1</v>
      </c>
      <c r="C136" s="3">
        <v>18</v>
      </c>
      <c r="D136" s="3">
        <v>3</v>
      </c>
      <c r="E136" s="3">
        <f>((1/(INDEX(E0!J$4:J$28,C136,1)-INDEX(E0!J$4:J$28,D136,1))))*100000000</f>
        <v>0</v>
      </c>
      <c r="F136" s="4" t="str">
        <f>HYPERLINK("http://141.218.60.56/~jnz1568/getInfo.php?workbook=04_01.xlsx&amp;sheet=A0&amp;row=136&amp;col=6&amp;number=&amp;sourceID=18","")</f>
        <v/>
      </c>
      <c r="G136" s="4" t="str">
        <f>HYPERLINK("http://141.218.60.56/~jnz1568/getInfo.php?workbook=04_01.xlsx&amp;sheet=A0&amp;row=136&amp;col=7&amp;number==&amp;sourceID=11","=")</f>
        <v>=</v>
      </c>
      <c r="H136" s="4" t="str">
        <f>HYPERLINK("http://141.218.60.56/~jnz1568/getInfo.php?workbook=04_01.xlsx&amp;sheet=A0&amp;row=136&amp;col=8&amp;number=&amp;sourceID=11","")</f>
        <v/>
      </c>
      <c r="I136" s="4" t="str">
        <f>HYPERLINK("http://141.218.60.56/~jnz1568/getInfo.php?workbook=04_01.xlsx&amp;sheet=A0&amp;row=136&amp;col=9&amp;number=&amp;sourceID=11","")</f>
        <v/>
      </c>
      <c r="J136" s="4" t="str">
        <f>HYPERLINK("http://141.218.60.56/~jnz1568/getInfo.php?workbook=04_01.xlsx&amp;sheet=A0&amp;row=136&amp;col=10&amp;number=&amp;sourceID=11","")</f>
        <v/>
      </c>
      <c r="K136" s="4" t="str">
        <f>HYPERLINK("http://141.218.60.56/~jnz1568/getInfo.php?workbook=04_01.xlsx&amp;sheet=A0&amp;row=136&amp;col=11&amp;number=0.0011359&amp;sourceID=11","0.0011359")</f>
        <v>0.0011359</v>
      </c>
      <c r="L136" s="4" t="str">
        <f>HYPERLINK("http://141.218.60.56/~jnz1568/getInfo.php?workbook=04_01.xlsx&amp;sheet=A0&amp;row=136&amp;col=12&amp;number=&amp;sourceID=11","")</f>
        <v/>
      </c>
      <c r="M136" s="4" t="str">
        <f>HYPERLINK("http://141.218.60.56/~jnz1568/getInfo.php?workbook=04_01.xlsx&amp;sheet=A0&amp;row=136&amp;col=13&amp;number=&amp;sourceID=11","")</f>
        <v/>
      </c>
      <c r="N136" s="4" t="str">
        <f>HYPERLINK("http://141.218.60.56/~jnz1568/getInfo.php?workbook=04_01.xlsx&amp;sheet=A0&amp;row=136&amp;col=14&amp;number=0.0011347&amp;sourceID=12","0.0011347")</f>
        <v>0.0011347</v>
      </c>
      <c r="O136" s="4" t="str">
        <f>HYPERLINK("http://141.218.60.56/~jnz1568/getInfo.php?workbook=04_01.xlsx&amp;sheet=A0&amp;row=136&amp;col=15&amp;number=&amp;sourceID=12","")</f>
        <v/>
      </c>
      <c r="P136" s="4" t="str">
        <f>HYPERLINK("http://141.218.60.56/~jnz1568/getInfo.php?workbook=04_01.xlsx&amp;sheet=A0&amp;row=136&amp;col=16&amp;number=&amp;sourceID=12","")</f>
        <v/>
      </c>
      <c r="Q136" s="4" t="str">
        <f>HYPERLINK("http://141.218.60.56/~jnz1568/getInfo.php?workbook=04_01.xlsx&amp;sheet=A0&amp;row=136&amp;col=17&amp;number=&amp;sourceID=12","")</f>
        <v/>
      </c>
      <c r="R136" s="4" t="str">
        <f>HYPERLINK("http://141.218.60.56/~jnz1568/getInfo.php?workbook=04_01.xlsx&amp;sheet=A0&amp;row=136&amp;col=18&amp;number=0.0011347&amp;sourceID=12","0.0011347")</f>
        <v>0.0011347</v>
      </c>
      <c r="S136" s="4" t="str">
        <f>HYPERLINK("http://141.218.60.56/~jnz1568/getInfo.php?workbook=04_01.xlsx&amp;sheet=A0&amp;row=136&amp;col=19&amp;number=&amp;sourceID=12","")</f>
        <v/>
      </c>
      <c r="T136" s="4" t="str">
        <f>HYPERLINK("http://141.218.60.56/~jnz1568/getInfo.php?workbook=04_01.xlsx&amp;sheet=A0&amp;row=136&amp;col=20&amp;number=&amp;sourceID=12","")</f>
        <v/>
      </c>
      <c r="U136" s="4" t="str">
        <f>HYPERLINK("http://141.218.60.56/~jnz1568/getInfo.php?workbook=04_01.xlsx&amp;sheet=A0&amp;row=136&amp;col=21&amp;number=&amp;sourceID=20","")</f>
        <v/>
      </c>
    </row>
    <row r="137" spans="1:21">
      <c r="A137" s="3">
        <v>4</v>
      </c>
      <c r="B137" s="3">
        <v>1</v>
      </c>
      <c r="C137" s="3">
        <v>18</v>
      </c>
      <c r="D137" s="3">
        <v>4</v>
      </c>
      <c r="E137" s="3">
        <f>((1/(INDEX(E0!J$4:J$28,C137,1)-INDEX(E0!J$4:J$28,D137,1))))*100000000</f>
        <v>0</v>
      </c>
      <c r="F137" s="4" t="str">
        <f>HYPERLINK("http://141.218.60.56/~jnz1568/getInfo.php?workbook=04_01.xlsx&amp;sheet=A0&amp;row=137&amp;col=6&amp;number=&amp;sourceID=18","")</f>
        <v/>
      </c>
      <c r="G137" s="4" t="str">
        <f>HYPERLINK("http://141.218.60.56/~jnz1568/getInfo.php?workbook=04_01.xlsx&amp;sheet=A0&amp;row=137&amp;col=7&amp;number==&amp;sourceID=11","=")</f>
        <v>=</v>
      </c>
      <c r="H137" s="4" t="str">
        <f>HYPERLINK("http://141.218.60.56/~jnz1568/getInfo.php?workbook=04_01.xlsx&amp;sheet=A0&amp;row=137&amp;col=8&amp;number=220500000&amp;sourceID=11","220500000")</f>
        <v>220500000</v>
      </c>
      <c r="I137" s="4" t="str">
        <f>HYPERLINK("http://141.218.60.56/~jnz1568/getInfo.php?workbook=04_01.xlsx&amp;sheet=A0&amp;row=137&amp;col=9&amp;number=&amp;sourceID=11","")</f>
        <v/>
      </c>
      <c r="J137" s="4" t="str">
        <f>HYPERLINK("http://141.218.60.56/~jnz1568/getInfo.php?workbook=04_01.xlsx&amp;sheet=A0&amp;row=137&amp;col=10&amp;number=&amp;sourceID=11","")</f>
        <v/>
      </c>
      <c r="K137" s="4" t="str">
        <f>HYPERLINK("http://141.218.60.56/~jnz1568/getInfo.php?workbook=04_01.xlsx&amp;sheet=A0&amp;row=137&amp;col=11&amp;number=&amp;sourceID=11","")</f>
        <v/>
      </c>
      <c r="L137" s="4" t="str">
        <f>HYPERLINK("http://141.218.60.56/~jnz1568/getInfo.php?workbook=04_01.xlsx&amp;sheet=A0&amp;row=137&amp;col=12&amp;number=0.33098&amp;sourceID=11","0.33098")</f>
        <v>0.33098</v>
      </c>
      <c r="M137" s="4" t="str">
        <f>HYPERLINK("http://141.218.60.56/~jnz1568/getInfo.php?workbook=04_01.xlsx&amp;sheet=A0&amp;row=137&amp;col=13&amp;number=&amp;sourceID=11","")</f>
        <v/>
      </c>
      <c r="N137" s="4" t="str">
        <f>HYPERLINK("http://141.218.60.56/~jnz1568/getInfo.php?workbook=04_01.xlsx&amp;sheet=A0&amp;row=137&amp;col=14&amp;number=220510000&amp;sourceID=12","220510000")</f>
        <v>220510000</v>
      </c>
      <c r="O137" s="4" t="str">
        <f>HYPERLINK("http://141.218.60.56/~jnz1568/getInfo.php?workbook=04_01.xlsx&amp;sheet=A0&amp;row=137&amp;col=15&amp;number=220510000&amp;sourceID=12","220510000")</f>
        <v>220510000</v>
      </c>
      <c r="P137" s="4" t="str">
        <f>HYPERLINK("http://141.218.60.56/~jnz1568/getInfo.php?workbook=04_01.xlsx&amp;sheet=A0&amp;row=137&amp;col=16&amp;number=&amp;sourceID=12","")</f>
        <v/>
      </c>
      <c r="Q137" s="4" t="str">
        <f>HYPERLINK("http://141.218.60.56/~jnz1568/getInfo.php?workbook=04_01.xlsx&amp;sheet=A0&amp;row=137&amp;col=17&amp;number=&amp;sourceID=12","")</f>
        <v/>
      </c>
      <c r="R137" s="4" t="str">
        <f>HYPERLINK("http://141.218.60.56/~jnz1568/getInfo.php?workbook=04_01.xlsx&amp;sheet=A0&amp;row=137&amp;col=18&amp;number=&amp;sourceID=12","")</f>
        <v/>
      </c>
      <c r="S137" s="4" t="str">
        <f>HYPERLINK("http://141.218.60.56/~jnz1568/getInfo.php?workbook=04_01.xlsx&amp;sheet=A0&amp;row=137&amp;col=19&amp;number=0.331&amp;sourceID=12","0.331")</f>
        <v>0.331</v>
      </c>
      <c r="T137" s="4" t="str">
        <f>HYPERLINK("http://141.218.60.56/~jnz1568/getInfo.php?workbook=04_01.xlsx&amp;sheet=A0&amp;row=137&amp;col=20&amp;number=&amp;sourceID=12","")</f>
        <v/>
      </c>
      <c r="U137" s="4" t="str">
        <f>HYPERLINK("http://141.218.60.56/~jnz1568/getInfo.php?workbook=04_01.xlsx&amp;sheet=A0&amp;row=137&amp;col=21&amp;number=&amp;sourceID=20","")</f>
        <v/>
      </c>
    </row>
    <row r="138" spans="1:21">
      <c r="A138" s="3">
        <v>4</v>
      </c>
      <c r="B138" s="3">
        <v>1</v>
      </c>
      <c r="C138" s="3">
        <v>18</v>
      </c>
      <c r="D138" s="3">
        <v>5</v>
      </c>
      <c r="E138" s="3">
        <f>((1/(INDEX(E0!J$4:J$28,C138,1)-INDEX(E0!J$4:J$28,D138,1))))*100000000</f>
        <v>0</v>
      </c>
      <c r="F138" s="4" t="str">
        <f>HYPERLINK("http://141.218.60.56/~jnz1568/getInfo.php?workbook=04_01.xlsx&amp;sheet=A0&amp;row=138&amp;col=6&amp;number=&amp;sourceID=18","")</f>
        <v/>
      </c>
      <c r="G138" s="4" t="str">
        <f>HYPERLINK("http://141.218.60.56/~jnz1568/getInfo.php?workbook=04_01.xlsx&amp;sheet=A0&amp;row=138&amp;col=7&amp;number==&amp;sourceID=11","=")</f>
        <v>=</v>
      </c>
      <c r="H138" s="4" t="str">
        <f>HYPERLINK("http://141.218.60.56/~jnz1568/getInfo.php?workbook=04_01.xlsx&amp;sheet=A0&amp;row=138&amp;col=8&amp;number=77269000&amp;sourceID=11","77269000")</f>
        <v>77269000</v>
      </c>
      <c r="I138" s="4" t="str">
        <f>HYPERLINK("http://141.218.60.56/~jnz1568/getInfo.php?workbook=04_01.xlsx&amp;sheet=A0&amp;row=138&amp;col=9&amp;number=&amp;sourceID=11","")</f>
        <v/>
      </c>
      <c r="J138" s="4" t="str">
        <f>HYPERLINK("http://141.218.60.56/~jnz1568/getInfo.php?workbook=04_01.xlsx&amp;sheet=A0&amp;row=138&amp;col=10&amp;number=&amp;sourceID=11","")</f>
        <v/>
      </c>
      <c r="K138" s="4" t="str">
        <f>HYPERLINK("http://141.218.60.56/~jnz1568/getInfo.php?workbook=04_01.xlsx&amp;sheet=A0&amp;row=138&amp;col=11&amp;number=&amp;sourceID=11","")</f>
        <v/>
      </c>
      <c r="L138" s="4" t="str">
        <f>HYPERLINK("http://141.218.60.56/~jnz1568/getInfo.php?workbook=04_01.xlsx&amp;sheet=A0&amp;row=138&amp;col=12&amp;number=&amp;sourceID=11","")</f>
        <v/>
      </c>
      <c r="M138" s="4" t="str">
        <f>HYPERLINK("http://141.218.60.56/~jnz1568/getInfo.php?workbook=04_01.xlsx&amp;sheet=A0&amp;row=138&amp;col=13&amp;number=&amp;sourceID=11","")</f>
        <v/>
      </c>
      <c r="N138" s="4" t="str">
        <f>HYPERLINK("http://141.218.60.56/~jnz1568/getInfo.php?workbook=04_01.xlsx&amp;sheet=A0&amp;row=138&amp;col=14&amp;number=77274000&amp;sourceID=12","77274000")</f>
        <v>77274000</v>
      </c>
      <c r="O138" s="4" t="str">
        <f>HYPERLINK("http://141.218.60.56/~jnz1568/getInfo.php?workbook=04_01.xlsx&amp;sheet=A0&amp;row=138&amp;col=15&amp;number=77274000&amp;sourceID=12","77274000")</f>
        <v>77274000</v>
      </c>
      <c r="P138" s="4" t="str">
        <f>HYPERLINK("http://141.218.60.56/~jnz1568/getInfo.php?workbook=04_01.xlsx&amp;sheet=A0&amp;row=138&amp;col=16&amp;number=&amp;sourceID=12","")</f>
        <v/>
      </c>
      <c r="Q138" s="4" t="str">
        <f>HYPERLINK("http://141.218.60.56/~jnz1568/getInfo.php?workbook=04_01.xlsx&amp;sheet=A0&amp;row=138&amp;col=17&amp;number=&amp;sourceID=12","")</f>
        <v/>
      </c>
      <c r="R138" s="4" t="str">
        <f>HYPERLINK("http://141.218.60.56/~jnz1568/getInfo.php?workbook=04_01.xlsx&amp;sheet=A0&amp;row=138&amp;col=18&amp;number=&amp;sourceID=12","")</f>
        <v/>
      </c>
      <c r="S138" s="4" t="str">
        <f>HYPERLINK("http://141.218.60.56/~jnz1568/getInfo.php?workbook=04_01.xlsx&amp;sheet=A0&amp;row=138&amp;col=19&amp;number=&amp;sourceID=12","")</f>
        <v/>
      </c>
      <c r="T138" s="4" t="str">
        <f>HYPERLINK("http://141.218.60.56/~jnz1568/getInfo.php?workbook=04_01.xlsx&amp;sheet=A0&amp;row=138&amp;col=20&amp;number=&amp;sourceID=12","")</f>
        <v/>
      </c>
      <c r="U138" s="4" t="str">
        <f>HYPERLINK("http://141.218.60.56/~jnz1568/getInfo.php?workbook=04_01.xlsx&amp;sheet=A0&amp;row=138&amp;col=21&amp;number=&amp;sourceID=20","")</f>
        <v/>
      </c>
    </row>
    <row r="139" spans="1:21">
      <c r="A139" s="3">
        <v>4</v>
      </c>
      <c r="B139" s="3">
        <v>1</v>
      </c>
      <c r="C139" s="3">
        <v>18</v>
      </c>
      <c r="D139" s="3">
        <v>6</v>
      </c>
      <c r="E139" s="3">
        <f>((1/(INDEX(E0!J$4:J$28,C139,1)-INDEX(E0!J$4:J$28,D139,1))))*100000000</f>
        <v>0</v>
      </c>
      <c r="F139" s="4" t="str">
        <f>HYPERLINK("http://141.218.60.56/~jnz1568/getInfo.php?workbook=04_01.xlsx&amp;sheet=A0&amp;row=139&amp;col=6&amp;number=&amp;sourceID=18","")</f>
        <v/>
      </c>
      <c r="G139" s="4" t="str">
        <f>HYPERLINK("http://141.218.60.56/~jnz1568/getInfo.php?workbook=04_01.xlsx&amp;sheet=A0&amp;row=139&amp;col=7&amp;number==&amp;sourceID=11","=")</f>
        <v>=</v>
      </c>
      <c r="H139" s="4" t="str">
        <f>HYPERLINK("http://141.218.60.56/~jnz1568/getInfo.php?workbook=04_01.xlsx&amp;sheet=A0&amp;row=139&amp;col=8&amp;number=&amp;sourceID=11","")</f>
        <v/>
      </c>
      <c r="I139" s="4" t="str">
        <f>HYPERLINK("http://141.218.60.56/~jnz1568/getInfo.php?workbook=04_01.xlsx&amp;sheet=A0&amp;row=139&amp;col=9&amp;number=&amp;sourceID=11","")</f>
        <v/>
      </c>
      <c r="J139" s="4" t="str">
        <f>HYPERLINK("http://141.218.60.56/~jnz1568/getInfo.php?workbook=04_01.xlsx&amp;sheet=A0&amp;row=139&amp;col=10&amp;number=&amp;sourceID=11","")</f>
        <v/>
      </c>
      <c r="K139" s="4" t="str">
        <f>HYPERLINK("http://141.218.60.56/~jnz1568/getInfo.php?workbook=04_01.xlsx&amp;sheet=A0&amp;row=139&amp;col=11&amp;number=2.716e-05&amp;sourceID=11","2.716e-05")</f>
        <v>2.716e-05</v>
      </c>
      <c r="L139" s="4" t="str">
        <f>HYPERLINK("http://141.218.60.56/~jnz1568/getInfo.php?workbook=04_01.xlsx&amp;sheet=A0&amp;row=139&amp;col=12&amp;number=&amp;sourceID=11","")</f>
        <v/>
      </c>
      <c r="M139" s="4" t="str">
        <f>HYPERLINK("http://141.218.60.56/~jnz1568/getInfo.php?workbook=04_01.xlsx&amp;sheet=A0&amp;row=139&amp;col=13&amp;number=&amp;sourceID=11","")</f>
        <v/>
      </c>
      <c r="N139" s="4" t="str">
        <f>HYPERLINK("http://141.218.60.56/~jnz1568/getInfo.php?workbook=04_01.xlsx&amp;sheet=A0&amp;row=139&amp;col=14&amp;number=2.7164e-05&amp;sourceID=12","2.7164e-05")</f>
        <v>2.7164e-05</v>
      </c>
      <c r="O139" s="4" t="str">
        <f>HYPERLINK("http://141.218.60.56/~jnz1568/getInfo.php?workbook=04_01.xlsx&amp;sheet=A0&amp;row=139&amp;col=15&amp;number=&amp;sourceID=12","")</f>
        <v/>
      </c>
      <c r="P139" s="4" t="str">
        <f>HYPERLINK("http://141.218.60.56/~jnz1568/getInfo.php?workbook=04_01.xlsx&amp;sheet=A0&amp;row=139&amp;col=16&amp;number=&amp;sourceID=12","")</f>
        <v/>
      </c>
      <c r="Q139" s="4" t="str">
        <f>HYPERLINK("http://141.218.60.56/~jnz1568/getInfo.php?workbook=04_01.xlsx&amp;sheet=A0&amp;row=139&amp;col=17&amp;number=&amp;sourceID=12","")</f>
        <v/>
      </c>
      <c r="R139" s="4" t="str">
        <f>HYPERLINK("http://141.218.60.56/~jnz1568/getInfo.php?workbook=04_01.xlsx&amp;sheet=A0&amp;row=139&amp;col=18&amp;number=2.7164e-05&amp;sourceID=12","2.7164e-05")</f>
        <v>2.7164e-05</v>
      </c>
      <c r="S139" s="4" t="str">
        <f>HYPERLINK("http://141.218.60.56/~jnz1568/getInfo.php?workbook=04_01.xlsx&amp;sheet=A0&amp;row=139&amp;col=19&amp;number=&amp;sourceID=12","")</f>
        <v/>
      </c>
      <c r="T139" s="4" t="str">
        <f>HYPERLINK("http://141.218.60.56/~jnz1568/getInfo.php?workbook=04_01.xlsx&amp;sheet=A0&amp;row=139&amp;col=20&amp;number=&amp;sourceID=12","")</f>
        <v/>
      </c>
      <c r="U139" s="4" t="str">
        <f>HYPERLINK("http://141.218.60.56/~jnz1568/getInfo.php?workbook=04_01.xlsx&amp;sheet=A0&amp;row=139&amp;col=21&amp;number=&amp;sourceID=20","")</f>
        <v/>
      </c>
    </row>
    <row r="140" spans="1:21">
      <c r="A140" s="3">
        <v>4</v>
      </c>
      <c r="B140" s="3">
        <v>1</v>
      </c>
      <c r="C140" s="3">
        <v>18</v>
      </c>
      <c r="D140" s="3">
        <v>7</v>
      </c>
      <c r="E140" s="3">
        <f>((1/(INDEX(E0!J$4:J$28,C140,1)-INDEX(E0!J$4:J$28,D140,1))))*100000000</f>
        <v>0</v>
      </c>
      <c r="F140" s="4" t="str">
        <f>HYPERLINK("http://141.218.60.56/~jnz1568/getInfo.php?workbook=04_01.xlsx&amp;sheet=A0&amp;row=140&amp;col=6&amp;number=&amp;sourceID=18","")</f>
        <v/>
      </c>
      <c r="G140" s="4" t="str">
        <f>HYPERLINK("http://141.218.60.56/~jnz1568/getInfo.php?workbook=04_01.xlsx&amp;sheet=A0&amp;row=140&amp;col=7&amp;number==&amp;sourceID=11","=")</f>
        <v>=</v>
      </c>
      <c r="H140" s="4" t="str">
        <f>HYPERLINK("http://141.218.60.56/~jnz1568/getInfo.php?workbook=04_01.xlsx&amp;sheet=A0&amp;row=140&amp;col=8&amp;number=&amp;sourceID=11","")</f>
        <v/>
      </c>
      <c r="I140" s="4" t="str">
        <f>HYPERLINK("http://141.218.60.56/~jnz1568/getInfo.php?workbook=04_01.xlsx&amp;sheet=A0&amp;row=140&amp;col=9&amp;number=1047.7&amp;sourceID=11","1047.7")</f>
        <v>1047.7</v>
      </c>
      <c r="J140" s="4" t="str">
        <f>HYPERLINK("http://141.218.60.56/~jnz1568/getInfo.php?workbook=04_01.xlsx&amp;sheet=A0&amp;row=140&amp;col=10&amp;number=&amp;sourceID=11","")</f>
        <v/>
      </c>
      <c r="K140" s="4" t="str">
        <f>HYPERLINK("http://141.218.60.56/~jnz1568/getInfo.php?workbook=04_01.xlsx&amp;sheet=A0&amp;row=140&amp;col=11&amp;number=3.5576e-09&amp;sourceID=11","3.5576e-09")</f>
        <v>3.5576e-09</v>
      </c>
      <c r="L140" s="4" t="str">
        <f>HYPERLINK("http://141.218.60.56/~jnz1568/getInfo.php?workbook=04_01.xlsx&amp;sheet=A0&amp;row=140&amp;col=12&amp;number=&amp;sourceID=11","")</f>
        <v/>
      </c>
      <c r="M140" s="4" t="str">
        <f>HYPERLINK("http://141.218.60.56/~jnz1568/getInfo.php?workbook=04_01.xlsx&amp;sheet=A0&amp;row=140&amp;col=13&amp;number=&amp;sourceID=11","")</f>
        <v/>
      </c>
      <c r="N140" s="4" t="str">
        <f>HYPERLINK("http://141.218.60.56/~jnz1568/getInfo.php?workbook=04_01.xlsx&amp;sheet=A0&amp;row=140&amp;col=14&amp;number=1047.8&amp;sourceID=12","1047.8")</f>
        <v>1047.8</v>
      </c>
      <c r="O140" s="4" t="str">
        <f>HYPERLINK("http://141.218.60.56/~jnz1568/getInfo.php?workbook=04_01.xlsx&amp;sheet=A0&amp;row=140&amp;col=15&amp;number=&amp;sourceID=12","")</f>
        <v/>
      </c>
      <c r="P140" s="4" t="str">
        <f>HYPERLINK("http://141.218.60.56/~jnz1568/getInfo.php?workbook=04_01.xlsx&amp;sheet=A0&amp;row=140&amp;col=16&amp;number=1047.8&amp;sourceID=12","1047.8")</f>
        <v>1047.8</v>
      </c>
      <c r="Q140" s="4" t="str">
        <f>HYPERLINK("http://141.218.60.56/~jnz1568/getInfo.php?workbook=04_01.xlsx&amp;sheet=A0&amp;row=140&amp;col=17&amp;number=&amp;sourceID=12","")</f>
        <v/>
      </c>
      <c r="R140" s="4" t="str">
        <f>HYPERLINK("http://141.218.60.56/~jnz1568/getInfo.php?workbook=04_01.xlsx&amp;sheet=A0&amp;row=140&amp;col=18&amp;number=3.4586e-09&amp;sourceID=12","3.4586e-09")</f>
        <v>3.4586e-09</v>
      </c>
      <c r="S140" s="4" t="str">
        <f>HYPERLINK("http://141.218.60.56/~jnz1568/getInfo.php?workbook=04_01.xlsx&amp;sheet=A0&amp;row=140&amp;col=19&amp;number=&amp;sourceID=12","")</f>
        <v/>
      </c>
      <c r="T140" s="4" t="str">
        <f>HYPERLINK("http://141.218.60.56/~jnz1568/getInfo.php?workbook=04_01.xlsx&amp;sheet=A0&amp;row=140&amp;col=20&amp;number=&amp;sourceID=12","")</f>
        <v/>
      </c>
      <c r="U140" s="4" t="str">
        <f>HYPERLINK("http://141.218.60.56/~jnz1568/getInfo.php?workbook=04_01.xlsx&amp;sheet=A0&amp;row=140&amp;col=21&amp;number=&amp;sourceID=20","")</f>
        <v/>
      </c>
    </row>
    <row r="141" spans="1:21">
      <c r="A141" s="3">
        <v>4</v>
      </c>
      <c r="B141" s="3">
        <v>1</v>
      </c>
      <c r="C141" s="3">
        <v>18</v>
      </c>
      <c r="D141" s="3">
        <v>8</v>
      </c>
      <c r="E141" s="3">
        <f>((1/(INDEX(E0!J$4:J$28,C141,1)-INDEX(E0!J$4:J$28,D141,1))))*100000000</f>
        <v>0</v>
      </c>
      <c r="F141" s="4" t="str">
        <f>HYPERLINK("http://141.218.60.56/~jnz1568/getInfo.php?workbook=04_01.xlsx&amp;sheet=A0&amp;row=141&amp;col=6&amp;number=&amp;sourceID=18","")</f>
        <v/>
      </c>
      <c r="G141" s="4" t="str">
        <f>HYPERLINK("http://141.218.60.56/~jnz1568/getInfo.php?workbook=04_01.xlsx&amp;sheet=A0&amp;row=141&amp;col=7&amp;number==&amp;sourceID=11","=")</f>
        <v>=</v>
      </c>
      <c r="H141" s="4" t="str">
        <f>HYPERLINK("http://141.218.60.56/~jnz1568/getInfo.php?workbook=04_01.xlsx&amp;sheet=A0&amp;row=141&amp;col=8&amp;number=154770000&amp;sourceID=11","154770000")</f>
        <v>154770000</v>
      </c>
      <c r="I141" s="4" t="str">
        <f>HYPERLINK("http://141.218.60.56/~jnz1568/getInfo.php?workbook=04_01.xlsx&amp;sheet=A0&amp;row=141&amp;col=9&amp;number=&amp;sourceID=11","")</f>
        <v/>
      </c>
      <c r="J141" s="4" t="str">
        <f>HYPERLINK("http://141.218.60.56/~jnz1568/getInfo.php?workbook=04_01.xlsx&amp;sheet=A0&amp;row=141&amp;col=10&amp;number=&amp;sourceID=11","")</f>
        <v/>
      </c>
      <c r="K141" s="4" t="str">
        <f>HYPERLINK("http://141.218.60.56/~jnz1568/getInfo.php?workbook=04_01.xlsx&amp;sheet=A0&amp;row=141&amp;col=11&amp;number=&amp;sourceID=11","")</f>
        <v/>
      </c>
      <c r="L141" s="4" t="str">
        <f>HYPERLINK("http://141.218.60.56/~jnz1568/getInfo.php?workbook=04_01.xlsx&amp;sheet=A0&amp;row=141&amp;col=12&amp;number=0.026635&amp;sourceID=11","0.026635")</f>
        <v>0.026635</v>
      </c>
      <c r="M141" s="4" t="str">
        <f>HYPERLINK("http://141.218.60.56/~jnz1568/getInfo.php?workbook=04_01.xlsx&amp;sheet=A0&amp;row=141&amp;col=13&amp;number=&amp;sourceID=11","")</f>
        <v/>
      </c>
      <c r="N141" s="4" t="str">
        <f>HYPERLINK("http://141.218.60.56/~jnz1568/getInfo.php?workbook=04_01.xlsx&amp;sheet=A0&amp;row=141&amp;col=14&amp;number=154780000&amp;sourceID=12","154780000")</f>
        <v>154780000</v>
      </c>
      <c r="O141" s="4" t="str">
        <f>HYPERLINK("http://141.218.60.56/~jnz1568/getInfo.php?workbook=04_01.xlsx&amp;sheet=A0&amp;row=141&amp;col=15&amp;number=154780000&amp;sourceID=12","154780000")</f>
        <v>154780000</v>
      </c>
      <c r="P141" s="4" t="str">
        <f>HYPERLINK("http://141.218.60.56/~jnz1568/getInfo.php?workbook=04_01.xlsx&amp;sheet=A0&amp;row=141&amp;col=16&amp;number=&amp;sourceID=12","")</f>
        <v/>
      </c>
      <c r="Q141" s="4" t="str">
        <f>HYPERLINK("http://141.218.60.56/~jnz1568/getInfo.php?workbook=04_01.xlsx&amp;sheet=A0&amp;row=141&amp;col=17&amp;number=&amp;sourceID=12","")</f>
        <v/>
      </c>
      <c r="R141" s="4" t="str">
        <f>HYPERLINK("http://141.218.60.56/~jnz1568/getInfo.php?workbook=04_01.xlsx&amp;sheet=A0&amp;row=141&amp;col=18&amp;number=&amp;sourceID=12","")</f>
        <v/>
      </c>
      <c r="S141" s="4" t="str">
        <f>HYPERLINK("http://141.218.60.56/~jnz1568/getInfo.php?workbook=04_01.xlsx&amp;sheet=A0&amp;row=141&amp;col=19&amp;number=0.026637&amp;sourceID=12","0.026637")</f>
        <v>0.026637</v>
      </c>
      <c r="T141" s="4" t="str">
        <f>HYPERLINK("http://141.218.60.56/~jnz1568/getInfo.php?workbook=04_01.xlsx&amp;sheet=A0&amp;row=141&amp;col=20&amp;number=&amp;sourceID=12","")</f>
        <v/>
      </c>
      <c r="U141" s="4" t="str">
        <f>HYPERLINK("http://141.218.60.56/~jnz1568/getInfo.php?workbook=04_01.xlsx&amp;sheet=A0&amp;row=141&amp;col=21&amp;number=&amp;sourceID=20","")</f>
        <v/>
      </c>
    </row>
    <row r="142" spans="1:21">
      <c r="A142" s="3">
        <v>4</v>
      </c>
      <c r="B142" s="3">
        <v>1</v>
      </c>
      <c r="C142" s="3">
        <v>18</v>
      </c>
      <c r="D142" s="3">
        <v>9</v>
      </c>
      <c r="E142" s="3">
        <f>((1/(INDEX(E0!J$4:J$28,C142,1)-INDEX(E0!J$4:J$28,D142,1))))*100000000</f>
        <v>0</v>
      </c>
      <c r="F142" s="4" t="str">
        <f>HYPERLINK("http://141.218.60.56/~jnz1568/getInfo.php?workbook=04_01.xlsx&amp;sheet=A0&amp;row=142&amp;col=6&amp;number=&amp;sourceID=18","")</f>
        <v/>
      </c>
      <c r="G142" s="4" t="str">
        <f>HYPERLINK("http://141.218.60.56/~jnz1568/getInfo.php?workbook=04_01.xlsx&amp;sheet=A0&amp;row=142&amp;col=7&amp;number==&amp;sourceID=11","=")</f>
        <v>=</v>
      </c>
      <c r="H142" s="4" t="str">
        <f>HYPERLINK("http://141.218.60.56/~jnz1568/getInfo.php?workbook=04_01.xlsx&amp;sheet=A0&amp;row=142&amp;col=8&amp;number=&amp;sourceID=11","")</f>
        <v/>
      </c>
      <c r="I142" s="4" t="str">
        <f>HYPERLINK("http://141.218.60.56/~jnz1568/getInfo.php?workbook=04_01.xlsx&amp;sheet=A0&amp;row=142&amp;col=9&amp;number=1571.7&amp;sourceID=11","1571.7")</f>
        <v>1571.7</v>
      </c>
      <c r="J142" s="4" t="str">
        <f>HYPERLINK("http://141.218.60.56/~jnz1568/getInfo.php?workbook=04_01.xlsx&amp;sheet=A0&amp;row=142&amp;col=10&amp;number=&amp;sourceID=11","")</f>
        <v/>
      </c>
      <c r="K142" s="4" t="str">
        <f>HYPERLINK("http://141.218.60.56/~jnz1568/getInfo.php?workbook=04_01.xlsx&amp;sheet=A0&amp;row=142&amp;col=11&amp;number=&amp;sourceID=11","")</f>
        <v/>
      </c>
      <c r="L142" s="4" t="str">
        <f>HYPERLINK("http://141.218.60.56/~jnz1568/getInfo.php?workbook=04_01.xlsx&amp;sheet=A0&amp;row=142&amp;col=12&amp;number=&amp;sourceID=11","")</f>
        <v/>
      </c>
      <c r="M142" s="4" t="str">
        <f>HYPERLINK("http://141.218.60.56/~jnz1568/getInfo.php?workbook=04_01.xlsx&amp;sheet=A0&amp;row=142&amp;col=13&amp;number=3.2052e-07&amp;sourceID=11","3.2052e-07")</f>
        <v>3.2052e-07</v>
      </c>
      <c r="N142" s="4" t="str">
        <f>HYPERLINK("http://141.218.60.56/~jnz1568/getInfo.php?workbook=04_01.xlsx&amp;sheet=A0&amp;row=142&amp;col=14&amp;number=1571.8&amp;sourceID=12","1571.8")</f>
        <v>1571.8</v>
      </c>
      <c r="O142" s="4" t="str">
        <f>HYPERLINK("http://141.218.60.56/~jnz1568/getInfo.php?workbook=04_01.xlsx&amp;sheet=A0&amp;row=142&amp;col=15&amp;number=&amp;sourceID=12","")</f>
        <v/>
      </c>
      <c r="P142" s="4" t="str">
        <f>HYPERLINK("http://141.218.60.56/~jnz1568/getInfo.php?workbook=04_01.xlsx&amp;sheet=A0&amp;row=142&amp;col=16&amp;number=1571.8&amp;sourceID=12","1571.8")</f>
        <v>1571.8</v>
      </c>
      <c r="Q142" s="4" t="str">
        <f>HYPERLINK("http://141.218.60.56/~jnz1568/getInfo.php?workbook=04_01.xlsx&amp;sheet=A0&amp;row=142&amp;col=17&amp;number=&amp;sourceID=12","")</f>
        <v/>
      </c>
      <c r="R142" s="4" t="str">
        <f>HYPERLINK("http://141.218.60.56/~jnz1568/getInfo.php?workbook=04_01.xlsx&amp;sheet=A0&amp;row=142&amp;col=18&amp;number=&amp;sourceID=12","")</f>
        <v/>
      </c>
      <c r="S142" s="4" t="str">
        <f>HYPERLINK("http://141.218.60.56/~jnz1568/getInfo.php?workbook=04_01.xlsx&amp;sheet=A0&amp;row=142&amp;col=19&amp;number=&amp;sourceID=12","")</f>
        <v/>
      </c>
      <c r="T142" s="4" t="str">
        <f>HYPERLINK("http://141.218.60.56/~jnz1568/getInfo.php?workbook=04_01.xlsx&amp;sheet=A0&amp;row=142&amp;col=20&amp;number=3.2054e-07&amp;sourceID=12","3.2054e-07")</f>
        <v>3.2054e-07</v>
      </c>
      <c r="U142" s="4" t="str">
        <f>HYPERLINK("http://141.218.60.56/~jnz1568/getInfo.php?workbook=04_01.xlsx&amp;sheet=A0&amp;row=142&amp;col=21&amp;number=&amp;sourceID=20","")</f>
        <v/>
      </c>
    </row>
    <row r="143" spans="1:21">
      <c r="A143" s="3">
        <v>4</v>
      </c>
      <c r="B143" s="3">
        <v>1</v>
      </c>
      <c r="C143" s="3">
        <v>18</v>
      </c>
      <c r="D143" s="3">
        <v>10</v>
      </c>
      <c r="E143" s="3">
        <f>((1/(INDEX(E0!J$4:J$28,C143,1)-INDEX(E0!J$4:J$28,D143,1))))*100000000</f>
        <v>0</v>
      </c>
      <c r="F143" s="4" t="str">
        <f>HYPERLINK("http://141.218.60.56/~jnz1568/getInfo.php?workbook=04_01.xlsx&amp;sheet=A0&amp;row=143&amp;col=6&amp;number=&amp;sourceID=18","")</f>
        <v/>
      </c>
      <c r="G143" s="4" t="str">
        <f>HYPERLINK("http://141.218.60.56/~jnz1568/getInfo.php?workbook=04_01.xlsx&amp;sheet=A0&amp;row=143&amp;col=7&amp;number==&amp;sourceID=11","=")</f>
        <v>=</v>
      </c>
      <c r="H143" s="4" t="str">
        <f>HYPERLINK("http://141.218.60.56/~jnz1568/getInfo.php?workbook=04_01.xlsx&amp;sheet=A0&amp;row=143&amp;col=8&amp;number=55093000&amp;sourceID=11","55093000")</f>
        <v>55093000</v>
      </c>
      <c r="I143" s="4" t="str">
        <f>HYPERLINK("http://141.218.60.56/~jnz1568/getInfo.php?workbook=04_01.xlsx&amp;sheet=A0&amp;row=143&amp;col=9&amp;number=&amp;sourceID=11","")</f>
        <v/>
      </c>
      <c r="J143" s="4" t="str">
        <f>HYPERLINK("http://141.218.60.56/~jnz1568/getInfo.php?workbook=04_01.xlsx&amp;sheet=A0&amp;row=143&amp;col=10&amp;number=&amp;sourceID=11","")</f>
        <v/>
      </c>
      <c r="K143" s="4" t="str">
        <f>HYPERLINK("http://141.218.60.56/~jnz1568/getInfo.php?workbook=04_01.xlsx&amp;sheet=A0&amp;row=143&amp;col=11&amp;number=&amp;sourceID=11","")</f>
        <v/>
      </c>
      <c r="L143" s="4" t="str">
        <f>HYPERLINK("http://141.218.60.56/~jnz1568/getInfo.php?workbook=04_01.xlsx&amp;sheet=A0&amp;row=143&amp;col=12&amp;number=&amp;sourceID=11","")</f>
        <v/>
      </c>
      <c r="M143" s="4" t="str">
        <f>HYPERLINK("http://141.218.60.56/~jnz1568/getInfo.php?workbook=04_01.xlsx&amp;sheet=A0&amp;row=143&amp;col=13&amp;number=&amp;sourceID=11","")</f>
        <v/>
      </c>
      <c r="N143" s="4" t="str">
        <f>HYPERLINK("http://141.218.60.56/~jnz1568/getInfo.php?workbook=04_01.xlsx&amp;sheet=A0&amp;row=143&amp;col=14&amp;number=55096000&amp;sourceID=12","55096000")</f>
        <v>55096000</v>
      </c>
      <c r="O143" s="4" t="str">
        <f>HYPERLINK("http://141.218.60.56/~jnz1568/getInfo.php?workbook=04_01.xlsx&amp;sheet=A0&amp;row=143&amp;col=15&amp;number=55096000&amp;sourceID=12","55096000")</f>
        <v>55096000</v>
      </c>
      <c r="P143" s="4" t="str">
        <f>HYPERLINK("http://141.218.60.56/~jnz1568/getInfo.php?workbook=04_01.xlsx&amp;sheet=A0&amp;row=143&amp;col=16&amp;number=&amp;sourceID=12","")</f>
        <v/>
      </c>
      <c r="Q143" s="4" t="str">
        <f>HYPERLINK("http://141.218.60.56/~jnz1568/getInfo.php?workbook=04_01.xlsx&amp;sheet=A0&amp;row=143&amp;col=17&amp;number=&amp;sourceID=12","")</f>
        <v/>
      </c>
      <c r="R143" s="4" t="str">
        <f>HYPERLINK("http://141.218.60.56/~jnz1568/getInfo.php?workbook=04_01.xlsx&amp;sheet=A0&amp;row=143&amp;col=18&amp;number=&amp;sourceID=12","")</f>
        <v/>
      </c>
      <c r="S143" s="4" t="str">
        <f>HYPERLINK("http://141.218.60.56/~jnz1568/getInfo.php?workbook=04_01.xlsx&amp;sheet=A0&amp;row=143&amp;col=19&amp;number=&amp;sourceID=12","")</f>
        <v/>
      </c>
      <c r="T143" s="4" t="str">
        <f>HYPERLINK("http://141.218.60.56/~jnz1568/getInfo.php?workbook=04_01.xlsx&amp;sheet=A0&amp;row=143&amp;col=20&amp;number=&amp;sourceID=12","")</f>
        <v/>
      </c>
      <c r="U143" s="4" t="str">
        <f>HYPERLINK("http://141.218.60.56/~jnz1568/getInfo.php?workbook=04_01.xlsx&amp;sheet=A0&amp;row=143&amp;col=21&amp;number=&amp;sourceID=20","")</f>
        <v/>
      </c>
    </row>
    <row r="144" spans="1:21">
      <c r="A144" s="3">
        <v>4</v>
      </c>
      <c r="B144" s="3">
        <v>1</v>
      </c>
      <c r="C144" s="3">
        <v>18</v>
      </c>
      <c r="D144" s="3">
        <v>11</v>
      </c>
      <c r="E144" s="3">
        <f>((1/(INDEX(E0!J$4:J$28,C144,1)-INDEX(E0!J$4:J$28,D144,1))))*100000000</f>
        <v>0</v>
      </c>
      <c r="F144" s="4" t="str">
        <f>HYPERLINK("http://141.218.60.56/~jnz1568/getInfo.php?workbook=04_01.xlsx&amp;sheet=A0&amp;row=144&amp;col=6&amp;number=&amp;sourceID=18","")</f>
        <v/>
      </c>
      <c r="G144" s="4" t="str">
        <f>HYPERLINK("http://141.218.60.56/~jnz1568/getInfo.php?workbook=04_01.xlsx&amp;sheet=A0&amp;row=144&amp;col=7&amp;number==&amp;sourceID=11","=")</f>
        <v>=</v>
      </c>
      <c r="H144" s="4" t="str">
        <f>HYPERLINK("http://141.218.60.56/~jnz1568/getInfo.php?workbook=04_01.xlsx&amp;sheet=A0&amp;row=144&amp;col=8&amp;number=&amp;sourceID=11","")</f>
        <v/>
      </c>
      <c r="I144" s="4" t="str">
        <f>HYPERLINK("http://141.218.60.56/~jnz1568/getInfo.php?workbook=04_01.xlsx&amp;sheet=A0&amp;row=144&amp;col=9&amp;number=&amp;sourceID=11","")</f>
        <v/>
      </c>
      <c r="J144" s="4" t="str">
        <f>HYPERLINK("http://141.218.60.56/~jnz1568/getInfo.php?workbook=04_01.xlsx&amp;sheet=A0&amp;row=144&amp;col=10&amp;number=&amp;sourceID=11","")</f>
        <v/>
      </c>
      <c r="K144" s="4" t="str">
        <f>HYPERLINK("http://141.218.60.56/~jnz1568/getInfo.php?workbook=04_01.xlsx&amp;sheet=A0&amp;row=144&amp;col=11&amp;number=7.7202e-07&amp;sourceID=11","7.7202e-07")</f>
        <v>7.7202e-07</v>
      </c>
      <c r="L144" s="4" t="str">
        <f>HYPERLINK("http://141.218.60.56/~jnz1568/getInfo.php?workbook=04_01.xlsx&amp;sheet=A0&amp;row=144&amp;col=12&amp;number=&amp;sourceID=11","")</f>
        <v/>
      </c>
      <c r="M144" s="4" t="str">
        <f>HYPERLINK("http://141.218.60.56/~jnz1568/getInfo.php?workbook=04_01.xlsx&amp;sheet=A0&amp;row=144&amp;col=13&amp;number=&amp;sourceID=11","")</f>
        <v/>
      </c>
      <c r="N144" s="4" t="str">
        <f>HYPERLINK("http://141.218.60.56/~jnz1568/getInfo.php?workbook=04_01.xlsx&amp;sheet=A0&amp;row=144&amp;col=14&amp;number=7.7207e-07&amp;sourceID=12","7.7207e-07")</f>
        <v>7.7207e-07</v>
      </c>
      <c r="O144" s="4" t="str">
        <f>HYPERLINK("http://141.218.60.56/~jnz1568/getInfo.php?workbook=04_01.xlsx&amp;sheet=A0&amp;row=144&amp;col=15&amp;number=&amp;sourceID=12","")</f>
        <v/>
      </c>
      <c r="P144" s="4" t="str">
        <f>HYPERLINK("http://141.218.60.56/~jnz1568/getInfo.php?workbook=04_01.xlsx&amp;sheet=A0&amp;row=144&amp;col=16&amp;number=&amp;sourceID=12","")</f>
        <v/>
      </c>
      <c r="Q144" s="4" t="str">
        <f>HYPERLINK("http://141.218.60.56/~jnz1568/getInfo.php?workbook=04_01.xlsx&amp;sheet=A0&amp;row=144&amp;col=17&amp;number=&amp;sourceID=12","")</f>
        <v/>
      </c>
      <c r="R144" s="4" t="str">
        <f>HYPERLINK("http://141.218.60.56/~jnz1568/getInfo.php?workbook=04_01.xlsx&amp;sheet=A0&amp;row=144&amp;col=18&amp;number=7.7207e-07&amp;sourceID=12","7.7207e-07")</f>
        <v>7.7207e-07</v>
      </c>
      <c r="S144" s="4" t="str">
        <f>HYPERLINK("http://141.218.60.56/~jnz1568/getInfo.php?workbook=04_01.xlsx&amp;sheet=A0&amp;row=144&amp;col=19&amp;number=&amp;sourceID=12","")</f>
        <v/>
      </c>
      <c r="T144" s="4" t="str">
        <f>HYPERLINK("http://141.218.60.56/~jnz1568/getInfo.php?workbook=04_01.xlsx&amp;sheet=A0&amp;row=144&amp;col=20&amp;number=&amp;sourceID=12","")</f>
        <v/>
      </c>
      <c r="U144" s="4" t="str">
        <f>HYPERLINK("http://141.218.60.56/~jnz1568/getInfo.php?workbook=04_01.xlsx&amp;sheet=A0&amp;row=144&amp;col=21&amp;number=&amp;sourceID=20","")</f>
        <v/>
      </c>
    </row>
    <row r="145" spans="1:21">
      <c r="A145" s="3">
        <v>4</v>
      </c>
      <c r="B145" s="3">
        <v>1</v>
      </c>
      <c r="C145" s="3">
        <v>18</v>
      </c>
      <c r="D145" s="3">
        <v>12</v>
      </c>
      <c r="E145" s="3">
        <f>((1/(INDEX(E0!J$4:J$28,C145,1)-INDEX(E0!J$4:J$28,D145,1))))*100000000</f>
        <v>0</v>
      </c>
      <c r="F145" s="4" t="str">
        <f>HYPERLINK("http://141.218.60.56/~jnz1568/getInfo.php?workbook=04_01.xlsx&amp;sheet=A0&amp;row=145&amp;col=6&amp;number=&amp;sourceID=18","")</f>
        <v/>
      </c>
      <c r="G145" s="4" t="str">
        <f>HYPERLINK("http://141.218.60.56/~jnz1568/getInfo.php?workbook=04_01.xlsx&amp;sheet=A0&amp;row=145&amp;col=7&amp;number==&amp;sourceID=11","=")</f>
        <v>=</v>
      </c>
      <c r="H145" s="4" t="str">
        <f>HYPERLINK("http://141.218.60.56/~jnz1568/getInfo.php?workbook=04_01.xlsx&amp;sheet=A0&amp;row=145&amp;col=8&amp;number=&amp;sourceID=11","")</f>
        <v/>
      </c>
      <c r="I145" s="4" t="str">
        <f>HYPERLINK("http://141.218.60.56/~jnz1568/getInfo.php?workbook=04_01.xlsx&amp;sheet=A0&amp;row=145&amp;col=9&amp;number=532.66&amp;sourceID=11","532.66")</f>
        <v>532.66</v>
      </c>
      <c r="J145" s="4" t="str">
        <f>HYPERLINK("http://141.218.60.56/~jnz1568/getInfo.php?workbook=04_01.xlsx&amp;sheet=A0&amp;row=145&amp;col=10&amp;number=&amp;sourceID=11","")</f>
        <v/>
      </c>
      <c r="K145" s="4" t="str">
        <f>HYPERLINK("http://141.218.60.56/~jnz1568/getInfo.php?workbook=04_01.xlsx&amp;sheet=A0&amp;row=145&amp;col=11&amp;number=8.3269e-10&amp;sourceID=11","8.3269e-10")</f>
        <v>8.3269e-10</v>
      </c>
      <c r="L145" s="4" t="str">
        <f>HYPERLINK("http://141.218.60.56/~jnz1568/getInfo.php?workbook=04_01.xlsx&amp;sheet=A0&amp;row=145&amp;col=12&amp;number=&amp;sourceID=11","")</f>
        <v/>
      </c>
      <c r="M145" s="4" t="str">
        <f>HYPERLINK("http://141.218.60.56/~jnz1568/getInfo.php?workbook=04_01.xlsx&amp;sheet=A0&amp;row=145&amp;col=13&amp;number=&amp;sourceID=11","")</f>
        <v/>
      </c>
      <c r="N145" s="4" t="str">
        <f>HYPERLINK("http://141.218.60.56/~jnz1568/getInfo.php?workbook=04_01.xlsx&amp;sheet=A0&amp;row=145&amp;col=14&amp;number=532.69&amp;sourceID=12","532.69")</f>
        <v>532.69</v>
      </c>
      <c r="O145" s="4" t="str">
        <f>HYPERLINK("http://141.218.60.56/~jnz1568/getInfo.php?workbook=04_01.xlsx&amp;sheet=A0&amp;row=145&amp;col=15&amp;number=&amp;sourceID=12","")</f>
        <v/>
      </c>
      <c r="P145" s="4" t="str">
        <f>HYPERLINK("http://141.218.60.56/~jnz1568/getInfo.php?workbook=04_01.xlsx&amp;sheet=A0&amp;row=145&amp;col=16&amp;number=532.69&amp;sourceID=12","532.69")</f>
        <v>532.69</v>
      </c>
      <c r="Q145" s="4" t="str">
        <f>HYPERLINK("http://141.218.60.56/~jnz1568/getInfo.php?workbook=04_01.xlsx&amp;sheet=A0&amp;row=145&amp;col=17&amp;number=&amp;sourceID=12","")</f>
        <v/>
      </c>
      <c r="R145" s="4" t="str">
        <f>HYPERLINK("http://141.218.60.56/~jnz1568/getInfo.php?workbook=04_01.xlsx&amp;sheet=A0&amp;row=145&amp;col=18&amp;number=8.3277e-10&amp;sourceID=12","8.3277e-10")</f>
        <v>8.3277e-10</v>
      </c>
      <c r="S145" s="4" t="str">
        <f>HYPERLINK("http://141.218.60.56/~jnz1568/getInfo.php?workbook=04_01.xlsx&amp;sheet=A0&amp;row=145&amp;col=19&amp;number=&amp;sourceID=12","")</f>
        <v/>
      </c>
      <c r="T145" s="4" t="str">
        <f>HYPERLINK("http://141.218.60.56/~jnz1568/getInfo.php?workbook=04_01.xlsx&amp;sheet=A0&amp;row=145&amp;col=20&amp;number=&amp;sourceID=12","")</f>
        <v/>
      </c>
      <c r="U145" s="4" t="str">
        <f>HYPERLINK("http://141.218.60.56/~jnz1568/getInfo.php?workbook=04_01.xlsx&amp;sheet=A0&amp;row=145&amp;col=21&amp;number=&amp;sourceID=20","")</f>
        <v/>
      </c>
    </row>
    <row r="146" spans="1:21">
      <c r="A146" s="3">
        <v>4</v>
      </c>
      <c r="B146" s="3">
        <v>1</v>
      </c>
      <c r="C146" s="3">
        <v>18</v>
      </c>
      <c r="D146" s="3">
        <v>13</v>
      </c>
      <c r="E146" s="3">
        <f>((1/(INDEX(E0!J$4:J$28,C146,1)-INDEX(E0!J$4:J$28,D146,1))))*100000000</f>
        <v>0</v>
      </c>
      <c r="F146" s="4" t="str">
        <f>HYPERLINK("http://141.218.60.56/~jnz1568/getInfo.php?workbook=04_01.xlsx&amp;sheet=A0&amp;row=146&amp;col=6&amp;number=&amp;sourceID=18","")</f>
        <v/>
      </c>
      <c r="G146" s="4" t="str">
        <f>HYPERLINK("http://141.218.60.56/~jnz1568/getInfo.php?workbook=04_01.xlsx&amp;sheet=A0&amp;row=146&amp;col=7&amp;number==&amp;sourceID=11","=")</f>
        <v>=</v>
      </c>
      <c r="H146" s="4" t="str">
        <f>HYPERLINK("http://141.218.60.56/~jnz1568/getInfo.php?workbook=04_01.xlsx&amp;sheet=A0&amp;row=146&amp;col=8&amp;number=110350000&amp;sourceID=11","110350000")</f>
        <v>110350000</v>
      </c>
      <c r="I146" s="4" t="str">
        <f>HYPERLINK("http://141.218.60.56/~jnz1568/getInfo.php?workbook=04_01.xlsx&amp;sheet=A0&amp;row=146&amp;col=9&amp;number=&amp;sourceID=11","")</f>
        <v/>
      </c>
      <c r="J146" s="4" t="str">
        <f>HYPERLINK("http://141.218.60.56/~jnz1568/getInfo.php?workbook=04_01.xlsx&amp;sheet=A0&amp;row=146&amp;col=10&amp;number=&amp;sourceID=11","")</f>
        <v/>
      </c>
      <c r="K146" s="4" t="str">
        <f>HYPERLINK("http://141.218.60.56/~jnz1568/getInfo.php?workbook=04_01.xlsx&amp;sheet=A0&amp;row=146&amp;col=11&amp;number=&amp;sourceID=11","")</f>
        <v/>
      </c>
      <c r="L146" s="4" t="str">
        <f>HYPERLINK("http://141.218.60.56/~jnz1568/getInfo.php?workbook=04_01.xlsx&amp;sheet=A0&amp;row=146&amp;col=12&amp;number=0.0019008&amp;sourceID=11","0.0019008")</f>
        <v>0.0019008</v>
      </c>
      <c r="M146" s="4" t="str">
        <f>HYPERLINK("http://141.218.60.56/~jnz1568/getInfo.php?workbook=04_01.xlsx&amp;sheet=A0&amp;row=146&amp;col=13&amp;number=&amp;sourceID=11","")</f>
        <v/>
      </c>
      <c r="N146" s="4" t="str">
        <f>HYPERLINK("http://141.218.60.56/~jnz1568/getInfo.php?workbook=04_01.xlsx&amp;sheet=A0&amp;row=146&amp;col=14&amp;number=110360000&amp;sourceID=12","110360000")</f>
        <v>110360000</v>
      </c>
      <c r="O146" s="4" t="str">
        <f>HYPERLINK("http://141.218.60.56/~jnz1568/getInfo.php?workbook=04_01.xlsx&amp;sheet=A0&amp;row=146&amp;col=15&amp;number=110360000&amp;sourceID=12","110360000")</f>
        <v>110360000</v>
      </c>
      <c r="P146" s="4" t="str">
        <f>HYPERLINK("http://141.218.60.56/~jnz1568/getInfo.php?workbook=04_01.xlsx&amp;sheet=A0&amp;row=146&amp;col=16&amp;number=&amp;sourceID=12","")</f>
        <v/>
      </c>
      <c r="Q146" s="4" t="str">
        <f>HYPERLINK("http://141.218.60.56/~jnz1568/getInfo.php?workbook=04_01.xlsx&amp;sheet=A0&amp;row=146&amp;col=17&amp;number=&amp;sourceID=12","")</f>
        <v/>
      </c>
      <c r="R146" s="4" t="str">
        <f>HYPERLINK("http://141.218.60.56/~jnz1568/getInfo.php?workbook=04_01.xlsx&amp;sheet=A0&amp;row=146&amp;col=18&amp;number=&amp;sourceID=12","")</f>
        <v/>
      </c>
      <c r="S146" s="4" t="str">
        <f>HYPERLINK("http://141.218.60.56/~jnz1568/getInfo.php?workbook=04_01.xlsx&amp;sheet=A0&amp;row=146&amp;col=19&amp;number=0.001901&amp;sourceID=12","0.001901")</f>
        <v>0.001901</v>
      </c>
      <c r="T146" s="4" t="str">
        <f>HYPERLINK("http://141.218.60.56/~jnz1568/getInfo.php?workbook=04_01.xlsx&amp;sheet=A0&amp;row=146&amp;col=20&amp;number=&amp;sourceID=12","")</f>
        <v/>
      </c>
      <c r="U146" s="4" t="str">
        <f>HYPERLINK("http://141.218.60.56/~jnz1568/getInfo.php?workbook=04_01.xlsx&amp;sheet=A0&amp;row=146&amp;col=21&amp;number=&amp;sourceID=20","")</f>
        <v/>
      </c>
    </row>
    <row r="147" spans="1:21">
      <c r="A147" s="3">
        <v>4</v>
      </c>
      <c r="B147" s="3">
        <v>1</v>
      </c>
      <c r="C147" s="3">
        <v>18</v>
      </c>
      <c r="D147" s="3">
        <v>14</v>
      </c>
      <c r="E147" s="3">
        <f>((1/(INDEX(E0!J$4:J$28,C147,1)-INDEX(E0!J$4:J$28,D147,1))))*100000000</f>
        <v>0</v>
      </c>
      <c r="F147" s="4" t="str">
        <f>HYPERLINK("http://141.218.60.56/~jnz1568/getInfo.php?workbook=04_01.xlsx&amp;sheet=A0&amp;row=147&amp;col=6&amp;number=&amp;sourceID=18","")</f>
        <v/>
      </c>
      <c r="G147" s="4" t="str">
        <f>HYPERLINK("http://141.218.60.56/~jnz1568/getInfo.php?workbook=04_01.xlsx&amp;sheet=A0&amp;row=147&amp;col=7&amp;number==&amp;sourceID=11","=")</f>
        <v>=</v>
      </c>
      <c r="H147" s="4" t="str">
        <f>HYPERLINK("http://141.218.60.56/~jnz1568/getInfo.php?workbook=04_01.xlsx&amp;sheet=A0&amp;row=147&amp;col=8&amp;number=&amp;sourceID=11","")</f>
        <v/>
      </c>
      <c r="I147" s="4" t="str">
        <f>HYPERLINK("http://141.218.60.56/~jnz1568/getInfo.php?workbook=04_01.xlsx&amp;sheet=A0&amp;row=147&amp;col=9&amp;number=&amp;sourceID=11","")</f>
        <v/>
      </c>
      <c r="J147" s="4" t="str">
        <f>HYPERLINK("http://141.218.60.56/~jnz1568/getInfo.php?workbook=04_01.xlsx&amp;sheet=A0&amp;row=147&amp;col=10&amp;number=0.00089726&amp;sourceID=11","0.00089726")</f>
        <v>0.00089726</v>
      </c>
      <c r="K147" s="4" t="str">
        <f>HYPERLINK("http://141.218.60.56/~jnz1568/getInfo.php?workbook=04_01.xlsx&amp;sheet=A0&amp;row=147&amp;col=11&amp;number=&amp;sourceID=11","")</f>
        <v/>
      </c>
      <c r="L147" s="4" t="str">
        <f>HYPERLINK("http://141.218.60.56/~jnz1568/getInfo.php?workbook=04_01.xlsx&amp;sheet=A0&amp;row=147&amp;col=12&amp;number=0&amp;sourceID=11","0")</f>
        <v>0</v>
      </c>
      <c r="M147" s="4" t="str">
        <f>HYPERLINK("http://141.218.60.56/~jnz1568/getInfo.php?workbook=04_01.xlsx&amp;sheet=A0&amp;row=147&amp;col=13&amp;number=&amp;sourceID=11","")</f>
        <v/>
      </c>
      <c r="N147" s="4" t="str">
        <f>HYPERLINK("http://141.218.60.56/~jnz1568/getInfo.php?workbook=04_01.xlsx&amp;sheet=A0&amp;row=147&amp;col=14&amp;number=0.00089732&amp;sourceID=12","0.00089732")</f>
        <v>0.00089732</v>
      </c>
      <c r="O147" s="4" t="str">
        <f>HYPERLINK("http://141.218.60.56/~jnz1568/getInfo.php?workbook=04_01.xlsx&amp;sheet=A0&amp;row=147&amp;col=15&amp;number=&amp;sourceID=12","")</f>
        <v/>
      </c>
      <c r="P147" s="4" t="str">
        <f>HYPERLINK("http://141.218.60.56/~jnz1568/getInfo.php?workbook=04_01.xlsx&amp;sheet=A0&amp;row=147&amp;col=16&amp;number=&amp;sourceID=12","")</f>
        <v/>
      </c>
      <c r="Q147" s="4" t="str">
        <f>HYPERLINK("http://141.218.60.56/~jnz1568/getInfo.php?workbook=04_01.xlsx&amp;sheet=A0&amp;row=147&amp;col=17&amp;number=0.00089732&amp;sourceID=12","0.00089732")</f>
        <v>0.00089732</v>
      </c>
      <c r="R147" s="4" t="str">
        <f>HYPERLINK("http://141.218.60.56/~jnz1568/getInfo.php?workbook=04_01.xlsx&amp;sheet=A0&amp;row=147&amp;col=18&amp;number=&amp;sourceID=12","")</f>
        <v/>
      </c>
      <c r="S147" s="4" t="str">
        <f>HYPERLINK("http://141.218.60.56/~jnz1568/getInfo.php?workbook=04_01.xlsx&amp;sheet=A0&amp;row=147&amp;col=19&amp;number=0&amp;sourceID=12","0")</f>
        <v>0</v>
      </c>
      <c r="T147" s="4" t="str">
        <f>HYPERLINK("http://141.218.60.56/~jnz1568/getInfo.php?workbook=04_01.xlsx&amp;sheet=A0&amp;row=147&amp;col=20&amp;number=&amp;sourceID=12","")</f>
        <v/>
      </c>
      <c r="U147" s="4" t="str">
        <f>HYPERLINK("http://141.218.60.56/~jnz1568/getInfo.php?workbook=04_01.xlsx&amp;sheet=A0&amp;row=147&amp;col=21&amp;number=&amp;sourceID=20","")</f>
        <v/>
      </c>
    </row>
    <row r="148" spans="1:21">
      <c r="A148" s="3">
        <v>4</v>
      </c>
      <c r="B148" s="3">
        <v>1</v>
      </c>
      <c r="C148" s="3">
        <v>18</v>
      </c>
      <c r="D148" s="3">
        <v>15</v>
      </c>
      <c r="E148" s="3">
        <f>((1/(INDEX(E0!J$4:J$28,C148,1)-INDEX(E0!J$4:J$28,D148,1))))*100000000</f>
        <v>0</v>
      </c>
      <c r="F148" s="4" t="str">
        <f>HYPERLINK("http://141.218.60.56/~jnz1568/getInfo.php?workbook=04_01.xlsx&amp;sheet=A0&amp;row=148&amp;col=6&amp;number=&amp;sourceID=18","")</f>
        <v/>
      </c>
      <c r="G148" s="4" t="str">
        <f>HYPERLINK("http://141.218.60.56/~jnz1568/getInfo.php?workbook=04_01.xlsx&amp;sheet=A0&amp;row=148&amp;col=7&amp;number==&amp;sourceID=11","=")</f>
        <v>=</v>
      </c>
      <c r="H148" s="4" t="str">
        <f>HYPERLINK("http://141.218.60.56/~jnz1568/getInfo.php?workbook=04_01.xlsx&amp;sheet=A0&amp;row=148&amp;col=8&amp;number=&amp;sourceID=11","")</f>
        <v/>
      </c>
      <c r="I148" s="4" t="str">
        <f>HYPERLINK("http://141.218.60.56/~jnz1568/getInfo.php?workbook=04_01.xlsx&amp;sheet=A0&amp;row=148&amp;col=9&amp;number=799.04&amp;sourceID=11","799.04")</f>
        <v>799.04</v>
      </c>
      <c r="J148" s="4" t="str">
        <f>HYPERLINK("http://141.218.60.56/~jnz1568/getInfo.php?workbook=04_01.xlsx&amp;sheet=A0&amp;row=148&amp;col=10&amp;number=&amp;sourceID=11","")</f>
        <v/>
      </c>
      <c r="K148" s="4" t="str">
        <f>HYPERLINK("http://141.218.60.56/~jnz1568/getInfo.php?workbook=04_01.xlsx&amp;sheet=A0&amp;row=148&amp;col=11&amp;number=&amp;sourceID=11","")</f>
        <v/>
      </c>
      <c r="L148" s="4" t="str">
        <f>HYPERLINK("http://141.218.60.56/~jnz1568/getInfo.php?workbook=04_01.xlsx&amp;sheet=A0&amp;row=148&amp;col=12&amp;number=&amp;sourceID=11","")</f>
        <v/>
      </c>
      <c r="M148" s="4" t="str">
        <f>HYPERLINK("http://141.218.60.56/~jnz1568/getInfo.php?workbook=04_01.xlsx&amp;sheet=A0&amp;row=148&amp;col=13&amp;number=1.6309e-08&amp;sourceID=11","1.6309e-08")</f>
        <v>1.6309e-08</v>
      </c>
      <c r="N148" s="4" t="str">
        <f>HYPERLINK("http://141.218.60.56/~jnz1568/getInfo.php?workbook=04_01.xlsx&amp;sheet=A0&amp;row=148&amp;col=14&amp;number=799.09&amp;sourceID=12","799.09")</f>
        <v>799.09</v>
      </c>
      <c r="O148" s="4" t="str">
        <f>HYPERLINK("http://141.218.60.56/~jnz1568/getInfo.php?workbook=04_01.xlsx&amp;sheet=A0&amp;row=148&amp;col=15&amp;number=&amp;sourceID=12","")</f>
        <v/>
      </c>
      <c r="P148" s="4" t="str">
        <f>HYPERLINK("http://141.218.60.56/~jnz1568/getInfo.php?workbook=04_01.xlsx&amp;sheet=A0&amp;row=148&amp;col=16&amp;number=799.09&amp;sourceID=12","799.09")</f>
        <v>799.09</v>
      </c>
      <c r="Q148" s="4" t="str">
        <f>HYPERLINK("http://141.218.60.56/~jnz1568/getInfo.php?workbook=04_01.xlsx&amp;sheet=A0&amp;row=148&amp;col=17&amp;number=&amp;sourceID=12","")</f>
        <v/>
      </c>
      <c r="R148" s="4" t="str">
        <f>HYPERLINK("http://141.218.60.56/~jnz1568/getInfo.php?workbook=04_01.xlsx&amp;sheet=A0&amp;row=148&amp;col=18&amp;number=&amp;sourceID=12","")</f>
        <v/>
      </c>
      <c r="S148" s="4" t="str">
        <f>HYPERLINK("http://141.218.60.56/~jnz1568/getInfo.php?workbook=04_01.xlsx&amp;sheet=A0&amp;row=148&amp;col=19&amp;number=&amp;sourceID=12","")</f>
        <v/>
      </c>
      <c r="T148" s="4" t="str">
        <f>HYPERLINK("http://141.218.60.56/~jnz1568/getInfo.php?workbook=04_01.xlsx&amp;sheet=A0&amp;row=148&amp;col=20&amp;number=1.631e-08&amp;sourceID=12","1.631e-08")</f>
        <v>1.631e-08</v>
      </c>
      <c r="U148" s="4" t="str">
        <f>HYPERLINK("http://141.218.60.56/~jnz1568/getInfo.php?workbook=04_01.xlsx&amp;sheet=A0&amp;row=148&amp;col=21&amp;number=&amp;sourceID=20","")</f>
        <v/>
      </c>
    </row>
    <row r="149" spans="1:21">
      <c r="A149" s="3">
        <v>4</v>
      </c>
      <c r="B149" s="3">
        <v>1</v>
      </c>
      <c r="C149" s="3">
        <v>18</v>
      </c>
      <c r="D149" s="3">
        <v>16</v>
      </c>
      <c r="E149" s="3">
        <f>((1/(INDEX(E0!J$4:J$28,C149,1)-INDEX(E0!J$4:J$28,D149,1))))*100000000</f>
        <v>0</v>
      </c>
      <c r="F149" s="4" t="str">
        <f>HYPERLINK("http://141.218.60.56/~jnz1568/getInfo.php?workbook=04_01.xlsx&amp;sheet=A0&amp;row=149&amp;col=6&amp;number=&amp;sourceID=18","")</f>
        <v/>
      </c>
      <c r="G149" s="4" t="str">
        <f>HYPERLINK("http://141.218.60.56/~jnz1568/getInfo.php?workbook=04_01.xlsx&amp;sheet=A0&amp;row=149&amp;col=7&amp;number==&amp;sourceID=11","=")</f>
        <v>=</v>
      </c>
      <c r="H149" s="4" t="str">
        <f>HYPERLINK("http://141.218.60.56/~jnz1568/getInfo.php?workbook=04_01.xlsx&amp;sheet=A0&amp;row=149&amp;col=8&amp;number=&amp;sourceID=11","")</f>
        <v/>
      </c>
      <c r="I149" s="4" t="str">
        <f>HYPERLINK("http://141.218.60.56/~jnz1568/getInfo.php?workbook=04_01.xlsx&amp;sheet=A0&amp;row=149&amp;col=9&amp;number=&amp;sourceID=11","")</f>
        <v/>
      </c>
      <c r="J149" s="4" t="str">
        <f>HYPERLINK("http://141.218.60.56/~jnz1568/getInfo.php?workbook=04_01.xlsx&amp;sheet=A0&amp;row=149&amp;col=10&amp;number=0.0011963&amp;sourceID=11","0.0011963")</f>
        <v>0.0011963</v>
      </c>
      <c r="K149" s="4" t="str">
        <f>HYPERLINK("http://141.218.60.56/~jnz1568/getInfo.php?workbook=04_01.xlsx&amp;sheet=A0&amp;row=149&amp;col=11&amp;number=&amp;sourceID=11","")</f>
        <v/>
      </c>
      <c r="L149" s="4" t="str">
        <f>HYPERLINK("http://141.218.60.56/~jnz1568/getInfo.php?workbook=04_01.xlsx&amp;sheet=A0&amp;row=149&amp;col=12&amp;number=&amp;sourceID=11","")</f>
        <v/>
      </c>
      <c r="M149" s="4" t="str">
        <f>HYPERLINK("http://141.218.60.56/~jnz1568/getInfo.php?workbook=04_01.xlsx&amp;sheet=A0&amp;row=149&amp;col=13&amp;number=&amp;sourceID=11","")</f>
        <v/>
      </c>
      <c r="N149" s="4" t="str">
        <f>HYPERLINK("http://141.218.60.56/~jnz1568/getInfo.php?workbook=04_01.xlsx&amp;sheet=A0&amp;row=149&amp;col=14&amp;number=0.0011963&amp;sourceID=12","0.0011963")</f>
        <v>0.0011963</v>
      </c>
      <c r="O149" s="4" t="str">
        <f>HYPERLINK("http://141.218.60.56/~jnz1568/getInfo.php?workbook=04_01.xlsx&amp;sheet=A0&amp;row=149&amp;col=15&amp;number=&amp;sourceID=12","")</f>
        <v/>
      </c>
      <c r="P149" s="4" t="str">
        <f>HYPERLINK("http://141.218.60.56/~jnz1568/getInfo.php?workbook=04_01.xlsx&amp;sheet=A0&amp;row=149&amp;col=16&amp;number=&amp;sourceID=12","")</f>
        <v/>
      </c>
      <c r="Q149" s="4" t="str">
        <f>HYPERLINK("http://141.218.60.56/~jnz1568/getInfo.php?workbook=04_01.xlsx&amp;sheet=A0&amp;row=149&amp;col=17&amp;number=0.0011963&amp;sourceID=12","0.0011963")</f>
        <v>0.0011963</v>
      </c>
      <c r="R149" s="4" t="str">
        <f>HYPERLINK("http://141.218.60.56/~jnz1568/getInfo.php?workbook=04_01.xlsx&amp;sheet=A0&amp;row=149&amp;col=18&amp;number=&amp;sourceID=12","")</f>
        <v/>
      </c>
      <c r="S149" s="4" t="str">
        <f>HYPERLINK("http://141.218.60.56/~jnz1568/getInfo.php?workbook=04_01.xlsx&amp;sheet=A0&amp;row=149&amp;col=19&amp;number=&amp;sourceID=12","")</f>
        <v/>
      </c>
      <c r="T149" s="4" t="str">
        <f>HYPERLINK("http://141.218.60.56/~jnz1568/getInfo.php?workbook=04_01.xlsx&amp;sheet=A0&amp;row=149&amp;col=20&amp;number=&amp;sourceID=12","")</f>
        <v/>
      </c>
      <c r="U149" s="4" t="str">
        <f>HYPERLINK("http://141.218.60.56/~jnz1568/getInfo.php?workbook=04_01.xlsx&amp;sheet=A0&amp;row=149&amp;col=21&amp;number=&amp;sourceID=20","")</f>
        <v/>
      </c>
    </row>
    <row r="150" spans="1:21">
      <c r="A150" s="3">
        <v>4</v>
      </c>
      <c r="B150" s="3">
        <v>1</v>
      </c>
      <c r="C150" s="3">
        <v>19</v>
      </c>
      <c r="D150" s="3">
        <v>1</v>
      </c>
      <c r="E150" s="3">
        <f>((1/(INDEX(E0!J$4:J$28,C150,1)-INDEX(E0!J$4:J$28,D150,1))))*100000000</f>
        <v>0</v>
      </c>
      <c r="F150" s="4" t="str">
        <f>HYPERLINK("http://141.218.60.56/~jnz1568/getInfo.php?workbook=04_01.xlsx&amp;sheet=A0&amp;row=150&amp;col=6&amp;number=&amp;sourceID=18","")</f>
        <v/>
      </c>
      <c r="G150" s="4" t="str">
        <f>HYPERLINK("http://141.218.60.56/~jnz1568/getInfo.php?workbook=04_01.xlsx&amp;sheet=A0&amp;row=150&amp;col=7&amp;number==&amp;sourceID=11","=")</f>
        <v>=</v>
      </c>
      <c r="H150" s="4" t="str">
        <f>HYPERLINK("http://141.218.60.56/~jnz1568/getInfo.php?workbook=04_01.xlsx&amp;sheet=A0&amp;row=150&amp;col=8&amp;number=&amp;sourceID=11","")</f>
        <v/>
      </c>
      <c r="I150" s="4" t="str">
        <f>HYPERLINK("http://141.218.60.56/~jnz1568/getInfo.php?workbook=04_01.xlsx&amp;sheet=A0&amp;row=150&amp;col=9&amp;number=755950&amp;sourceID=11","755950")</f>
        <v>755950</v>
      </c>
      <c r="J150" s="4" t="str">
        <f>HYPERLINK("http://141.218.60.56/~jnz1568/getInfo.php?workbook=04_01.xlsx&amp;sheet=A0&amp;row=150&amp;col=10&amp;number=&amp;sourceID=11","")</f>
        <v/>
      </c>
      <c r="K150" s="4" t="str">
        <f>HYPERLINK("http://141.218.60.56/~jnz1568/getInfo.php?workbook=04_01.xlsx&amp;sheet=A0&amp;row=150&amp;col=11&amp;number=0.0027064&amp;sourceID=11","0.0027064")</f>
        <v>0.0027064</v>
      </c>
      <c r="L150" s="4" t="str">
        <f>HYPERLINK("http://141.218.60.56/~jnz1568/getInfo.php?workbook=04_01.xlsx&amp;sheet=A0&amp;row=150&amp;col=12&amp;number=&amp;sourceID=11","")</f>
        <v/>
      </c>
      <c r="M150" s="4" t="str">
        <f>HYPERLINK("http://141.218.60.56/~jnz1568/getInfo.php?workbook=04_01.xlsx&amp;sheet=A0&amp;row=150&amp;col=13&amp;number=&amp;sourceID=11","")</f>
        <v/>
      </c>
      <c r="N150" s="4" t="str">
        <f>HYPERLINK("http://141.218.60.56/~jnz1568/getInfo.php?workbook=04_01.xlsx&amp;sheet=A0&amp;row=150&amp;col=14&amp;number=755990&amp;sourceID=12","755990")</f>
        <v>755990</v>
      </c>
      <c r="O150" s="4" t="str">
        <f>HYPERLINK("http://141.218.60.56/~jnz1568/getInfo.php?workbook=04_01.xlsx&amp;sheet=A0&amp;row=150&amp;col=15&amp;number=&amp;sourceID=12","")</f>
        <v/>
      </c>
      <c r="P150" s="4" t="str">
        <f>HYPERLINK("http://141.218.60.56/~jnz1568/getInfo.php?workbook=04_01.xlsx&amp;sheet=A0&amp;row=150&amp;col=16&amp;number=755990&amp;sourceID=12","755990")</f>
        <v>755990</v>
      </c>
      <c r="Q150" s="4" t="str">
        <f>HYPERLINK("http://141.218.60.56/~jnz1568/getInfo.php?workbook=04_01.xlsx&amp;sheet=A0&amp;row=150&amp;col=17&amp;number=&amp;sourceID=12","")</f>
        <v/>
      </c>
      <c r="R150" s="4" t="str">
        <f>HYPERLINK("http://141.218.60.56/~jnz1568/getInfo.php?workbook=04_01.xlsx&amp;sheet=A0&amp;row=150&amp;col=18&amp;number=0.0027069&amp;sourceID=12","0.0027069")</f>
        <v>0.0027069</v>
      </c>
      <c r="S150" s="4" t="str">
        <f>HYPERLINK("http://141.218.60.56/~jnz1568/getInfo.php?workbook=04_01.xlsx&amp;sheet=A0&amp;row=150&amp;col=19&amp;number=&amp;sourceID=12","")</f>
        <v/>
      </c>
      <c r="T150" s="4" t="str">
        <f>HYPERLINK("http://141.218.60.56/~jnz1568/getInfo.php?workbook=04_01.xlsx&amp;sheet=A0&amp;row=150&amp;col=20&amp;number=&amp;sourceID=12","")</f>
        <v/>
      </c>
      <c r="U150" s="4" t="str">
        <f>HYPERLINK("http://141.218.60.56/~jnz1568/getInfo.php?workbook=04_01.xlsx&amp;sheet=A0&amp;row=150&amp;col=21&amp;number=&amp;sourceID=20","")</f>
        <v/>
      </c>
    </row>
    <row r="151" spans="1:21">
      <c r="A151" s="3">
        <v>4</v>
      </c>
      <c r="B151" s="3">
        <v>1</v>
      </c>
      <c r="C151" s="3">
        <v>19</v>
      </c>
      <c r="D151" s="3">
        <v>2</v>
      </c>
      <c r="E151" s="3">
        <f>((1/(INDEX(E0!J$4:J$28,C151,1)-INDEX(E0!J$4:J$28,D151,1))))*100000000</f>
        <v>0</v>
      </c>
      <c r="F151" s="4" t="str">
        <f>HYPERLINK("http://141.218.60.56/~jnz1568/getInfo.php?workbook=04_01.xlsx&amp;sheet=A0&amp;row=151&amp;col=6&amp;number=&amp;sourceID=18","")</f>
        <v/>
      </c>
      <c r="G151" s="4" t="str">
        <f>HYPERLINK("http://141.218.60.56/~jnz1568/getInfo.php?workbook=04_01.xlsx&amp;sheet=A0&amp;row=151&amp;col=7&amp;number==&amp;sourceID=11","=")</f>
        <v>=</v>
      </c>
      <c r="H151" s="4" t="str">
        <f>HYPERLINK("http://141.218.60.56/~jnz1568/getInfo.php?workbook=04_01.xlsx&amp;sheet=A0&amp;row=151&amp;col=8&amp;number=2013000000&amp;sourceID=11","2013000000")</f>
        <v>2013000000</v>
      </c>
      <c r="I151" s="4" t="str">
        <f>HYPERLINK("http://141.218.60.56/~jnz1568/getInfo.php?workbook=04_01.xlsx&amp;sheet=A0&amp;row=151&amp;col=9&amp;number=&amp;sourceID=11","")</f>
        <v/>
      </c>
      <c r="J151" s="4" t="str">
        <f>HYPERLINK("http://141.218.60.56/~jnz1568/getInfo.php?workbook=04_01.xlsx&amp;sheet=A0&amp;row=151&amp;col=10&amp;number=&amp;sourceID=11","")</f>
        <v/>
      </c>
      <c r="K151" s="4" t="str">
        <f>HYPERLINK("http://141.218.60.56/~jnz1568/getInfo.php?workbook=04_01.xlsx&amp;sheet=A0&amp;row=151&amp;col=11&amp;number=&amp;sourceID=11","")</f>
        <v/>
      </c>
      <c r="L151" s="4" t="str">
        <f>HYPERLINK("http://141.218.60.56/~jnz1568/getInfo.php?workbook=04_01.xlsx&amp;sheet=A0&amp;row=151&amp;col=12&amp;number=0.12087&amp;sourceID=11","0.12087")</f>
        <v>0.12087</v>
      </c>
      <c r="M151" s="4" t="str">
        <f>HYPERLINK("http://141.218.60.56/~jnz1568/getInfo.php?workbook=04_01.xlsx&amp;sheet=A0&amp;row=151&amp;col=13&amp;number=&amp;sourceID=11","")</f>
        <v/>
      </c>
      <c r="N151" s="4" t="str">
        <f>HYPERLINK("http://141.218.60.56/~jnz1568/getInfo.php?workbook=04_01.xlsx&amp;sheet=A0&amp;row=151&amp;col=14&amp;number=2013100000&amp;sourceID=12","2013100000")</f>
        <v>2013100000</v>
      </c>
      <c r="O151" s="4" t="str">
        <f>HYPERLINK("http://141.218.60.56/~jnz1568/getInfo.php?workbook=04_01.xlsx&amp;sheet=A0&amp;row=151&amp;col=15&amp;number=2013100000&amp;sourceID=12","2013100000")</f>
        <v>2013100000</v>
      </c>
      <c r="P151" s="4" t="str">
        <f>HYPERLINK("http://141.218.60.56/~jnz1568/getInfo.php?workbook=04_01.xlsx&amp;sheet=A0&amp;row=151&amp;col=16&amp;number=&amp;sourceID=12","")</f>
        <v/>
      </c>
      <c r="Q151" s="4" t="str">
        <f>HYPERLINK("http://141.218.60.56/~jnz1568/getInfo.php?workbook=04_01.xlsx&amp;sheet=A0&amp;row=151&amp;col=17&amp;number=&amp;sourceID=12","")</f>
        <v/>
      </c>
      <c r="R151" s="4" t="str">
        <f>HYPERLINK("http://141.218.60.56/~jnz1568/getInfo.php?workbook=04_01.xlsx&amp;sheet=A0&amp;row=151&amp;col=18&amp;number=&amp;sourceID=12","")</f>
        <v/>
      </c>
      <c r="S151" s="4" t="str">
        <f>HYPERLINK("http://141.218.60.56/~jnz1568/getInfo.php?workbook=04_01.xlsx&amp;sheet=A0&amp;row=151&amp;col=19&amp;number=0.12088&amp;sourceID=12","0.12088")</f>
        <v>0.12088</v>
      </c>
      <c r="T151" s="4" t="str">
        <f>HYPERLINK("http://141.218.60.56/~jnz1568/getInfo.php?workbook=04_01.xlsx&amp;sheet=A0&amp;row=151&amp;col=20&amp;number=&amp;sourceID=12","")</f>
        <v/>
      </c>
      <c r="U151" s="4" t="str">
        <f>HYPERLINK("http://141.218.60.56/~jnz1568/getInfo.php?workbook=04_01.xlsx&amp;sheet=A0&amp;row=151&amp;col=21&amp;number=&amp;sourceID=20","")</f>
        <v/>
      </c>
    </row>
    <row r="152" spans="1:21">
      <c r="A152" s="3">
        <v>4</v>
      </c>
      <c r="B152" s="3">
        <v>1</v>
      </c>
      <c r="C152" s="3">
        <v>19</v>
      </c>
      <c r="D152" s="3">
        <v>3</v>
      </c>
      <c r="E152" s="3">
        <f>((1/(INDEX(E0!J$4:J$28,C152,1)-INDEX(E0!J$4:J$28,D152,1))))*100000000</f>
        <v>0</v>
      </c>
      <c r="F152" s="4" t="str">
        <f>HYPERLINK("http://141.218.60.56/~jnz1568/getInfo.php?workbook=04_01.xlsx&amp;sheet=A0&amp;row=152&amp;col=6&amp;number=&amp;sourceID=18","")</f>
        <v/>
      </c>
      <c r="G152" s="4" t="str">
        <f>HYPERLINK("http://141.218.60.56/~jnz1568/getInfo.php?workbook=04_01.xlsx&amp;sheet=A0&amp;row=152&amp;col=7&amp;number==&amp;sourceID=11","=")</f>
        <v>=</v>
      </c>
      <c r="H152" s="4" t="str">
        <f>HYPERLINK("http://141.218.60.56/~jnz1568/getInfo.php?workbook=04_01.xlsx&amp;sheet=A0&amp;row=152&amp;col=8&amp;number=&amp;sourceID=11","")</f>
        <v/>
      </c>
      <c r="I152" s="4" t="str">
        <f>HYPERLINK("http://141.218.60.56/~jnz1568/getInfo.php?workbook=04_01.xlsx&amp;sheet=A0&amp;row=152&amp;col=9&amp;number=3962.7&amp;sourceID=11","3962.7")</f>
        <v>3962.7</v>
      </c>
      <c r="J152" s="4" t="str">
        <f>HYPERLINK("http://141.218.60.56/~jnz1568/getInfo.php?workbook=04_01.xlsx&amp;sheet=A0&amp;row=152&amp;col=10&amp;number=&amp;sourceID=11","")</f>
        <v/>
      </c>
      <c r="K152" s="4" t="str">
        <f>HYPERLINK("http://141.218.60.56/~jnz1568/getInfo.php?workbook=04_01.xlsx&amp;sheet=A0&amp;row=152&amp;col=11&amp;number=3.5305e-05&amp;sourceID=11","3.5305e-05")</f>
        <v>3.5305e-05</v>
      </c>
      <c r="L152" s="4" t="str">
        <f>HYPERLINK("http://141.218.60.56/~jnz1568/getInfo.php?workbook=04_01.xlsx&amp;sheet=A0&amp;row=152&amp;col=12&amp;number=&amp;sourceID=11","")</f>
        <v/>
      </c>
      <c r="M152" s="4" t="str">
        <f>HYPERLINK("http://141.218.60.56/~jnz1568/getInfo.php?workbook=04_01.xlsx&amp;sheet=A0&amp;row=152&amp;col=13&amp;number=&amp;sourceID=11","")</f>
        <v/>
      </c>
      <c r="N152" s="4" t="str">
        <f>HYPERLINK("http://141.218.60.56/~jnz1568/getInfo.php?workbook=04_01.xlsx&amp;sheet=A0&amp;row=152&amp;col=14&amp;number=3963&amp;sourceID=12","3963")</f>
        <v>3963</v>
      </c>
      <c r="O152" s="4" t="str">
        <f>HYPERLINK("http://141.218.60.56/~jnz1568/getInfo.php?workbook=04_01.xlsx&amp;sheet=A0&amp;row=152&amp;col=15&amp;number=&amp;sourceID=12","")</f>
        <v/>
      </c>
      <c r="P152" s="4" t="str">
        <f>HYPERLINK("http://141.218.60.56/~jnz1568/getInfo.php?workbook=04_01.xlsx&amp;sheet=A0&amp;row=152&amp;col=16&amp;number=3963&amp;sourceID=12","3963")</f>
        <v>3963</v>
      </c>
      <c r="Q152" s="4" t="str">
        <f>HYPERLINK("http://141.218.60.56/~jnz1568/getInfo.php?workbook=04_01.xlsx&amp;sheet=A0&amp;row=152&amp;col=17&amp;number=&amp;sourceID=12","")</f>
        <v/>
      </c>
      <c r="R152" s="4" t="str">
        <f>HYPERLINK("http://141.218.60.56/~jnz1568/getInfo.php?workbook=04_01.xlsx&amp;sheet=A0&amp;row=152&amp;col=18&amp;number=3.5229e-05&amp;sourceID=12","3.5229e-05")</f>
        <v>3.5229e-05</v>
      </c>
      <c r="S152" s="4" t="str">
        <f>HYPERLINK("http://141.218.60.56/~jnz1568/getInfo.php?workbook=04_01.xlsx&amp;sheet=A0&amp;row=152&amp;col=19&amp;number=&amp;sourceID=12","")</f>
        <v/>
      </c>
      <c r="T152" s="4" t="str">
        <f>HYPERLINK("http://141.218.60.56/~jnz1568/getInfo.php?workbook=04_01.xlsx&amp;sheet=A0&amp;row=152&amp;col=20&amp;number=&amp;sourceID=12","")</f>
        <v/>
      </c>
      <c r="U152" s="4" t="str">
        <f>HYPERLINK("http://141.218.60.56/~jnz1568/getInfo.php?workbook=04_01.xlsx&amp;sheet=A0&amp;row=152&amp;col=21&amp;number=&amp;sourceID=20","")</f>
        <v/>
      </c>
    </row>
    <row r="153" spans="1:21">
      <c r="A153" s="3">
        <v>4</v>
      </c>
      <c r="B153" s="3">
        <v>1</v>
      </c>
      <c r="C153" s="3">
        <v>19</v>
      </c>
      <c r="D153" s="3">
        <v>4</v>
      </c>
      <c r="E153" s="3">
        <f>((1/(INDEX(E0!J$4:J$28,C153,1)-INDEX(E0!J$4:J$28,D153,1))))*100000000</f>
        <v>0</v>
      </c>
      <c r="F153" s="4" t="str">
        <f>HYPERLINK("http://141.218.60.56/~jnz1568/getInfo.php?workbook=04_01.xlsx&amp;sheet=A0&amp;row=153&amp;col=6&amp;number=&amp;sourceID=18","")</f>
        <v/>
      </c>
      <c r="G153" s="4" t="str">
        <f>HYPERLINK("http://141.218.60.56/~jnz1568/getInfo.php?workbook=04_01.xlsx&amp;sheet=A0&amp;row=153&amp;col=7&amp;number==&amp;sourceID=11","=")</f>
        <v>=</v>
      </c>
      <c r="H153" s="4" t="str">
        <f>HYPERLINK("http://141.218.60.56/~jnz1568/getInfo.php?workbook=04_01.xlsx&amp;sheet=A0&amp;row=153&amp;col=8&amp;number=402250000&amp;sourceID=11","402250000")</f>
        <v>402250000</v>
      </c>
      <c r="I153" s="4" t="str">
        <f>HYPERLINK("http://141.218.60.56/~jnz1568/getInfo.php?workbook=04_01.xlsx&amp;sheet=A0&amp;row=153&amp;col=9&amp;number=&amp;sourceID=11","")</f>
        <v/>
      </c>
      <c r="J153" s="4" t="str">
        <f>HYPERLINK("http://141.218.60.56/~jnz1568/getInfo.php?workbook=04_01.xlsx&amp;sheet=A0&amp;row=153&amp;col=10&amp;number=0.046431&amp;sourceID=11","0.046431")</f>
        <v>0.046431</v>
      </c>
      <c r="K153" s="4" t="str">
        <f>HYPERLINK("http://141.218.60.56/~jnz1568/getInfo.php?workbook=04_01.xlsx&amp;sheet=A0&amp;row=153&amp;col=11&amp;number=&amp;sourceID=11","")</f>
        <v/>
      </c>
      <c r="L153" s="4" t="str">
        <f>HYPERLINK("http://141.218.60.56/~jnz1568/getInfo.php?workbook=04_01.xlsx&amp;sheet=A0&amp;row=153&amp;col=12&amp;number=&amp;sourceID=11","")</f>
        <v/>
      </c>
      <c r="M153" s="4" t="str">
        <f>HYPERLINK("http://141.218.60.56/~jnz1568/getInfo.php?workbook=04_01.xlsx&amp;sheet=A0&amp;row=153&amp;col=13&amp;number=&amp;sourceID=11","")</f>
        <v/>
      </c>
      <c r="N153" s="4" t="str">
        <f>HYPERLINK("http://141.218.60.56/~jnz1568/getInfo.php?workbook=04_01.xlsx&amp;sheet=A0&amp;row=153&amp;col=14&amp;number=402280000&amp;sourceID=12","402280000")</f>
        <v>402280000</v>
      </c>
      <c r="O153" s="4" t="str">
        <f>HYPERLINK("http://141.218.60.56/~jnz1568/getInfo.php?workbook=04_01.xlsx&amp;sheet=A0&amp;row=153&amp;col=15&amp;number=402280000&amp;sourceID=12","402280000")</f>
        <v>402280000</v>
      </c>
      <c r="P153" s="4" t="str">
        <f>HYPERLINK("http://141.218.60.56/~jnz1568/getInfo.php?workbook=04_01.xlsx&amp;sheet=A0&amp;row=153&amp;col=16&amp;number=&amp;sourceID=12","")</f>
        <v/>
      </c>
      <c r="Q153" s="4" t="str">
        <f>HYPERLINK("http://141.218.60.56/~jnz1568/getInfo.php?workbook=04_01.xlsx&amp;sheet=A0&amp;row=153&amp;col=17&amp;number=0.046435&amp;sourceID=12","0.046435")</f>
        <v>0.046435</v>
      </c>
      <c r="R153" s="4" t="str">
        <f>HYPERLINK("http://141.218.60.56/~jnz1568/getInfo.php?workbook=04_01.xlsx&amp;sheet=A0&amp;row=153&amp;col=18&amp;number=&amp;sourceID=12","")</f>
        <v/>
      </c>
      <c r="S153" s="4" t="str">
        <f>HYPERLINK("http://141.218.60.56/~jnz1568/getInfo.php?workbook=04_01.xlsx&amp;sheet=A0&amp;row=153&amp;col=19&amp;number=&amp;sourceID=12","")</f>
        <v/>
      </c>
      <c r="T153" s="4" t="str">
        <f>HYPERLINK("http://141.218.60.56/~jnz1568/getInfo.php?workbook=04_01.xlsx&amp;sheet=A0&amp;row=153&amp;col=20&amp;number=&amp;sourceID=12","")</f>
        <v/>
      </c>
      <c r="U153" s="4" t="str">
        <f>HYPERLINK("http://141.218.60.56/~jnz1568/getInfo.php?workbook=04_01.xlsx&amp;sheet=A0&amp;row=153&amp;col=21&amp;number=&amp;sourceID=20","")</f>
        <v/>
      </c>
    </row>
    <row r="154" spans="1:21">
      <c r="A154" s="3">
        <v>4</v>
      </c>
      <c r="B154" s="3">
        <v>1</v>
      </c>
      <c r="C154" s="3">
        <v>19</v>
      </c>
      <c r="D154" s="3">
        <v>5</v>
      </c>
      <c r="E154" s="3">
        <f>((1/(INDEX(E0!J$4:J$28,C154,1)-INDEX(E0!J$4:J$28,D154,1))))*100000000</f>
        <v>0</v>
      </c>
      <c r="F154" s="4" t="str">
        <f>HYPERLINK("http://141.218.60.56/~jnz1568/getInfo.php?workbook=04_01.xlsx&amp;sheet=A0&amp;row=154&amp;col=6&amp;number=&amp;sourceID=18","")</f>
        <v/>
      </c>
      <c r="G154" s="4" t="str">
        <f>HYPERLINK("http://141.218.60.56/~jnz1568/getInfo.php?workbook=04_01.xlsx&amp;sheet=A0&amp;row=154&amp;col=7&amp;number==&amp;sourceID=11","=")</f>
        <v>=</v>
      </c>
      <c r="H154" s="4" t="str">
        <f>HYPERLINK("http://141.218.60.56/~jnz1568/getInfo.php?workbook=04_01.xlsx&amp;sheet=A0&amp;row=154&amp;col=8&amp;number=724050000&amp;sourceID=11","724050000")</f>
        <v>724050000</v>
      </c>
      <c r="I154" s="4" t="str">
        <f>HYPERLINK("http://141.218.60.56/~jnz1568/getInfo.php?workbook=04_01.xlsx&amp;sheet=A0&amp;row=154&amp;col=9&amp;number=&amp;sourceID=11","")</f>
        <v/>
      </c>
      <c r="J154" s="4" t="str">
        <f>HYPERLINK("http://141.218.60.56/~jnz1568/getInfo.php?workbook=04_01.xlsx&amp;sheet=A0&amp;row=154&amp;col=10&amp;number=&amp;sourceID=11","")</f>
        <v/>
      </c>
      <c r="K154" s="4" t="str">
        <f>HYPERLINK("http://141.218.60.56/~jnz1568/getInfo.php?workbook=04_01.xlsx&amp;sheet=A0&amp;row=154&amp;col=11&amp;number=&amp;sourceID=11","")</f>
        <v/>
      </c>
      <c r="L154" s="4" t="str">
        <f>HYPERLINK("http://141.218.60.56/~jnz1568/getInfo.php?workbook=04_01.xlsx&amp;sheet=A0&amp;row=154&amp;col=12&amp;number=0.0049861&amp;sourceID=11","0.0049861")</f>
        <v>0.0049861</v>
      </c>
      <c r="M154" s="4" t="str">
        <f>HYPERLINK("http://141.218.60.56/~jnz1568/getInfo.php?workbook=04_01.xlsx&amp;sheet=A0&amp;row=154&amp;col=13&amp;number=&amp;sourceID=11","")</f>
        <v/>
      </c>
      <c r="N154" s="4" t="str">
        <f>HYPERLINK("http://141.218.60.56/~jnz1568/getInfo.php?workbook=04_01.xlsx&amp;sheet=A0&amp;row=154&amp;col=14&amp;number=724100000&amp;sourceID=12","724100000")</f>
        <v>724100000</v>
      </c>
      <c r="O154" s="4" t="str">
        <f>HYPERLINK("http://141.218.60.56/~jnz1568/getInfo.php?workbook=04_01.xlsx&amp;sheet=A0&amp;row=154&amp;col=15&amp;number=724100000&amp;sourceID=12","724100000")</f>
        <v>724100000</v>
      </c>
      <c r="P154" s="4" t="str">
        <f>HYPERLINK("http://141.218.60.56/~jnz1568/getInfo.php?workbook=04_01.xlsx&amp;sheet=A0&amp;row=154&amp;col=16&amp;number=&amp;sourceID=12","")</f>
        <v/>
      </c>
      <c r="Q154" s="4" t="str">
        <f>HYPERLINK("http://141.218.60.56/~jnz1568/getInfo.php?workbook=04_01.xlsx&amp;sheet=A0&amp;row=154&amp;col=17&amp;number=&amp;sourceID=12","")</f>
        <v/>
      </c>
      <c r="R154" s="4" t="str">
        <f>HYPERLINK("http://141.218.60.56/~jnz1568/getInfo.php?workbook=04_01.xlsx&amp;sheet=A0&amp;row=154&amp;col=18&amp;number=&amp;sourceID=12","")</f>
        <v/>
      </c>
      <c r="S154" s="4" t="str">
        <f>HYPERLINK("http://141.218.60.56/~jnz1568/getInfo.php?workbook=04_01.xlsx&amp;sheet=A0&amp;row=154&amp;col=19&amp;number=0.0049864&amp;sourceID=12","0.0049864")</f>
        <v>0.0049864</v>
      </c>
      <c r="T154" s="4" t="str">
        <f>HYPERLINK("http://141.218.60.56/~jnz1568/getInfo.php?workbook=04_01.xlsx&amp;sheet=A0&amp;row=154&amp;col=20&amp;number=&amp;sourceID=12","")</f>
        <v/>
      </c>
      <c r="U154" s="4" t="str">
        <f>HYPERLINK("http://141.218.60.56/~jnz1568/getInfo.php?workbook=04_01.xlsx&amp;sheet=A0&amp;row=154&amp;col=21&amp;number=&amp;sourceID=20","")</f>
        <v/>
      </c>
    </row>
    <row r="155" spans="1:21">
      <c r="A155" s="3">
        <v>4</v>
      </c>
      <c r="B155" s="3">
        <v>1</v>
      </c>
      <c r="C155" s="3">
        <v>19</v>
      </c>
      <c r="D155" s="3">
        <v>6</v>
      </c>
      <c r="E155" s="3">
        <f>((1/(INDEX(E0!J$4:J$28,C155,1)-INDEX(E0!J$4:J$28,D155,1))))*100000000</f>
        <v>0</v>
      </c>
      <c r="F155" s="4" t="str">
        <f>HYPERLINK("http://141.218.60.56/~jnz1568/getInfo.php?workbook=04_01.xlsx&amp;sheet=A0&amp;row=155&amp;col=6&amp;number=&amp;sourceID=18","")</f>
        <v/>
      </c>
      <c r="G155" s="4" t="str">
        <f>HYPERLINK("http://141.218.60.56/~jnz1568/getInfo.php?workbook=04_01.xlsx&amp;sheet=A0&amp;row=155&amp;col=7&amp;number==&amp;sourceID=11","=")</f>
        <v>=</v>
      </c>
      <c r="H155" s="4" t="str">
        <f>HYPERLINK("http://141.218.60.56/~jnz1568/getInfo.php?workbook=04_01.xlsx&amp;sheet=A0&amp;row=155&amp;col=8&amp;number=&amp;sourceID=11","")</f>
        <v/>
      </c>
      <c r="I155" s="4" t="str">
        <f>HYPERLINK("http://141.218.60.56/~jnz1568/getInfo.php?workbook=04_01.xlsx&amp;sheet=A0&amp;row=155&amp;col=9&amp;number=4454&amp;sourceID=11","4454")</f>
        <v>4454</v>
      </c>
      <c r="J155" s="4" t="str">
        <f>HYPERLINK("http://141.218.60.56/~jnz1568/getInfo.php?workbook=04_01.xlsx&amp;sheet=A0&amp;row=155&amp;col=10&amp;number=&amp;sourceID=11","")</f>
        <v/>
      </c>
      <c r="K155" s="4" t="str">
        <f>HYPERLINK("http://141.218.60.56/~jnz1568/getInfo.php?workbook=04_01.xlsx&amp;sheet=A0&amp;row=155&amp;col=11&amp;number=7.3801e-07&amp;sourceID=11","7.3801e-07")</f>
        <v>7.3801e-07</v>
      </c>
      <c r="L155" s="4" t="str">
        <f>HYPERLINK("http://141.218.60.56/~jnz1568/getInfo.php?workbook=04_01.xlsx&amp;sheet=A0&amp;row=155&amp;col=12&amp;number=&amp;sourceID=11","")</f>
        <v/>
      </c>
      <c r="M155" s="4" t="str">
        <f>HYPERLINK("http://141.218.60.56/~jnz1568/getInfo.php?workbook=04_01.xlsx&amp;sheet=A0&amp;row=155&amp;col=13&amp;number=&amp;sourceID=11","")</f>
        <v/>
      </c>
      <c r="N155" s="4" t="str">
        <f>HYPERLINK("http://141.218.60.56/~jnz1568/getInfo.php?workbook=04_01.xlsx&amp;sheet=A0&amp;row=155&amp;col=14&amp;number=4454.3&amp;sourceID=12","4454.3")</f>
        <v>4454.3</v>
      </c>
      <c r="O155" s="4" t="str">
        <f>HYPERLINK("http://141.218.60.56/~jnz1568/getInfo.php?workbook=04_01.xlsx&amp;sheet=A0&amp;row=155&amp;col=15&amp;number=&amp;sourceID=12","")</f>
        <v/>
      </c>
      <c r="P155" s="4" t="str">
        <f>HYPERLINK("http://141.218.60.56/~jnz1568/getInfo.php?workbook=04_01.xlsx&amp;sheet=A0&amp;row=155&amp;col=16&amp;number=4454.3&amp;sourceID=12","4454.3")</f>
        <v>4454.3</v>
      </c>
      <c r="Q155" s="4" t="str">
        <f>HYPERLINK("http://141.218.60.56/~jnz1568/getInfo.php?workbook=04_01.xlsx&amp;sheet=A0&amp;row=155&amp;col=17&amp;number=&amp;sourceID=12","")</f>
        <v/>
      </c>
      <c r="R155" s="4" t="str">
        <f>HYPERLINK("http://141.218.60.56/~jnz1568/getInfo.php?workbook=04_01.xlsx&amp;sheet=A0&amp;row=155&amp;col=18&amp;number=7.3815e-07&amp;sourceID=12","7.3815e-07")</f>
        <v>7.3815e-07</v>
      </c>
      <c r="S155" s="4" t="str">
        <f>HYPERLINK("http://141.218.60.56/~jnz1568/getInfo.php?workbook=04_01.xlsx&amp;sheet=A0&amp;row=155&amp;col=19&amp;number=&amp;sourceID=12","")</f>
        <v/>
      </c>
      <c r="T155" s="4" t="str">
        <f>HYPERLINK("http://141.218.60.56/~jnz1568/getInfo.php?workbook=04_01.xlsx&amp;sheet=A0&amp;row=155&amp;col=20&amp;number=&amp;sourceID=12","")</f>
        <v/>
      </c>
      <c r="U155" s="4" t="str">
        <f>HYPERLINK("http://141.218.60.56/~jnz1568/getInfo.php?workbook=04_01.xlsx&amp;sheet=A0&amp;row=155&amp;col=21&amp;number=&amp;sourceID=20","")</f>
        <v/>
      </c>
    </row>
    <row r="156" spans="1:21">
      <c r="A156" s="3">
        <v>4</v>
      </c>
      <c r="B156" s="3">
        <v>1</v>
      </c>
      <c r="C156" s="3">
        <v>19</v>
      </c>
      <c r="D156" s="3">
        <v>7</v>
      </c>
      <c r="E156" s="3">
        <f>((1/(INDEX(E0!J$4:J$28,C156,1)-INDEX(E0!J$4:J$28,D156,1))))*100000000</f>
        <v>0</v>
      </c>
      <c r="F156" s="4" t="str">
        <f>HYPERLINK("http://141.218.60.56/~jnz1568/getInfo.php?workbook=04_01.xlsx&amp;sheet=A0&amp;row=156&amp;col=6&amp;number=&amp;sourceID=18","")</f>
        <v/>
      </c>
      <c r="G156" s="4" t="str">
        <f>HYPERLINK("http://141.218.60.56/~jnz1568/getInfo.php?workbook=04_01.xlsx&amp;sheet=A0&amp;row=156&amp;col=7&amp;number==&amp;sourceID=11","=")</f>
        <v>=</v>
      </c>
      <c r="H156" s="4" t="str">
        <f>HYPERLINK("http://141.218.60.56/~jnz1568/getInfo.php?workbook=04_01.xlsx&amp;sheet=A0&amp;row=156&amp;col=8&amp;number=&amp;sourceID=11","")</f>
        <v/>
      </c>
      <c r="I156" s="4" t="str">
        <f>HYPERLINK("http://141.218.60.56/~jnz1568/getInfo.php?workbook=04_01.xlsx&amp;sheet=A0&amp;row=156&amp;col=9&amp;number=1644.6&amp;sourceID=11","1644.6")</f>
        <v>1644.6</v>
      </c>
      <c r="J156" s="4" t="str">
        <f>HYPERLINK("http://141.218.60.56/~jnz1568/getInfo.php?workbook=04_01.xlsx&amp;sheet=A0&amp;row=156&amp;col=10&amp;number=&amp;sourceID=11","")</f>
        <v/>
      </c>
      <c r="K156" s="4" t="str">
        <f>HYPERLINK("http://141.218.60.56/~jnz1568/getInfo.php?workbook=04_01.xlsx&amp;sheet=A0&amp;row=156&amp;col=11&amp;number=1.9728e-05&amp;sourceID=11","1.9728e-05")</f>
        <v>1.9728e-05</v>
      </c>
      <c r="L156" s="4" t="str">
        <f>HYPERLINK("http://141.218.60.56/~jnz1568/getInfo.php?workbook=04_01.xlsx&amp;sheet=A0&amp;row=156&amp;col=12&amp;number=&amp;sourceID=11","")</f>
        <v/>
      </c>
      <c r="M156" s="4" t="str">
        <f>HYPERLINK("http://141.218.60.56/~jnz1568/getInfo.php?workbook=04_01.xlsx&amp;sheet=A0&amp;row=156&amp;col=13&amp;number=1.2322e-08&amp;sourceID=11","1.2322e-08")</f>
        <v>1.2322e-08</v>
      </c>
      <c r="N156" s="4" t="str">
        <f>HYPERLINK("http://141.218.60.56/~jnz1568/getInfo.php?workbook=04_01.xlsx&amp;sheet=A0&amp;row=156&amp;col=14&amp;number=1644.7&amp;sourceID=12","1644.7")</f>
        <v>1644.7</v>
      </c>
      <c r="O156" s="4" t="str">
        <f>HYPERLINK("http://141.218.60.56/~jnz1568/getInfo.php?workbook=04_01.xlsx&amp;sheet=A0&amp;row=156&amp;col=15&amp;number=&amp;sourceID=12","")</f>
        <v/>
      </c>
      <c r="P156" s="4" t="str">
        <f>HYPERLINK("http://141.218.60.56/~jnz1568/getInfo.php?workbook=04_01.xlsx&amp;sheet=A0&amp;row=156&amp;col=16&amp;number=1644.7&amp;sourceID=12","1644.7")</f>
        <v>1644.7</v>
      </c>
      <c r="Q156" s="4" t="str">
        <f>HYPERLINK("http://141.218.60.56/~jnz1568/getInfo.php?workbook=04_01.xlsx&amp;sheet=A0&amp;row=156&amp;col=17&amp;number=&amp;sourceID=12","")</f>
        <v/>
      </c>
      <c r="R156" s="4" t="str">
        <f>HYPERLINK("http://141.218.60.56/~jnz1568/getInfo.php?workbook=04_01.xlsx&amp;sheet=A0&amp;row=156&amp;col=18&amp;number=1.9728e-05&amp;sourceID=12","1.9728e-05")</f>
        <v>1.9728e-05</v>
      </c>
      <c r="S156" s="4" t="str">
        <f>HYPERLINK("http://141.218.60.56/~jnz1568/getInfo.php?workbook=04_01.xlsx&amp;sheet=A0&amp;row=156&amp;col=19&amp;number=&amp;sourceID=12","")</f>
        <v/>
      </c>
      <c r="T156" s="4" t="str">
        <f>HYPERLINK("http://141.218.60.56/~jnz1568/getInfo.php?workbook=04_01.xlsx&amp;sheet=A0&amp;row=156&amp;col=20&amp;number=1.2323e-08&amp;sourceID=12","1.2323e-08")</f>
        <v>1.2323e-08</v>
      </c>
      <c r="U156" s="4" t="str">
        <f>HYPERLINK("http://141.218.60.56/~jnz1568/getInfo.php?workbook=04_01.xlsx&amp;sheet=A0&amp;row=156&amp;col=21&amp;number=&amp;sourceID=20","")</f>
        <v/>
      </c>
    </row>
    <row r="157" spans="1:21">
      <c r="A157" s="3">
        <v>4</v>
      </c>
      <c r="B157" s="3">
        <v>1</v>
      </c>
      <c r="C157" s="3">
        <v>19</v>
      </c>
      <c r="D157" s="3">
        <v>8</v>
      </c>
      <c r="E157" s="3">
        <f>((1/(INDEX(E0!J$4:J$28,C157,1)-INDEX(E0!J$4:J$28,D157,1))))*100000000</f>
        <v>0</v>
      </c>
      <c r="F157" s="4" t="str">
        <f>HYPERLINK("http://141.218.60.56/~jnz1568/getInfo.php?workbook=04_01.xlsx&amp;sheet=A0&amp;row=157&amp;col=6&amp;number=&amp;sourceID=18","")</f>
        <v/>
      </c>
      <c r="G157" s="4" t="str">
        <f>HYPERLINK("http://141.218.60.56/~jnz1568/getInfo.php?workbook=04_01.xlsx&amp;sheet=A0&amp;row=157&amp;col=7&amp;number==&amp;sourceID=11","=")</f>
        <v>=</v>
      </c>
      <c r="H157" s="4" t="str">
        <f>HYPERLINK("http://141.218.60.56/~jnz1568/getInfo.php?workbook=04_01.xlsx&amp;sheet=A0&amp;row=157&amp;col=8&amp;number=144780000&amp;sourceID=11","144780000")</f>
        <v>144780000</v>
      </c>
      <c r="I157" s="4" t="str">
        <f>HYPERLINK("http://141.218.60.56/~jnz1568/getInfo.php?workbook=04_01.xlsx&amp;sheet=A0&amp;row=157&amp;col=9&amp;number=&amp;sourceID=11","")</f>
        <v/>
      </c>
      <c r="J157" s="4" t="str">
        <f>HYPERLINK("http://141.218.60.56/~jnz1568/getInfo.php?workbook=04_01.xlsx&amp;sheet=A0&amp;row=157&amp;col=10&amp;number=0.0049178&amp;sourceID=11","0.0049178")</f>
        <v>0.0049178</v>
      </c>
      <c r="K157" s="4" t="str">
        <f>HYPERLINK("http://141.218.60.56/~jnz1568/getInfo.php?workbook=04_01.xlsx&amp;sheet=A0&amp;row=157&amp;col=11&amp;number=&amp;sourceID=11","")</f>
        <v/>
      </c>
      <c r="L157" s="4" t="str">
        <f>HYPERLINK("http://141.218.60.56/~jnz1568/getInfo.php?workbook=04_01.xlsx&amp;sheet=A0&amp;row=157&amp;col=12&amp;number=&amp;sourceID=11","")</f>
        <v/>
      </c>
      <c r="M157" s="4" t="str">
        <f>HYPERLINK("http://141.218.60.56/~jnz1568/getInfo.php?workbook=04_01.xlsx&amp;sheet=A0&amp;row=157&amp;col=13&amp;number=&amp;sourceID=11","")</f>
        <v/>
      </c>
      <c r="N157" s="4" t="str">
        <f>HYPERLINK("http://141.218.60.56/~jnz1568/getInfo.php?workbook=04_01.xlsx&amp;sheet=A0&amp;row=157&amp;col=14&amp;number=144790000&amp;sourceID=12","144790000")</f>
        <v>144790000</v>
      </c>
      <c r="O157" s="4" t="str">
        <f>HYPERLINK("http://141.218.60.56/~jnz1568/getInfo.php?workbook=04_01.xlsx&amp;sheet=A0&amp;row=157&amp;col=15&amp;number=144790000&amp;sourceID=12","144790000")</f>
        <v>144790000</v>
      </c>
      <c r="P157" s="4" t="str">
        <f>HYPERLINK("http://141.218.60.56/~jnz1568/getInfo.php?workbook=04_01.xlsx&amp;sheet=A0&amp;row=157&amp;col=16&amp;number=&amp;sourceID=12","")</f>
        <v/>
      </c>
      <c r="Q157" s="4" t="str">
        <f>HYPERLINK("http://141.218.60.56/~jnz1568/getInfo.php?workbook=04_01.xlsx&amp;sheet=A0&amp;row=157&amp;col=17&amp;number=0.0049181&amp;sourceID=12","0.0049181")</f>
        <v>0.0049181</v>
      </c>
      <c r="R157" s="4" t="str">
        <f>HYPERLINK("http://141.218.60.56/~jnz1568/getInfo.php?workbook=04_01.xlsx&amp;sheet=A0&amp;row=157&amp;col=18&amp;number=&amp;sourceID=12","")</f>
        <v/>
      </c>
      <c r="S157" s="4" t="str">
        <f>HYPERLINK("http://141.218.60.56/~jnz1568/getInfo.php?workbook=04_01.xlsx&amp;sheet=A0&amp;row=157&amp;col=19&amp;number=&amp;sourceID=12","")</f>
        <v/>
      </c>
      <c r="T157" s="4" t="str">
        <f>HYPERLINK("http://141.218.60.56/~jnz1568/getInfo.php?workbook=04_01.xlsx&amp;sheet=A0&amp;row=157&amp;col=20&amp;number=&amp;sourceID=12","")</f>
        <v/>
      </c>
      <c r="U157" s="4" t="str">
        <f>HYPERLINK("http://141.218.60.56/~jnz1568/getInfo.php?workbook=04_01.xlsx&amp;sheet=A0&amp;row=157&amp;col=21&amp;number=&amp;sourceID=20","")</f>
        <v/>
      </c>
    </row>
    <row r="158" spans="1:21">
      <c r="A158" s="3">
        <v>4</v>
      </c>
      <c r="B158" s="3">
        <v>1</v>
      </c>
      <c r="C158" s="3">
        <v>19</v>
      </c>
      <c r="D158" s="3">
        <v>9</v>
      </c>
      <c r="E158" s="3">
        <f>((1/(INDEX(E0!J$4:J$28,C158,1)-INDEX(E0!J$4:J$28,D158,1))))*100000000</f>
        <v>0</v>
      </c>
      <c r="F158" s="4" t="str">
        <f>HYPERLINK("http://141.218.60.56/~jnz1568/getInfo.php?workbook=04_01.xlsx&amp;sheet=A0&amp;row=158&amp;col=6&amp;number=&amp;sourceID=18","")</f>
        <v/>
      </c>
      <c r="G158" s="4" t="str">
        <f>HYPERLINK("http://141.218.60.56/~jnz1568/getInfo.php?workbook=04_01.xlsx&amp;sheet=A0&amp;row=158&amp;col=7&amp;number==&amp;sourceID=11","=")</f>
        <v>=</v>
      </c>
      <c r="H158" s="4" t="str">
        <f>HYPERLINK("http://141.218.60.56/~jnz1568/getInfo.php?workbook=04_01.xlsx&amp;sheet=A0&amp;row=158&amp;col=8&amp;number=&amp;sourceID=11","")</f>
        <v/>
      </c>
      <c r="I158" s="4" t="str">
        <f>HYPERLINK("http://141.218.60.56/~jnz1568/getInfo.php?workbook=04_01.xlsx&amp;sheet=A0&amp;row=158&amp;col=9&amp;number=704.68&amp;sourceID=11","704.68")</f>
        <v>704.68</v>
      </c>
      <c r="J158" s="4" t="str">
        <f>HYPERLINK("http://141.218.60.56/~jnz1568/getInfo.php?workbook=04_01.xlsx&amp;sheet=A0&amp;row=158&amp;col=10&amp;number=&amp;sourceID=11","")</f>
        <v/>
      </c>
      <c r="K158" s="4" t="str">
        <f>HYPERLINK("http://141.218.60.56/~jnz1568/getInfo.php?workbook=04_01.xlsx&amp;sheet=A0&amp;row=158&amp;col=11&amp;number=4.259e-05&amp;sourceID=11","4.259e-05")</f>
        <v>4.259e-05</v>
      </c>
      <c r="L158" s="4" t="str">
        <f>HYPERLINK("http://141.218.60.56/~jnz1568/getInfo.php?workbook=04_01.xlsx&amp;sheet=A0&amp;row=158&amp;col=12&amp;number=&amp;sourceID=11","")</f>
        <v/>
      </c>
      <c r="M158" s="4" t="str">
        <f>HYPERLINK("http://141.218.60.56/~jnz1568/getInfo.php?workbook=04_01.xlsx&amp;sheet=A0&amp;row=158&amp;col=13&amp;number=8.2121e-09&amp;sourceID=11","8.2121e-09")</f>
        <v>8.2121e-09</v>
      </c>
      <c r="N158" s="4" t="str">
        <f>HYPERLINK("http://141.218.60.56/~jnz1568/getInfo.php?workbook=04_01.xlsx&amp;sheet=A0&amp;row=158&amp;col=14&amp;number=704.72&amp;sourceID=12","704.72")</f>
        <v>704.72</v>
      </c>
      <c r="O158" s="4" t="str">
        <f>HYPERLINK("http://141.218.60.56/~jnz1568/getInfo.php?workbook=04_01.xlsx&amp;sheet=A0&amp;row=158&amp;col=15&amp;number=&amp;sourceID=12","")</f>
        <v/>
      </c>
      <c r="P158" s="4" t="str">
        <f>HYPERLINK("http://141.218.60.56/~jnz1568/getInfo.php?workbook=04_01.xlsx&amp;sheet=A0&amp;row=158&amp;col=16&amp;number=704.72&amp;sourceID=12","704.72")</f>
        <v>704.72</v>
      </c>
      <c r="Q158" s="4" t="str">
        <f>HYPERLINK("http://141.218.60.56/~jnz1568/getInfo.php?workbook=04_01.xlsx&amp;sheet=A0&amp;row=158&amp;col=17&amp;number=&amp;sourceID=12","")</f>
        <v/>
      </c>
      <c r="R158" s="4" t="str">
        <f>HYPERLINK("http://141.218.60.56/~jnz1568/getInfo.php?workbook=04_01.xlsx&amp;sheet=A0&amp;row=158&amp;col=18&amp;number=4.2596e-05&amp;sourceID=12","4.2596e-05")</f>
        <v>4.2596e-05</v>
      </c>
      <c r="S158" s="4" t="str">
        <f>HYPERLINK("http://141.218.60.56/~jnz1568/getInfo.php?workbook=04_01.xlsx&amp;sheet=A0&amp;row=158&amp;col=19&amp;number=&amp;sourceID=12","")</f>
        <v/>
      </c>
      <c r="T158" s="4" t="str">
        <f>HYPERLINK("http://141.218.60.56/~jnz1568/getInfo.php?workbook=04_01.xlsx&amp;sheet=A0&amp;row=158&amp;col=20&amp;number=8.2126e-09&amp;sourceID=12","8.2126e-09")</f>
        <v>8.2126e-09</v>
      </c>
      <c r="U158" s="4" t="str">
        <f>HYPERLINK("http://141.218.60.56/~jnz1568/getInfo.php?workbook=04_01.xlsx&amp;sheet=A0&amp;row=158&amp;col=21&amp;number=&amp;sourceID=20","")</f>
        <v/>
      </c>
    </row>
    <row r="159" spans="1:21">
      <c r="A159" s="3">
        <v>4</v>
      </c>
      <c r="B159" s="3">
        <v>1</v>
      </c>
      <c r="C159" s="3">
        <v>19</v>
      </c>
      <c r="D159" s="3">
        <v>10</v>
      </c>
      <c r="E159" s="3">
        <f>((1/(INDEX(E0!J$4:J$28,C159,1)-INDEX(E0!J$4:J$28,D159,1))))*100000000</f>
        <v>0</v>
      </c>
      <c r="F159" s="4" t="str">
        <f>HYPERLINK("http://141.218.60.56/~jnz1568/getInfo.php?workbook=04_01.xlsx&amp;sheet=A0&amp;row=159&amp;col=6&amp;number=&amp;sourceID=18","")</f>
        <v/>
      </c>
      <c r="G159" s="4" t="str">
        <f>HYPERLINK("http://141.218.60.56/~jnz1568/getInfo.php?workbook=04_01.xlsx&amp;sheet=A0&amp;row=159&amp;col=7&amp;number==&amp;sourceID=11","=")</f>
        <v>=</v>
      </c>
      <c r="H159" s="4" t="str">
        <f>HYPERLINK("http://141.218.60.56/~jnz1568/getInfo.php?workbook=04_01.xlsx&amp;sheet=A0&amp;row=159&amp;col=8&amp;number=317050000&amp;sourceID=11","317050000")</f>
        <v>317050000</v>
      </c>
      <c r="I159" s="4" t="str">
        <f>HYPERLINK("http://141.218.60.56/~jnz1568/getInfo.php?workbook=04_01.xlsx&amp;sheet=A0&amp;row=159&amp;col=9&amp;number=&amp;sourceID=11","")</f>
        <v/>
      </c>
      <c r="J159" s="4" t="str">
        <f>HYPERLINK("http://141.218.60.56/~jnz1568/getInfo.php?workbook=04_01.xlsx&amp;sheet=A0&amp;row=159&amp;col=10&amp;number=&amp;sourceID=11","")</f>
        <v/>
      </c>
      <c r="K159" s="4" t="str">
        <f>HYPERLINK("http://141.218.60.56/~jnz1568/getInfo.php?workbook=04_01.xlsx&amp;sheet=A0&amp;row=159&amp;col=11&amp;number=&amp;sourceID=11","")</f>
        <v/>
      </c>
      <c r="L159" s="4" t="str">
        <f>HYPERLINK("http://141.218.60.56/~jnz1568/getInfo.php?workbook=04_01.xlsx&amp;sheet=A0&amp;row=159&amp;col=12&amp;number=0.00021863&amp;sourceID=11","0.00021863")</f>
        <v>0.00021863</v>
      </c>
      <c r="M159" s="4" t="str">
        <f>HYPERLINK("http://141.218.60.56/~jnz1568/getInfo.php?workbook=04_01.xlsx&amp;sheet=A0&amp;row=159&amp;col=13&amp;number=&amp;sourceID=11","")</f>
        <v/>
      </c>
      <c r="N159" s="4" t="str">
        <f>HYPERLINK("http://141.218.60.56/~jnz1568/getInfo.php?workbook=04_01.xlsx&amp;sheet=A0&amp;row=159&amp;col=14&amp;number=317070000&amp;sourceID=12","317070000")</f>
        <v>317070000</v>
      </c>
      <c r="O159" s="4" t="str">
        <f>HYPERLINK("http://141.218.60.56/~jnz1568/getInfo.php?workbook=04_01.xlsx&amp;sheet=A0&amp;row=159&amp;col=15&amp;number=317070000&amp;sourceID=12","317070000")</f>
        <v>317070000</v>
      </c>
      <c r="P159" s="4" t="str">
        <f>HYPERLINK("http://141.218.60.56/~jnz1568/getInfo.php?workbook=04_01.xlsx&amp;sheet=A0&amp;row=159&amp;col=16&amp;number=&amp;sourceID=12","")</f>
        <v/>
      </c>
      <c r="Q159" s="4" t="str">
        <f>HYPERLINK("http://141.218.60.56/~jnz1568/getInfo.php?workbook=04_01.xlsx&amp;sheet=A0&amp;row=159&amp;col=17&amp;number=&amp;sourceID=12","")</f>
        <v/>
      </c>
      <c r="R159" s="4" t="str">
        <f>HYPERLINK("http://141.218.60.56/~jnz1568/getInfo.php?workbook=04_01.xlsx&amp;sheet=A0&amp;row=159&amp;col=18&amp;number=&amp;sourceID=12","")</f>
        <v/>
      </c>
      <c r="S159" s="4" t="str">
        <f>HYPERLINK("http://141.218.60.56/~jnz1568/getInfo.php?workbook=04_01.xlsx&amp;sheet=A0&amp;row=159&amp;col=19&amp;number=0.00021864&amp;sourceID=12","0.00021864")</f>
        <v>0.00021864</v>
      </c>
      <c r="T159" s="4" t="str">
        <f>HYPERLINK("http://141.218.60.56/~jnz1568/getInfo.php?workbook=04_01.xlsx&amp;sheet=A0&amp;row=159&amp;col=20&amp;number=&amp;sourceID=12","")</f>
        <v/>
      </c>
      <c r="U159" s="4" t="str">
        <f>HYPERLINK("http://141.218.60.56/~jnz1568/getInfo.php?workbook=04_01.xlsx&amp;sheet=A0&amp;row=159&amp;col=21&amp;number=&amp;sourceID=20","")</f>
        <v/>
      </c>
    </row>
    <row r="160" spans="1:21">
      <c r="A160" s="3">
        <v>4</v>
      </c>
      <c r="B160" s="3">
        <v>1</v>
      </c>
      <c r="C160" s="3">
        <v>19</v>
      </c>
      <c r="D160" s="3">
        <v>11</v>
      </c>
      <c r="E160" s="3">
        <f>((1/(INDEX(E0!J$4:J$28,C160,1)-INDEX(E0!J$4:J$28,D160,1))))*100000000</f>
        <v>0</v>
      </c>
      <c r="F160" s="4" t="str">
        <f>HYPERLINK("http://141.218.60.56/~jnz1568/getInfo.php?workbook=04_01.xlsx&amp;sheet=A0&amp;row=160&amp;col=6&amp;number=&amp;sourceID=18","")</f>
        <v/>
      </c>
      <c r="G160" s="4" t="str">
        <f>HYPERLINK("http://141.218.60.56/~jnz1568/getInfo.php?workbook=04_01.xlsx&amp;sheet=A0&amp;row=160&amp;col=7&amp;number==&amp;sourceID=11","=")</f>
        <v>=</v>
      </c>
      <c r="H160" s="4" t="str">
        <f>HYPERLINK("http://141.218.60.56/~jnz1568/getInfo.php?workbook=04_01.xlsx&amp;sheet=A0&amp;row=160&amp;col=8&amp;number=&amp;sourceID=11","")</f>
        <v/>
      </c>
      <c r="I160" s="4" t="str">
        <f>HYPERLINK("http://141.218.60.56/~jnz1568/getInfo.php?workbook=04_01.xlsx&amp;sheet=A0&amp;row=160&amp;col=9&amp;number=2211.1&amp;sourceID=11","2211.1")</f>
        <v>2211.1</v>
      </c>
      <c r="J160" s="4" t="str">
        <f>HYPERLINK("http://141.218.60.56/~jnz1568/getInfo.php?workbook=04_01.xlsx&amp;sheet=A0&amp;row=160&amp;col=10&amp;number=&amp;sourceID=11","")</f>
        <v/>
      </c>
      <c r="K160" s="4" t="str">
        <f>HYPERLINK("http://141.218.60.56/~jnz1568/getInfo.php?workbook=04_01.xlsx&amp;sheet=A0&amp;row=160&amp;col=11&amp;number=9.8642e-09&amp;sourceID=11","9.8642e-09")</f>
        <v>9.8642e-09</v>
      </c>
      <c r="L160" s="4" t="str">
        <f>HYPERLINK("http://141.218.60.56/~jnz1568/getInfo.php?workbook=04_01.xlsx&amp;sheet=A0&amp;row=160&amp;col=12&amp;number=&amp;sourceID=11","")</f>
        <v/>
      </c>
      <c r="M160" s="4" t="str">
        <f>HYPERLINK("http://141.218.60.56/~jnz1568/getInfo.php?workbook=04_01.xlsx&amp;sheet=A0&amp;row=160&amp;col=13&amp;number=&amp;sourceID=11","")</f>
        <v/>
      </c>
      <c r="N160" s="4" t="str">
        <f>HYPERLINK("http://141.218.60.56/~jnz1568/getInfo.php?workbook=04_01.xlsx&amp;sheet=A0&amp;row=160&amp;col=14&amp;number=2211.2&amp;sourceID=12","2211.2")</f>
        <v>2211.2</v>
      </c>
      <c r="O160" s="4" t="str">
        <f>HYPERLINK("http://141.218.60.56/~jnz1568/getInfo.php?workbook=04_01.xlsx&amp;sheet=A0&amp;row=160&amp;col=15&amp;number=&amp;sourceID=12","")</f>
        <v/>
      </c>
      <c r="P160" s="4" t="str">
        <f>HYPERLINK("http://141.218.60.56/~jnz1568/getInfo.php?workbook=04_01.xlsx&amp;sheet=A0&amp;row=160&amp;col=16&amp;number=2211.2&amp;sourceID=12","2211.2")</f>
        <v>2211.2</v>
      </c>
      <c r="Q160" s="4" t="str">
        <f>HYPERLINK("http://141.218.60.56/~jnz1568/getInfo.php?workbook=04_01.xlsx&amp;sheet=A0&amp;row=160&amp;col=17&amp;number=&amp;sourceID=12","")</f>
        <v/>
      </c>
      <c r="R160" s="4" t="str">
        <f>HYPERLINK("http://141.218.60.56/~jnz1568/getInfo.php?workbook=04_01.xlsx&amp;sheet=A0&amp;row=160&amp;col=18&amp;number=9.8648e-09&amp;sourceID=12","9.8648e-09")</f>
        <v>9.8648e-09</v>
      </c>
      <c r="S160" s="4" t="str">
        <f>HYPERLINK("http://141.218.60.56/~jnz1568/getInfo.php?workbook=04_01.xlsx&amp;sheet=A0&amp;row=160&amp;col=19&amp;number=&amp;sourceID=12","")</f>
        <v/>
      </c>
      <c r="T160" s="4" t="str">
        <f>HYPERLINK("http://141.218.60.56/~jnz1568/getInfo.php?workbook=04_01.xlsx&amp;sheet=A0&amp;row=160&amp;col=20&amp;number=&amp;sourceID=12","")</f>
        <v/>
      </c>
      <c r="U160" s="4" t="str">
        <f>HYPERLINK("http://141.218.60.56/~jnz1568/getInfo.php?workbook=04_01.xlsx&amp;sheet=A0&amp;row=160&amp;col=21&amp;number=&amp;sourceID=20","")</f>
        <v/>
      </c>
    </row>
    <row r="161" spans="1:21">
      <c r="A161" s="3">
        <v>4</v>
      </c>
      <c r="B161" s="3">
        <v>1</v>
      </c>
      <c r="C161" s="3">
        <v>19</v>
      </c>
      <c r="D161" s="3">
        <v>12</v>
      </c>
      <c r="E161" s="3">
        <f>((1/(INDEX(E0!J$4:J$28,C161,1)-INDEX(E0!J$4:J$28,D161,1))))*100000000</f>
        <v>0</v>
      </c>
      <c r="F161" s="4" t="str">
        <f>HYPERLINK("http://141.218.60.56/~jnz1568/getInfo.php?workbook=04_01.xlsx&amp;sheet=A0&amp;row=161&amp;col=6&amp;number=&amp;sourceID=18","")</f>
        <v/>
      </c>
      <c r="G161" s="4" t="str">
        <f>HYPERLINK("http://141.218.60.56/~jnz1568/getInfo.php?workbook=04_01.xlsx&amp;sheet=A0&amp;row=161&amp;col=7&amp;number==&amp;sourceID=11","=")</f>
        <v>=</v>
      </c>
      <c r="H161" s="4" t="str">
        <f>HYPERLINK("http://141.218.60.56/~jnz1568/getInfo.php?workbook=04_01.xlsx&amp;sheet=A0&amp;row=161&amp;col=8&amp;number=&amp;sourceID=11","")</f>
        <v/>
      </c>
      <c r="I161" s="4" t="str">
        <f>HYPERLINK("http://141.218.60.56/~jnz1568/getInfo.php?workbook=04_01.xlsx&amp;sheet=A0&amp;row=161&amp;col=9&amp;number=762.04&amp;sourceID=11","762.04")</f>
        <v>762.04</v>
      </c>
      <c r="J161" s="4" t="str">
        <f>HYPERLINK("http://141.218.60.56/~jnz1568/getInfo.php?workbook=04_01.xlsx&amp;sheet=A0&amp;row=161&amp;col=10&amp;number=&amp;sourceID=11","")</f>
        <v/>
      </c>
      <c r="K161" s="4" t="str">
        <f>HYPERLINK("http://141.218.60.56/~jnz1568/getInfo.php?workbook=04_01.xlsx&amp;sheet=A0&amp;row=161&amp;col=11&amp;number=9.1505e-07&amp;sourceID=11","9.1505e-07")</f>
        <v>9.1505e-07</v>
      </c>
      <c r="L161" s="4" t="str">
        <f>HYPERLINK("http://141.218.60.56/~jnz1568/getInfo.php?workbook=04_01.xlsx&amp;sheet=A0&amp;row=161&amp;col=12&amp;number=&amp;sourceID=11","")</f>
        <v/>
      </c>
      <c r="M161" s="4" t="str">
        <f>HYPERLINK("http://141.218.60.56/~jnz1568/getInfo.php?workbook=04_01.xlsx&amp;sheet=A0&amp;row=161&amp;col=13&amp;number=5.7162e-10&amp;sourceID=11","5.7162e-10")</f>
        <v>5.7162e-10</v>
      </c>
      <c r="N161" s="4" t="str">
        <f>HYPERLINK("http://141.218.60.56/~jnz1568/getInfo.php?workbook=04_01.xlsx&amp;sheet=A0&amp;row=161&amp;col=14&amp;number=762.09&amp;sourceID=12","762.09")</f>
        <v>762.09</v>
      </c>
      <c r="O161" s="4" t="str">
        <f>HYPERLINK("http://141.218.60.56/~jnz1568/getInfo.php?workbook=04_01.xlsx&amp;sheet=A0&amp;row=161&amp;col=15&amp;number=&amp;sourceID=12","")</f>
        <v/>
      </c>
      <c r="P161" s="4" t="str">
        <f>HYPERLINK("http://141.218.60.56/~jnz1568/getInfo.php?workbook=04_01.xlsx&amp;sheet=A0&amp;row=161&amp;col=16&amp;number=762.09&amp;sourceID=12","762.09")</f>
        <v>762.09</v>
      </c>
      <c r="Q161" s="4" t="str">
        <f>HYPERLINK("http://141.218.60.56/~jnz1568/getInfo.php?workbook=04_01.xlsx&amp;sheet=A0&amp;row=161&amp;col=17&amp;number=&amp;sourceID=12","")</f>
        <v/>
      </c>
      <c r="R161" s="4" t="str">
        <f>HYPERLINK("http://141.218.60.56/~jnz1568/getInfo.php?workbook=04_01.xlsx&amp;sheet=A0&amp;row=161&amp;col=18&amp;number=9.151e-07&amp;sourceID=12","9.151e-07")</f>
        <v>9.151e-07</v>
      </c>
      <c r="S161" s="4" t="str">
        <f>HYPERLINK("http://141.218.60.56/~jnz1568/getInfo.php?workbook=04_01.xlsx&amp;sheet=A0&amp;row=161&amp;col=19&amp;number=&amp;sourceID=12","")</f>
        <v/>
      </c>
      <c r="T161" s="4" t="str">
        <f>HYPERLINK("http://141.218.60.56/~jnz1568/getInfo.php?workbook=04_01.xlsx&amp;sheet=A0&amp;row=161&amp;col=20&amp;number=5.7166e-10&amp;sourceID=12","5.7166e-10")</f>
        <v>5.7166e-10</v>
      </c>
      <c r="U161" s="4" t="str">
        <f>HYPERLINK("http://141.218.60.56/~jnz1568/getInfo.php?workbook=04_01.xlsx&amp;sheet=A0&amp;row=161&amp;col=21&amp;number=&amp;sourceID=20","")</f>
        <v/>
      </c>
    </row>
    <row r="162" spans="1:21">
      <c r="A162" s="3">
        <v>4</v>
      </c>
      <c r="B162" s="3">
        <v>1</v>
      </c>
      <c r="C162" s="3">
        <v>19</v>
      </c>
      <c r="D162" s="3">
        <v>13</v>
      </c>
      <c r="E162" s="3">
        <f>((1/(INDEX(E0!J$4:J$28,C162,1)-INDEX(E0!J$4:J$28,D162,1))))*100000000</f>
        <v>0</v>
      </c>
      <c r="F162" s="4" t="str">
        <f>HYPERLINK("http://141.218.60.56/~jnz1568/getInfo.php?workbook=04_01.xlsx&amp;sheet=A0&amp;row=162&amp;col=6&amp;number=&amp;sourceID=18","")</f>
        <v/>
      </c>
      <c r="G162" s="4" t="str">
        <f>HYPERLINK("http://141.218.60.56/~jnz1568/getInfo.php?workbook=04_01.xlsx&amp;sheet=A0&amp;row=162&amp;col=7&amp;number==&amp;sourceID=11","=")</f>
        <v>=</v>
      </c>
      <c r="H162" s="4" t="str">
        <f>HYPERLINK("http://141.218.60.56/~jnz1568/getInfo.php?workbook=04_01.xlsx&amp;sheet=A0&amp;row=162&amp;col=8&amp;number=63433000&amp;sourceID=11","63433000")</f>
        <v>63433000</v>
      </c>
      <c r="I162" s="4" t="str">
        <f>HYPERLINK("http://141.218.60.56/~jnz1568/getInfo.php?workbook=04_01.xlsx&amp;sheet=A0&amp;row=162&amp;col=9&amp;number=&amp;sourceID=11","")</f>
        <v/>
      </c>
      <c r="J162" s="4" t="str">
        <f>HYPERLINK("http://141.218.60.56/~jnz1568/getInfo.php?workbook=04_01.xlsx&amp;sheet=A0&amp;row=162&amp;col=10&amp;number=0.0085765&amp;sourceID=11","0.0085765")</f>
        <v>0.0085765</v>
      </c>
      <c r="K162" s="4" t="str">
        <f>HYPERLINK("http://141.218.60.56/~jnz1568/getInfo.php?workbook=04_01.xlsx&amp;sheet=A0&amp;row=162&amp;col=11&amp;number=&amp;sourceID=11","")</f>
        <v/>
      </c>
      <c r="L162" s="4" t="str">
        <f>HYPERLINK("http://141.218.60.56/~jnz1568/getInfo.php?workbook=04_01.xlsx&amp;sheet=A0&amp;row=162&amp;col=12&amp;number=&amp;sourceID=11","")</f>
        <v/>
      </c>
      <c r="M162" s="4" t="str">
        <f>HYPERLINK("http://141.218.60.56/~jnz1568/getInfo.php?workbook=04_01.xlsx&amp;sheet=A0&amp;row=162&amp;col=13&amp;number=&amp;sourceID=11","")</f>
        <v/>
      </c>
      <c r="N162" s="4" t="str">
        <f>HYPERLINK("http://141.218.60.56/~jnz1568/getInfo.php?workbook=04_01.xlsx&amp;sheet=A0&amp;row=162&amp;col=14&amp;number=63437000&amp;sourceID=12","63437000")</f>
        <v>63437000</v>
      </c>
      <c r="O162" s="4" t="str">
        <f>HYPERLINK("http://141.218.60.56/~jnz1568/getInfo.php?workbook=04_01.xlsx&amp;sheet=A0&amp;row=162&amp;col=15&amp;number=63437000&amp;sourceID=12","63437000")</f>
        <v>63437000</v>
      </c>
      <c r="P162" s="4" t="str">
        <f>HYPERLINK("http://141.218.60.56/~jnz1568/getInfo.php?workbook=04_01.xlsx&amp;sheet=A0&amp;row=162&amp;col=16&amp;number=&amp;sourceID=12","")</f>
        <v/>
      </c>
      <c r="Q162" s="4" t="str">
        <f>HYPERLINK("http://141.218.60.56/~jnz1568/getInfo.php?workbook=04_01.xlsx&amp;sheet=A0&amp;row=162&amp;col=17&amp;number=0.0085771&amp;sourceID=12","0.0085771")</f>
        <v>0.0085771</v>
      </c>
      <c r="R162" s="4" t="str">
        <f>HYPERLINK("http://141.218.60.56/~jnz1568/getInfo.php?workbook=04_01.xlsx&amp;sheet=A0&amp;row=162&amp;col=18&amp;number=&amp;sourceID=12","")</f>
        <v/>
      </c>
      <c r="S162" s="4" t="str">
        <f>HYPERLINK("http://141.218.60.56/~jnz1568/getInfo.php?workbook=04_01.xlsx&amp;sheet=A0&amp;row=162&amp;col=19&amp;number=&amp;sourceID=12","")</f>
        <v/>
      </c>
      <c r="T162" s="4" t="str">
        <f>HYPERLINK("http://141.218.60.56/~jnz1568/getInfo.php?workbook=04_01.xlsx&amp;sheet=A0&amp;row=162&amp;col=20&amp;number=&amp;sourceID=12","")</f>
        <v/>
      </c>
      <c r="U162" s="4" t="str">
        <f>HYPERLINK("http://141.218.60.56/~jnz1568/getInfo.php?workbook=04_01.xlsx&amp;sheet=A0&amp;row=162&amp;col=21&amp;number=&amp;sourceID=20","")</f>
        <v/>
      </c>
    </row>
    <row r="163" spans="1:21">
      <c r="A163" s="3">
        <v>4</v>
      </c>
      <c r="B163" s="3">
        <v>1</v>
      </c>
      <c r="C163" s="3">
        <v>19</v>
      </c>
      <c r="D163" s="3">
        <v>14</v>
      </c>
      <c r="E163" s="3">
        <f>((1/(INDEX(E0!J$4:J$28,C163,1)-INDEX(E0!J$4:J$28,D163,1))))*100000000</f>
        <v>0</v>
      </c>
      <c r="F163" s="4" t="str">
        <f>HYPERLINK("http://141.218.60.56/~jnz1568/getInfo.php?workbook=04_01.xlsx&amp;sheet=A0&amp;row=163&amp;col=6&amp;number=&amp;sourceID=18","")</f>
        <v/>
      </c>
      <c r="G163" s="4" t="str">
        <f>HYPERLINK("http://141.218.60.56/~jnz1568/getInfo.php?workbook=04_01.xlsx&amp;sheet=A0&amp;row=163&amp;col=7&amp;number==&amp;sourceID=11","=")</f>
        <v>=</v>
      </c>
      <c r="H163" s="4" t="str">
        <f>HYPERLINK("http://141.218.60.56/~jnz1568/getInfo.php?workbook=04_01.xlsx&amp;sheet=A0&amp;row=163&amp;col=8&amp;number=12941000&amp;sourceID=11","12941000")</f>
        <v>12941000</v>
      </c>
      <c r="I163" s="4" t="str">
        <f>HYPERLINK("http://141.218.60.56/~jnz1568/getInfo.php?workbook=04_01.xlsx&amp;sheet=A0&amp;row=163&amp;col=9&amp;number=&amp;sourceID=11","")</f>
        <v/>
      </c>
      <c r="J163" s="4" t="str">
        <f>HYPERLINK("http://141.218.60.56/~jnz1568/getInfo.php?workbook=04_01.xlsx&amp;sheet=A0&amp;row=163&amp;col=10&amp;number=0.00077221&amp;sourceID=11","0.00077221")</f>
        <v>0.00077221</v>
      </c>
      <c r="K163" s="4" t="str">
        <f>HYPERLINK("http://141.218.60.56/~jnz1568/getInfo.php?workbook=04_01.xlsx&amp;sheet=A0&amp;row=163&amp;col=11&amp;number=&amp;sourceID=11","")</f>
        <v/>
      </c>
      <c r="L163" s="4" t="str">
        <f>HYPERLINK("http://141.218.60.56/~jnz1568/getInfo.php?workbook=04_01.xlsx&amp;sheet=A0&amp;row=163&amp;col=12&amp;number=5.3079e-05&amp;sourceID=11","5.3079e-05")</f>
        <v>5.3079e-05</v>
      </c>
      <c r="M163" s="4" t="str">
        <f>HYPERLINK("http://141.218.60.56/~jnz1568/getInfo.php?workbook=04_01.xlsx&amp;sheet=A0&amp;row=163&amp;col=13&amp;number=&amp;sourceID=11","")</f>
        <v/>
      </c>
      <c r="N163" s="4" t="str">
        <f>HYPERLINK("http://141.218.60.56/~jnz1568/getInfo.php?workbook=04_01.xlsx&amp;sheet=A0&amp;row=163&amp;col=14&amp;number=12941000&amp;sourceID=12","12941000")</f>
        <v>12941000</v>
      </c>
      <c r="O163" s="4" t="str">
        <f>HYPERLINK("http://141.218.60.56/~jnz1568/getInfo.php?workbook=04_01.xlsx&amp;sheet=A0&amp;row=163&amp;col=15&amp;number=12941000&amp;sourceID=12","12941000")</f>
        <v>12941000</v>
      </c>
      <c r="P163" s="4" t="str">
        <f>HYPERLINK("http://141.218.60.56/~jnz1568/getInfo.php?workbook=04_01.xlsx&amp;sheet=A0&amp;row=163&amp;col=16&amp;number=&amp;sourceID=12","")</f>
        <v/>
      </c>
      <c r="Q163" s="4" t="str">
        <f>HYPERLINK("http://141.218.60.56/~jnz1568/getInfo.php?workbook=04_01.xlsx&amp;sheet=A0&amp;row=163&amp;col=17&amp;number=0.00077225&amp;sourceID=12","0.00077225")</f>
        <v>0.00077225</v>
      </c>
      <c r="R163" s="4" t="str">
        <f>HYPERLINK("http://141.218.60.56/~jnz1568/getInfo.php?workbook=04_01.xlsx&amp;sheet=A0&amp;row=163&amp;col=18&amp;number=&amp;sourceID=12","")</f>
        <v/>
      </c>
      <c r="S163" s="4" t="str">
        <f>HYPERLINK("http://141.218.60.56/~jnz1568/getInfo.php?workbook=04_01.xlsx&amp;sheet=A0&amp;row=163&amp;col=19&amp;number=5.3082e-05&amp;sourceID=12","5.3082e-05")</f>
        <v>5.3082e-05</v>
      </c>
      <c r="T163" s="4" t="str">
        <f>HYPERLINK("http://141.218.60.56/~jnz1568/getInfo.php?workbook=04_01.xlsx&amp;sheet=A0&amp;row=163&amp;col=20&amp;number=&amp;sourceID=12","")</f>
        <v/>
      </c>
      <c r="U163" s="4" t="str">
        <f>HYPERLINK("http://141.218.60.56/~jnz1568/getInfo.php?workbook=04_01.xlsx&amp;sheet=A0&amp;row=163&amp;col=21&amp;number=&amp;sourceID=20","")</f>
        <v/>
      </c>
    </row>
    <row r="164" spans="1:21">
      <c r="A164" s="3">
        <v>4</v>
      </c>
      <c r="B164" s="3">
        <v>1</v>
      </c>
      <c r="C164" s="3">
        <v>19</v>
      </c>
      <c r="D164" s="3">
        <v>15</v>
      </c>
      <c r="E164" s="3">
        <f>((1/(INDEX(E0!J$4:J$28,C164,1)-INDEX(E0!J$4:J$28,D164,1))))*100000000</f>
        <v>0</v>
      </c>
      <c r="F164" s="4" t="str">
        <f>HYPERLINK("http://141.218.60.56/~jnz1568/getInfo.php?workbook=04_01.xlsx&amp;sheet=A0&amp;row=164&amp;col=6&amp;number=&amp;sourceID=18","")</f>
        <v/>
      </c>
      <c r="G164" s="4" t="str">
        <f>HYPERLINK("http://141.218.60.56/~jnz1568/getInfo.php?workbook=04_01.xlsx&amp;sheet=A0&amp;row=164&amp;col=7&amp;number==&amp;sourceID=11","=")</f>
        <v>=</v>
      </c>
      <c r="H164" s="4" t="str">
        <f>HYPERLINK("http://141.218.60.56/~jnz1568/getInfo.php?workbook=04_01.xlsx&amp;sheet=A0&amp;row=164&amp;col=8&amp;number=&amp;sourceID=11","")</f>
        <v/>
      </c>
      <c r="I164" s="4" t="str">
        <f>HYPERLINK("http://141.218.60.56/~jnz1568/getInfo.php?workbook=04_01.xlsx&amp;sheet=A0&amp;row=164&amp;col=9&amp;number=326.56&amp;sourceID=11","326.56")</f>
        <v>326.56</v>
      </c>
      <c r="J164" s="4" t="str">
        <f>HYPERLINK("http://141.218.60.56/~jnz1568/getInfo.php?workbook=04_01.xlsx&amp;sheet=A0&amp;row=164&amp;col=10&amp;number=&amp;sourceID=11","")</f>
        <v/>
      </c>
      <c r="K164" s="4" t="str">
        <f>HYPERLINK("http://141.218.60.56/~jnz1568/getInfo.php?workbook=04_01.xlsx&amp;sheet=A0&amp;row=164&amp;col=11&amp;number=5.9073e-06&amp;sourceID=11","5.9073e-06")</f>
        <v>5.9073e-06</v>
      </c>
      <c r="L164" s="4" t="str">
        <f>HYPERLINK("http://141.218.60.56/~jnz1568/getInfo.php?workbook=04_01.xlsx&amp;sheet=A0&amp;row=164&amp;col=12&amp;number=&amp;sourceID=11","")</f>
        <v/>
      </c>
      <c r="M164" s="4" t="str">
        <f>HYPERLINK("http://141.218.60.56/~jnz1568/getInfo.php?workbook=04_01.xlsx&amp;sheet=A0&amp;row=164&amp;col=13&amp;number=3.8099e-10&amp;sourceID=11","3.8099e-10")</f>
        <v>3.8099e-10</v>
      </c>
      <c r="N164" s="4" t="str">
        <f>HYPERLINK("http://141.218.60.56/~jnz1568/getInfo.php?workbook=04_01.xlsx&amp;sheet=A0&amp;row=164&amp;col=14&amp;number=326.58&amp;sourceID=12","326.58")</f>
        <v>326.58</v>
      </c>
      <c r="O164" s="4" t="str">
        <f>HYPERLINK("http://141.218.60.56/~jnz1568/getInfo.php?workbook=04_01.xlsx&amp;sheet=A0&amp;row=164&amp;col=15&amp;number=&amp;sourceID=12","")</f>
        <v/>
      </c>
      <c r="P164" s="4" t="str">
        <f>HYPERLINK("http://141.218.60.56/~jnz1568/getInfo.php?workbook=04_01.xlsx&amp;sheet=A0&amp;row=164&amp;col=16&amp;number=326.58&amp;sourceID=12","326.58")</f>
        <v>326.58</v>
      </c>
      <c r="Q164" s="4" t="str">
        <f>HYPERLINK("http://141.218.60.56/~jnz1568/getInfo.php?workbook=04_01.xlsx&amp;sheet=A0&amp;row=164&amp;col=17&amp;number=&amp;sourceID=12","")</f>
        <v/>
      </c>
      <c r="R164" s="4" t="str">
        <f>HYPERLINK("http://141.218.60.56/~jnz1568/getInfo.php?workbook=04_01.xlsx&amp;sheet=A0&amp;row=164&amp;col=18&amp;number=5.9087e-06&amp;sourceID=12","5.9087e-06")</f>
        <v>5.9087e-06</v>
      </c>
      <c r="S164" s="4" t="str">
        <f>HYPERLINK("http://141.218.60.56/~jnz1568/getInfo.php?workbook=04_01.xlsx&amp;sheet=A0&amp;row=164&amp;col=19&amp;number=&amp;sourceID=12","")</f>
        <v/>
      </c>
      <c r="T164" s="4" t="str">
        <f>HYPERLINK("http://141.218.60.56/~jnz1568/getInfo.php?workbook=04_01.xlsx&amp;sheet=A0&amp;row=164&amp;col=20&amp;number=3.8101e-10&amp;sourceID=12","3.8101e-10")</f>
        <v>3.8101e-10</v>
      </c>
      <c r="U164" s="4" t="str">
        <f>HYPERLINK("http://141.218.60.56/~jnz1568/getInfo.php?workbook=04_01.xlsx&amp;sheet=A0&amp;row=164&amp;col=21&amp;number=&amp;sourceID=20","")</f>
        <v/>
      </c>
    </row>
    <row r="165" spans="1:21">
      <c r="A165" s="3">
        <v>4</v>
      </c>
      <c r="B165" s="3">
        <v>1</v>
      </c>
      <c r="C165" s="3">
        <v>19</v>
      </c>
      <c r="D165" s="3">
        <v>16</v>
      </c>
      <c r="E165" s="3">
        <f>((1/(INDEX(E0!J$4:J$28,C165,1)-INDEX(E0!J$4:J$28,D165,1))))*100000000</f>
        <v>0</v>
      </c>
      <c r="F165" s="4" t="str">
        <f>HYPERLINK("http://141.218.60.56/~jnz1568/getInfo.php?workbook=04_01.xlsx&amp;sheet=A0&amp;row=165&amp;col=6&amp;number=&amp;sourceID=18","")</f>
        <v/>
      </c>
      <c r="G165" s="4" t="str">
        <f>HYPERLINK("http://141.218.60.56/~jnz1568/getInfo.php?workbook=04_01.xlsx&amp;sheet=A0&amp;row=165&amp;col=7&amp;number==&amp;sourceID=11","=")</f>
        <v>=</v>
      </c>
      <c r="H165" s="4" t="str">
        <f>HYPERLINK("http://141.218.60.56/~jnz1568/getInfo.php?workbook=04_01.xlsx&amp;sheet=A0&amp;row=165&amp;col=8&amp;number=&amp;sourceID=11","")</f>
        <v/>
      </c>
      <c r="I165" s="4" t="str">
        <f>HYPERLINK("http://141.218.60.56/~jnz1568/getInfo.php?workbook=04_01.xlsx&amp;sheet=A0&amp;row=165&amp;col=9&amp;number=&amp;sourceID=11","")</f>
        <v/>
      </c>
      <c r="J165" s="4" t="str">
        <f>HYPERLINK("http://141.218.60.56/~jnz1568/getInfo.php?workbook=04_01.xlsx&amp;sheet=A0&amp;row=165&amp;col=10&amp;number=0.00042895&amp;sourceID=11","0.00042895")</f>
        <v>0.00042895</v>
      </c>
      <c r="K165" s="4" t="str">
        <f>HYPERLINK("http://141.218.60.56/~jnz1568/getInfo.php?workbook=04_01.xlsx&amp;sheet=A0&amp;row=165&amp;col=11&amp;number=&amp;sourceID=11","")</f>
        <v/>
      </c>
      <c r="L165" s="4" t="str">
        <f>HYPERLINK("http://141.218.60.56/~jnz1568/getInfo.php?workbook=04_01.xlsx&amp;sheet=A0&amp;row=165&amp;col=12&amp;number=9.0616e-05&amp;sourceID=11","9.0616e-05")</f>
        <v>9.0616e-05</v>
      </c>
      <c r="M165" s="4" t="str">
        <f>HYPERLINK("http://141.218.60.56/~jnz1568/getInfo.php?workbook=04_01.xlsx&amp;sheet=A0&amp;row=165&amp;col=13&amp;number=&amp;sourceID=11","")</f>
        <v/>
      </c>
      <c r="N165" s="4" t="str">
        <f>HYPERLINK("http://141.218.60.56/~jnz1568/getInfo.php?workbook=04_01.xlsx&amp;sheet=A0&amp;row=165&amp;col=14&amp;number=0.00051959&amp;sourceID=12","0.00051959")</f>
        <v>0.00051959</v>
      </c>
      <c r="O165" s="4" t="str">
        <f>HYPERLINK("http://141.218.60.56/~jnz1568/getInfo.php?workbook=04_01.xlsx&amp;sheet=A0&amp;row=165&amp;col=15&amp;number=&amp;sourceID=12","")</f>
        <v/>
      </c>
      <c r="P165" s="4" t="str">
        <f>HYPERLINK("http://141.218.60.56/~jnz1568/getInfo.php?workbook=04_01.xlsx&amp;sheet=A0&amp;row=165&amp;col=16&amp;number=&amp;sourceID=12","")</f>
        <v/>
      </c>
      <c r="Q165" s="4" t="str">
        <f>HYPERLINK("http://141.218.60.56/~jnz1568/getInfo.php?workbook=04_01.xlsx&amp;sheet=A0&amp;row=165&amp;col=17&amp;number=0.00042897&amp;sourceID=12","0.00042897")</f>
        <v>0.00042897</v>
      </c>
      <c r="R165" s="4" t="str">
        <f>HYPERLINK("http://141.218.60.56/~jnz1568/getInfo.php?workbook=04_01.xlsx&amp;sheet=A0&amp;row=165&amp;col=18&amp;number=&amp;sourceID=12","")</f>
        <v/>
      </c>
      <c r="S165" s="4" t="str">
        <f>HYPERLINK("http://141.218.60.56/~jnz1568/getInfo.php?workbook=04_01.xlsx&amp;sheet=A0&amp;row=165&amp;col=19&amp;number=9.0621e-05&amp;sourceID=12","9.0621e-05")</f>
        <v>9.0621e-05</v>
      </c>
      <c r="T165" s="4" t="str">
        <f>HYPERLINK("http://141.218.60.56/~jnz1568/getInfo.php?workbook=04_01.xlsx&amp;sheet=A0&amp;row=165&amp;col=20&amp;number=&amp;sourceID=12","")</f>
        <v/>
      </c>
      <c r="U165" s="4" t="str">
        <f>HYPERLINK("http://141.218.60.56/~jnz1568/getInfo.php?workbook=04_01.xlsx&amp;sheet=A0&amp;row=165&amp;col=21&amp;number=&amp;sourceID=20","")</f>
        <v/>
      </c>
    </row>
    <row r="166" spans="1:21">
      <c r="A166" s="3">
        <v>4</v>
      </c>
      <c r="B166" s="3">
        <v>1</v>
      </c>
      <c r="C166" s="3">
        <v>19</v>
      </c>
      <c r="D166" s="3">
        <v>17</v>
      </c>
      <c r="E166" s="3">
        <f>((1/(INDEX(E0!J$4:J$28,C166,1)-INDEX(E0!J$4:J$28,D166,1))))*100000000</f>
        <v>0</v>
      </c>
      <c r="F166" s="4" t="str">
        <f>HYPERLINK("http://141.218.60.56/~jnz1568/getInfo.php?workbook=04_01.xlsx&amp;sheet=A0&amp;row=166&amp;col=6&amp;number=&amp;sourceID=18","")</f>
        <v/>
      </c>
      <c r="G166" s="4" t="str">
        <f>HYPERLINK("http://141.218.60.56/~jnz1568/getInfo.php?workbook=04_01.xlsx&amp;sheet=A0&amp;row=166&amp;col=7&amp;number==&amp;sourceID=11","=")</f>
        <v>=</v>
      </c>
      <c r="H166" s="4" t="str">
        <f>HYPERLINK("http://141.218.60.56/~jnz1568/getInfo.php?workbook=04_01.xlsx&amp;sheet=A0&amp;row=166&amp;col=8&amp;number=0.010699&amp;sourceID=11","0.010699")</f>
        <v>0.010699</v>
      </c>
      <c r="I166" s="4" t="str">
        <f>HYPERLINK("http://141.218.60.56/~jnz1568/getInfo.php?workbook=04_01.xlsx&amp;sheet=A0&amp;row=166&amp;col=9&amp;number=&amp;sourceID=11","")</f>
        <v/>
      </c>
      <c r="J166" s="4" t="str">
        <f>HYPERLINK("http://141.218.60.56/~jnz1568/getInfo.php?workbook=04_01.xlsx&amp;sheet=A0&amp;row=166&amp;col=10&amp;number=&amp;sourceID=11","")</f>
        <v/>
      </c>
      <c r="K166" s="4" t="str">
        <f>HYPERLINK("http://141.218.60.56/~jnz1568/getInfo.php?workbook=04_01.xlsx&amp;sheet=A0&amp;row=166&amp;col=11&amp;number=&amp;sourceID=11","")</f>
        <v/>
      </c>
      <c r="L166" s="4" t="str">
        <f>HYPERLINK("http://141.218.60.56/~jnz1568/getInfo.php?workbook=04_01.xlsx&amp;sheet=A0&amp;row=166&amp;col=12&amp;number=0&amp;sourceID=11","0")</f>
        <v>0</v>
      </c>
      <c r="M166" s="4" t="str">
        <f>HYPERLINK("http://141.218.60.56/~jnz1568/getInfo.php?workbook=04_01.xlsx&amp;sheet=A0&amp;row=166&amp;col=13&amp;number=&amp;sourceID=11","")</f>
        <v/>
      </c>
      <c r="N166" s="4" t="str">
        <f>HYPERLINK("http://141.218.60.56/~jnz1568/getInfo.php?workbook=04_01.xlsx&amp;sheet=A0&amp;row=166&amp;col=14&amp;number=0.010702&amp;sourceID=12","0.010702")</f>
        <v>0.010702</v>
      </c>
      <c r="O166" s="4" t="str">
        <f>HYPERLINK("http://141.218.60.56/~jnz1568/getInfo.php?workbook=04_01.xlsx&amp;sheet=A0&amp;row=166&amp;col=15&amp;number=0.010702&amp;sourceID=12","0.010702")</f>
        <v>0.010702</v>
      </c>
      <c r="P166" s="4" t="str">
        <f>HYPERLINK("http://141.218.60.56/~jnz1568/getInfo.php?workbook=04_01.xlsx&amp;sheet=A0&amp;row=166&amp;col=16&amp;number=&amp;sourceID=12","")</f>
        <v/>
      </c>
      <c r="Q166" s="4" t="str">
        <f>HYPERLINK("http://141.218.60.56/~jnz1568/getInfo.php?workbook=04_01.xlsx&amp;sheet=A0&amp;row=166&amp;col=17&amp;number=&amp;sourceID=12","")</f>
        <v/>
      </c>
      <c r="R166" s="4" t="str">
        <f>HYPERLINK("http://141.218.60.56/~jnz1568/getInfo.php?workbook=04_01.xlsx&amp;sheet=A0&amp;row=166&amp;col=18&amp;number=&amp;sourceID=12","")</f>
        <v/>
      </c>
      <c r="S166" s="4" t="str">
        <f>HYPERLINK("http://141.218.60.56/~jnz1568/getInfo.php?workbook=04_01.xlsx&amp;sheet=A0&amp;row=166&amp;col=19&amp;number=0&amp;sourceID=12","0")</f>
        <v>0</v>
      </c>
      <c r="T166" s="4" t="str">
        <f>HYPERLINK("http://141.218.60.56/~jnz1568/getInfo.php?workbook=04_01.xlsx&amp;sheet=A0&amp;row=166&amp;col=20&amp;number=&amp;sourceID=12","")</f>
        <v/>
      </c>
      <c r="U166" s="4" t="str">
        <f>HYPERLINK("http://141.218.60.56/~jnz1568/getInfo.php?workbook=04_01.xlsx&amp;sheet=A0&amp;row=166&amp;col=21&amp;number=&amp;sourceID=20","")</f>
        <v/>
      </c>
    </row>
    <row r="167" spans="1:21">
      <c r="A167" s="3">
        <v>4</v>
      </c>
      <c r="B167" s="3">
        <v>1</v>
      </c>
      <c r="C167" s="3">
        <v>19</v>
      </c>
      <c r="D167" s="3">
        <v>18</v>
      </c>
      <c r="E167" s="3">
        <f>((1/(INDEX(E0!J$4:J$28,C167,1)-INDEX(E0!J$4:J$28,D167,1))))*100000000</f>
        <v>0</v>
      </c>
      <c r="F167" s="4" t="str">
        <f>HYPERLINK("http://141.218.60.56/~jnz1568/getInfo.php?workbook=04_01.xlsx&amp;sheet=A0&amp;row=167&amp;col=6&amp;number=&amp;sourceID=18","")</f>
        <v/>
      </c>
      <c r="G167" s="4" t="str">
        <f>HYPERLINK("http://141.218.60.56/~jnz1568/getInfo.php?workbook=04_01.xlsx&amp;sheet=A0&amp;row=167&amp;col=7&amp;number==&amp;sourceID=11","=")</f>
        <v>=</v>
      </c>
      <c r="H167" s="4" t="str">
        <f>HYPERLINK("http://141.218.60.56/~jnz1568/getInfo.php?workbook=04_01.xlsx&amp;sheet=A0&amp;row=167&amp;col=8&amp;number=&amp;sourceID=11","")</f>
        <v/>
      </c>
      <c r="I167" s="4" t="str">
        <f>HYPERLINK("http://141.218.60.56/~jnz1568/getInfo.php?workbook=04_01.xlsx&amp;sheet=A0&amp;row=167&amp;col=9&amp;number=1e-15&amp;sourceID=11","1e-15")</f>
        <v>1e-15</v>
      </c>
      <c r="J167" s="4" t="str">
        <f>HYPERLINK("http://141.218.60.56/~jnz1568/getInfo.php?workbook=04_01.xlsx&amp;sheet=A0&amp;row=167&amp;col=10&amp;number=&amp;sourceID=11","")</f>
        <v/>
      </c>
      <c r="K167" s="4" t="str">
        <f>HYPERLINK("http://141.218.60.56/~jnz1568/getInfo.php?workbook=04_01.xlsx&amp;sheet=A0&amp;row=167&amp;col=11&amp;number=0&amp;sourceID=11","0")</f>
        <v>0</v>
      </c>
      <c r="L167" s="4" t="str">
        <f>HYPERLINK("http://141.218.60.56/~jnz1568/getInfo.php?workbook=04_01.xlsx&amp;sheet=A0&amp;row=167&amp;col=12&amp;number=&amp;sourceID=11","")</f>
        <v/>
      </c>
      <c r="M167" s="4" t="str">
        <f>HYPERLINK("http://141.218.60.56/~jnz1568/getInfo.php?workbook=04_01.xlsx&amp;sheet=A0&amp;row=167&amp;col=13&amp;number=&amp;sourceID=11","")</f>
        <v/>
      </c>
      <c r="N167" s="4" t="str">
        <f>HYPERLINK("http://141.218.60.56/~jnz1568/getInfo.php?workbook=04_01.xlsx&amp;sheet=A0&amp;row=167&amp;col=14&amp;number=1e-15&amp;sourceID=12","1e-15")</f>
        <v>1e-15</v>
      </c>
      <c r="O167" s="4" t="str">
        <f>HYPERLINK("http://141.218.60.56/~jnz1568/getInfo.php?workbook=04_01.xlsx&amp;sheet=A0&amp;row=167&amp;col=15&amp;number=&amp;sourceID=12","")</f>
        <v/>
      </c>
      <c r="P167" s="4" t="str">
        <f>HYPERLINK("http://141.218.60.56/~jnz1568/getInfo.php?workbook=04_01.xlsx&amp;sheet=A0&amp;row=167&amp;col=16&amp;number=1e-15&amp;sourceID=12","1e-15")</f>
        <v>1e-15</v>
      </c>
      <c r="Q167" s="4" t="str">
        <f>HYPERLINK("http://141.218.60.56/~jnz1568/getInfo.php?workbook=04_01.xlsx&amp;sheet=A0&amp;row=167&amp;col=17&amp;number=&amp;sourceID=12","")</f>
        <v/>
      </c>
      <c r="R167" s="4" t="str">
        <f>HYPERLINK("http://141.218.60.56/~jnz1568/getInfo.php?workbook=04_01.xlsx&amp;sheet=A0&amp;row=167&amp;col=18&amp;number=0&amp;sourceID=12","0")</f>
        <v>0</v>
      </c>
      <c r="S167" s="4" t="str">
        <f>HYPERLINK("http://141.218.60.56/~jnz1568/getInfo.php?workbook=04_01.xlsx&amp;sheet=A0&amp;row=167&amp;col=19&amp;number=&amp;sourceID=12","")</f>
        <v/>
      </c>
      <c r="T167" s="4" t="str">
        <f>HYPERLINK("http://141.218.60.56/~jnz1568/getInfo.php?workbook=04_01.xlsx&amp;sheet=A0&amp;row=167&amp;col=20&amp;number=&amp;sourceID=12","")</f>
        <v/>
      </c>
      <c r="U167" s="4" t="str">
        <f>HYPERLINK("http://141.218.60.56/~jnz1568/getInfo.php?workbook=04_01.xlsx&amp;sheet=A0&amp;row=167&amp;col=21&amp;number=&amp;sourceID=20","")</f>
        <v/>
      </c>
    </row>
    <row r="168" spans="1:21">
      <c r="A168" s="3">
        <v>4</v>
      </c>
      <c r="B168" s="3">
        <v>1</v>
      </c>
      <c r="C168" s="3">
        <v>20</v>
      </c>
      <c r="D168" s="3">
        <v>1</v>
      </c>
      <c r="E168" s="3">
        <f>((1/(INDEX(E0!J$4:J$28,C168,1)-INDEX(E0!J$4:J$28,D168,1))))*100000000</f>
        <v>0</v>
      </c>
      <c r="F168" s="4" t="str">
        <f>HYPERLINK("http://141.218.60.56/~jnz1568/getInfo.php?workbook=04_01.xlsx&amp;sheet=A0&amp;row=168&amp;col=6&amp;number=&amp;sourceID=18","")</f>
        <v/>
      </c>
      <c r="G168" s="4" t="str">
        <f>HYPERLINK("http://141.218.60.56/~jnz1568/getInfo.php?workbook=04_01.xlsx&amp;sheet=A0&amp;row=168&amp;col=7&amp;number==&amp;sourceID=11","=")</f>
        <v>=</v>
      </c>
      <c r="H168" s="4" t="str">
        <f>HYPERLINK("http://141.218.60.56/~jnz1568/getInfo.php?workbook=04_01.xlsx&amp;sheet=A0&amp;row=168&amp;col=8&amp;number=8803600000&amp;sourceID=11","8803600000")</f>
        <v>8803600000</v>
      </c>
      <c r="I168" s="4" t="str">
        <f>HYPERLINK("http://141.218.60.56/~jnz1568/getInfo.php?workbook=04_01.xlsx&amp;sheet=A0&amp;row=168&amp;col=9&amp;number=&amp;sourceID=11","")</f>
        <v/>
      </c>
      <c r="J168" s="4" t="str">
        <f>HYPERLINK("http://141.218.60.56/~jnz1568/getInfo.php?workbook=04_01.xlsx&amp;sheet=A0&amp;row=168&amp;col=10&amp;number=&amp;sourceID=11","")</f>
        <v/>
      </c>
      <c r="K168" s="4" t="str">
        <f>HYPERLINK("http://141.218.60.56/~jnz1568/getInfo.php?workbook=04_01.xlsx&amp;sheet=A0&amp;row=168&amp;col=11&amp;number=&amp;sourceID=11","")</f>
        <v/>
      </c>
      <c r="L168" s="4" t="str">
        <f>HYPERLINK("http://141.218.60.56/~jnz1568/getInfo.php?workbook=04_01.xlsx&amp;sheet=A0&amp;row=168&amp;col=12&amp;number=276.14&amp;sourceID=11","276.14")</f>
        <v>276.14</v>
      </c>
      <c r="M168" s="4" t="str">
        <f>HYPERLINK("http://141.218.60.56/~jnz1568/getInfo.php?workbook=04_01.xlsx&amp;sheet=A0&amp;row=168&amp;col=13&amp;number=&amp;sourceID=11","")</f>
        <v/>
      </c>
      <c r="N168" s="4" t="str">
        <f>HYPERLINK("http://141.218.60.56/~jnz1568/getInfo.php?workbook=04_01.xlsx&amp;sheet=A0&amp;row=168&amp;col=14&amp;number=8804200000&amp;sourceID=12","8804200000")</f>
        <v>8804200000</v>
      </c>
      <c r="O168" s="4" t="str">
        <f>HYPERLINK("http://141.218.60.56/~jnz1568/getInfo.php?workbook=04_01.xlsx&amp;sheet=A0&amp;row=168&amp;col=15&amp;number=8804200000&amp;sourceID=12","8804200000")</f>
        <v>8804200000</v>
      </c>
      <c r="P168" s="4" t="str">
        <f>HYPERLINK("http://141.218.60.56/~jnz1568/getInfo.php?workbook=04_01.xlsx&amp;sheet=A0&amp;row=168&amp;col=16&amp;number=&amp;sourceID=12","")</f>
        <v/>
      </c>
      <c r="Q168" s="4" t="str">
        <f>HYPERLINK("http://141.218.60.56/~jnz1568/getInfo.php?workbook=04_01.xlsx&amp;sheet=A0&amp;row=168&amp;col=17&amp;number=&amp;sourceID=12","")</f>
        <v/>
      </c>
      <c r="R168" s="4" t="str">
        <f>HYPERLINK("http://141.218.60.56/~jnz1568/getInfo.php?workbook=04_01.xlsx&amp;sheet=A0&amp;row=168&amp;col=18&amp;number=&amp;sourceID=12","")</f>
        <v/>
      </c>
      <c r="S168" s="4" t="str">
        <f>HYPERLINK("http://141.218.60.56/~jnz1568/getInfo.php?workbook=04_01.xlsx&amp;sheet=A0&amp;row=168&amp;col=19&amp;number=276.15&amp;sourceID=12","276.15")</f>
        <v>276.15</v>
      </c>
      <c r="T168" s="4" t="str">
        <f>HYPERLINK("http://141.218.60.56/~jnz1568/getInfo.php?workbook=04_01.xlsx&amp;sheet=A0&amp;row=168&amp;col=20&amp;number=&amp;sourceID=12","")</f>
        <v/>
      </c>
      <c r="U168" s="4" t="str">
        <f>HYPERLINK("http://141.218.60.56/~jnz1568/getInfo.php?workbook=04_01.xlsx&amp;sheet=A0&amp;row=168&amp;col=21&amp;number=&amp;sourceID=20","")</f>
        <v/>
      </c>
    </row>
    <row r="169" spans="1:21">
      <c r="A169" s="3">
        <v>4</v>
      </c>
      <c r="B169" s="3">
        <v>1</v>
      </c>
      <c r="C169" s="3">
        <v>20</v>
      </c>
      <c r="D169" s="3">
        <v>2</v>
      </c>
      <c r="E169" s="3">
        <f>((1/(INDEX(E0!J$4:J$28,C169,1)-INDEX(E0!J$4:J$28,D169,1))))*100000000</f>
        <v>0</v>
      </c>
      <c r="F169" s="4" t="str">
        <f>HYPERLINK("http://141.218.60.56/~jnz1568/getInfo.php?workbook=04_01.xlsx&amp;sheet=A0&amp;row=169&amp;col=6&amp;number=&amp;sourceID=18","")</f>
        <v/>
      </c>
      <c r="G169" s="4" t="str">
        <f>HYPERLINK("http://141.218.60.56/~jnz1568/getInfo.php?workbook=04_01.xlsx&amp;sheet=A0&amp;row=169&amp;col=7&amp;number==&amp;sourceID=11","=")</f>
        <v>=</v>
      </c>
      <c r="H169" s="4" t="str">
        <f>HYPERLINK("http://141.218.60.56/~jnz1568/getInfo.php?workbook=04_01.xlsx&amp;sheet=A0&amp;row=169&amp;col=8&amp;number=&amp;sourceID=11","")</f>
        <v/>
      </c>
      <c r="I169" s="4" t="str">
        <f>HYPERLINK("http://141.218.60.56/~jnz1568/getInfo.php?workbook=04_01.xlsx&amp;sheet=A0&amp;row=169&amp;col=9&amp;number=10805&amp;sourceID=11","10805")</f>
        <v>10805</v>
      </c>
      <c r="J169" s="4" t="str">
        <f>HYPERLINK("http://141.218.60.56/~jnz1568/getInfo.php?workbook=04_01.xlsx&amp;sheet=A0&amp;row=169&amp;col=10&amp;number=&amp;sourceID=11","")</f>
        <v/>
      </c>
      <c r="K169" s="4" t="str">
        <f>HYPERLINK("http://141.218.60.56/~jnz1568/getInfo.php?workbook=04_01.xlsx&amp;sheet=A0&amp;row=169&amp;col=11&amp;number=0.0010042&amp;sourceID=11","0.0010042")</f>
        <v>0.0010042</v>
      </c>
      <c r="L169" s="4" t="str">
        <f>HYPERLINK("http://141.218.60.56/~jnz1568/getInfo.php?workbook=04_01.xlsx&amp;sheet=A0&amp;row=169&amp;col=12&amp;number=&amp;sourceID=11","")</f>
        <v/>
      </c>
      <c r="M169" s="4" t="str">
        <f>HYPERLINK("http://141.218.60.56/~jnz1568/getInfo.php?workbook=04_01.xlsx&amp;sheet=A0&amp;row=169&amp;col=13&amp;number=&amp;sourceID=11","")</f>
        <v/>
      </c>
      <c r="N169" s="4" t="str">
        <f>HYPERLINK("http://141.218.60.56/~jnz1568/getInfo.php?workbook=04_01.xlsx&amp;sheet=A0&amp;row=169&amp;col=14&amp;number=10805&amp;sourceID=12","10805")</f>
        <v>10805</v>
      </c>
      <c r="O169" s="4" t="str">
        <f>HYPERLINK("http://141.218.60.56/~jnz1568/getInfo.php?workbook=04_01.xlsx&amp;sheet=A0&amp;row=169&amp;col=15&amp;number=&amp;sourceID=12","")</f>
        <v/>
      </c>
      <c r="P169" s="4" t="str">
        <f>HYPERLINK("http://141.218.60.56/~jnz1568/getInfo.php?workbook=04_01.xlsx&amp;sheet=A0&amp;row=169&amp;col=16&amp;number=10805&amp;sourceID=12","10805")</f>
        <v>10805</v>
      </c>
      <c r="Q169" s="4" t="str">
        <f>HYPERLINK("http://141.218.60.56/~jnz1568/getInfo.php?workbook=04_01.xlsx&amp;sheet=A0&amp;row=169&amp;col=17&amp;number=&amp;sourceID=12","")</f>
        <v/>
      </c>
      <c r="R169" s="4" t="str">
        <f>HYPERLINK("http://141.218.60.56/~jnz1568/getInfo.php?workbook=04_01.xlsx&amp;sheet=A0&amp;row=169&amp;col=18&amp;number=0.0010045&amp;sourceID=12","0.0010045")</f>
        <v>0.0010045</v>
      </c>
      <c r="S169" s="4" t="str">
        <f>HYPERLINK("http://141.218.60.56/~jnz1568/getInfo.php?workbook=04_01.xlsx&amp;sheet=A0&amp;row=169&amp;col=19&amp;number=&amp;sourceID=12","")</f>
        <v/>
      </c>
      <c r="T169" s="4" t="str">
        <f>HYPERLINK("http://141.218.60.56/~jnz1568/getInfo.php?workbook=04_01.xlsx&amp;sheet=A0&amp;row=169&amp;col=20&amp;number=&amp;sourceID=12","")</f>
        <v/>
      </c>
      <c r="U169" s="4" t="str">
        <f>HYPERLINK("http://141.218.60.56/~jnz1568/getInfo.php?workbook=04_01.xlsx&amp;sheet=A0&amp;row=169&amp;col=21&amp;number=&amp;sourceID=20","")</f>
        <v/>
      </c>
    </row>
    <row r="170" spans="1:21">
      <c r="A170" s="3">
        <v>4</v>
      </c>
      <c r="B170" s="3">
        <v>1</v>
      </c>
      <c r="C170" s="3">
        <v>20</v>
      </c>
      <c r="D170" s="3">
        <v>3</v>
      </c>
      <c r="E170" s="3">
        <f>((1/(INDEX(E0!J$4:J$28,C170,1)-INDEX(E0!J$4:J$28,D170,1))))*100000000</f>
        <v>0</v>
      </c>
      <c r="F170" s="4" t="str">
        <f>HYPERLINK("http://141.218.60.56/~jnz1568/getInfo.php?workbook=04_01.xlsx&amp;sheet=A0&amp;row=170&amp;col=6&amp;number=&amp;sourceID=18","")</f>
        <v/>
      </c>
      <c r="G170" s="4" t="str">
        <f>HYPERLINK("http://141.218.60.56/~jnz1568/getInfo.php?workbook=04_01.xlsx&amp;sheet=A0&amp;row=170&amp;col=7&amp;number==&amp;sourceID=11","=")</f>
        <v>=</v>
      </c>
      <c r="H170" s="4" t="str">
        <f>HYPERLINK("http://141.218.60.56/~jnz1568/getInfo.php?workbook=04_01.xlsx&amp;sheet=A0&amp;row=170&amp;col=8&amp;number=1267400000&amp;sourceID=11","1267400000")</f>
        <v>1267400000</v>
      </c>
      <c r="I170" s="4" t="str">
        <f>HYPERLINK("http://141.218.60.56/~jnz1568/getInfo.php?workbook=04_01.xlsx&amp;sheet=A0&amp;row=170&amp;col=9&amp;number=&amp;sourceID=11","")</f>
        <v/>
      </c>
      <c r="J170" s="4" t="str">
        <f>HYPERLINK("http://141.218.60.56/~jnz1568/getInfo.php?workbook=04_01.xlsx&amp;sheet=A0&amp;row=170&amp;col=10&amp;number=&amp;sourceID=11","")</f>
        <v/>
      </c>
      <c r="K170" s="4" t="str">
        <f>HYPERLINK("http://141.218.60.56/~jnz1568/getInfo.php?workbook=04_01.xlsx&amp;sheet=A0&amp;row=170&amp;col=11&amp;number=&amp;sourceID=11","")</f>
        <v/>
      </c>
      <c r="L170" s="4" t="str">
        <f>HYPERLINK("http://141.218.60.56/~jnz1568/getInfo.php?workbook=04_01.xlsx&amp;sheet=A0&amp;row=170&amp;col=12&amp;number=1.903&amp;sourceID=11","1.903")</f>
        <v>1.903</v>
      </c>
      <c r="M170" s="4" t="str">
        <f>HYPERLINK("http://141.218.60.56/~jnz1568/getInfo.php?workbook=04_01.xlsx&amp;sheet=A0&amp;row=170&amp;col=13&amp;number=&amp;sourceID=11","")</f>
        <v/>
      </c>
      <c r="N170" s="4" t="str">
        <f>HYPERLINK("http://141.218.60.56/~jnz1568/getInfo.php?workbook=04_01.xlsx&amp;sheet=A0&amp;row=170&amp;col=14&amp;number=1267500000&amp;sourceID=12","1267500000")</f>
        <v>1267500000</v>
      </c>
      <c r="O170" s="4" t="str">
        <f>HYPERLINK("http://141.218.60.56/~jnz1568/getInfo.php?workbook=04_01.xlsx&amp;sheet=A0&amp;row=170&amp;col=15&amp;number=1267500000&amp;sourceID=12","1267500000")</f>
        <v>1267500000</v>
      </c>
      <c r="P170" s="4" t="str">
        <f>HYPERLINK("http://141.218.60.56/~jnz1568/getInfo.php?workbook=04_01.xlsx&amp;sheet=A0&amp;row=170&amp;col=16&amp;number=&amp;sourceID=12","")</f>
        <v/>
      </c>
      <c r="Q170" s="4" t="str">
        <f>HYPERLINK("http://141.218.60.56/~jnz1568/getInfo.php?workbook=04_01.xlsx&amp;sheet=A0&amp;row=170&amp;col=17&amp;number=&amp;sourceID=12","")</f>
        <v/>
      </c>
      <c r="R170" s="4" t="str">
        <f>HYPERLINK("http://141.218.60.56/~jnz1568/getInfo.php?workbook=04_01.xlsx&amp;sheet=A0&amp;row=170&amp;col=18&amp;number=&amp;sourceID=12","")</f>
        <v/>
      </c>
      <c r="S170" s="4" t="str">
        <f>HYPERLINK("http://141.218.60.56/~jnz1568/getInfo.php?workbook=04_01.xlsx&amp;sheet=A0&amp;row=170&amp;col=19&amp;number=1.9032&amp;sourceID=12","1.9032")</f>
        <v>1.9032</v>
      </c>
      <c r="T170" s="4" t="str">
        <f>HYPERLINK("http://141.218.60.56/~jnz1568/getInfo.php?workbook=04_01.xlsx&amp;sheet=A0&amp;row=170&amp;col=20&amp;number=&amp;sourceID=12","")</f>
        <v/>
      </c>
      <c r="U170" s="4" t="str">
        <f>HYPERLINK("http://141.218.60.56/~jnz1568/getInfo.php?workbook=04_01.xlsx&amp;sheet=A0&amp;row=170&amp;col=21&amp;number=&amp;sourceID=20","")</f>
        <v/>
      </c>
    </row>
    <row r="171" spans="1:21">
      <c r="A171" s="3">
        <v>4</v>
      </c>
      <c r="B171" s="3">
        <v>1</v>
      </c>
      <c r="C171" s="3">
        <v>20</v>
      </c>
      <c r="D171" s="3">
        <v>4</v>
      </c>
      <c r="E171" s="3">
        <f>((1/(INDEX(E0!J$4:J$28,C171,1)-INDEX(E0!J$4:J$28,D171,1))))*100000000</f>
        <v>0</v>
      </c>
      <c r="F171" s="4" t="str">
        <f>HYPERLINK("http://141.218.60.56/~jnz1568/getInfo.php?workbook=04_01.xlsx&amp;sheet=A0&amp;row=171&amp;col=6&amp;number=&amp;sourceID=18","")</f>
        <v/>
      </c>
      <c r="G171" s="4" t="str">
        <f>HYPERLINK("http://141.218.60.56/~jnz1568/getInfo.php?workbook=04_01.xlsx&amp;sheet=A0&amp;row=171&amp;col=7&amp;number==&amp;sourceID=11","=")</f>
        <v>=</v>
      </c>
      <c r="H171" s="4" t="str">
        <f>HYPERLINK("http://141.218.60.56/~jnz1568/getInfo.php?workbook=04_01.xlsx&amp;sheet=A0&amp;row=171&amp;col=8&amp;number=&amp;sourceID=11","")</f>
        <v/>
      </c>
      <c r="I171" s="4" t="str">
        <f>HYPERLINK("http://141.218.60.56/~jnz1568/getInfo.php?workbook=04_01.xlsx&amp;sheet=A0&amp;row=171&amp;col=9&amp;number=10796&amp;sourceID=11","10796")</f>
        <v>10796</v>
      </c>
      <c r="J171" s="4" t="str">
        <f>HYPERLINK("http://141.218.60.56/~jnz1568/getInfo.php?workbook=04_01.xlsx&amp;sheet=A0&amp;row=171&amp;col=10&amp;number=&amp;sourceID=11","")</f>
        <v/>
      </c>
      <c r="K171" s="4" t="str">
        <f>HYPERLINK("http://141.218.60.56/~jnz1568/getInfo.php?workbook=04_01.xlsx&amp;sheet=A0&amp;row=171&amp;col=11&amp;number=0.001867&amp;sourceID=11","0.001867")</f>
        <v>0.001867</v>
      </c>
      <c r="L171" s="4" t="str">
        <f>HYPERLINK("http://141.218.60.56/~jnz1568/getInfo.php?workbook=04_01.xlsx&amp;sheet=A0&amp;row=171&amp;col=12&amp;number=&amp;sourceID=11","")</f>
        <v/>
      </c>
      <c r="M171" s="4" t="str">
        <f>HYPERLINK("http://141.218.60.56/~jnz1568/getInfo.php?workbook=04_01.xlsx&amp;sheet=A0&amp;row=171&amp;col=13&amp;number=3.4565e-05&amp;sourceID=11","3.4565e-05")</f>
        <v>3.4565e-05</v>
      </c>
      <c r="N171" s="4" t="str">
        <f>HYPERLINK("http://141.218.60.56/~jnz1568/getInfo.php?workbook=04_01.xlsx&amp;sheet=A0&amp;row=171&amp;col=14&amp;number=10797&amp;sourceID=12","10797")</f>
        <v>10797</v>
      </c>
      <c r="O171" s="4" t="str">
        <f>HYPERLINK("http://141.218.60.56/~jnz1568/getInfo.php?workbook=04_01.xlsx&amp;sheet=A0&amp;row=171&amp;col=15&amp;number=&amp;sourceID=12","")</f>
        <v/>
      </c>
      <c r="P171" s="4" t="str">
        <f>HYPERLINK("http://141.218.60.56/~jnz1568/getInfo.php?workbook=04_01.xlsx&amp;sheet=A0&amp;row=171&amp;col=16&amp;number=10797&amp;sourceID=12","10797")</f>
        <v>10797</v>
      </c>
      <c r="Q171" s="4" t="str">
        <f>HYPERLINK("http://141.218.60.56/~jnz1568/getInfo.php?workbook=04_01.xlsx&amp;sheet=A0&amp;row=171&amp;col=17&amp;number=&amp;sourceID=12","")</f>
        <v/>
      </c>
      <c r="R171" s="4" t="str">
        <f>HYPERLINK("http://141.218.60.56/~jnz1568/getInfo.php?workbook=04_01.xlsx&amp;sheet=A0&amp;row=171&amp;col=18&amp;number=0.0018663&amp;sourceID=12","0.0018663")</f>
        <v>0.0018663</v>
      </c>
      <c r="S171" s="4" t="str">
        <f>HYPERLINK("http://141.218.60.56/~jnz1568/getInfo.php?workbook=04_01.xlsx&amp;sheet=A0&amp;row=171&amp;col=19&amp;number=&amp;sourceID=12","")</f>
        <v/>
      </c>
      <c r="T171" s="4" t="str">
        <f>HYPERLINK("http://141.218.60.56/~jnz1568/getInfo.php?workbook=04_01.xlsx&amp;sheet=A0&amp;row=171&amp;col=20&amp;number=3.4567e-05&amp;sourceID=12","3.4567e-05")</f>
        <v>3.4567e-05</v>
      </c>
      <c r="U171" s="4" t="str">
        <f>HYPERLINK("http://141.218.60.56/~jnz1568/getInfo.php?workbook=04_01.xlsx&amp;sheet=A0&amp;row=171&amp;col=21&amp;number=&amp;sourceID=20","")</f>
        <v/>
      </c>
    </row>
    <row r="172" spans="1:21">
      <c r="A172" s="3">
        <v>4</v>
      </c>
      <c r="B172" s="3">
        <v>1</v>
      </c>
      <c r="C172" s="3">
        <v>20</v>
      </c>
      <c r="D172" s="3">
        <v>5</v>
      </c>
      <c r="E172" s="3">
        <f>((1/(INDEX(E0!J$4:J$28,C172,1)-INDEX(E0!J$4:J$28,D172,1))))*100000000</f>
        <v>0</v>
      </c>
      <c r="F172" s="4" t="str">
        <f>HYPERLINK("http://141.218.60.56/~jnz1568/getInfo.php?workbook=04_01.xlsx&amp;sheet=A0&amp;row=172&amp;col=6&amp;number=&amp;sourceID=18","")</f>
        <v/>
      </c>
      <c r="G172" s="4" t="str">
        <f>HYPERLINK("http://141.218.60.56/~jnz1568/getInfo.php?workbook=04_01.xlsx&amp;sheet=A0&amp;row=172&amp;col=7&amp;number==&amp;sourceID=11","=")</f>
        <v>=</v>
      </c>
      <c r="H172" s="4" t="str">
        <f>HYPERLINK("http://141.218.60.56/~jnz1568/getInfo.php?workbook=04_01.xlsx&amp;sheet=A0&amp;row=172&amp;col=8&amp;number=&amp;sourceID=11","")</f>
        <v/>
      </c>
      <c r="I172" s="4" t="str">
        <f>HYPERLINK("http://141.218.60.56/~jnz1568/getInfo.php?workbook=04_01.xlsx&amp;sheet=A0&amp;row=172&amp;col=9&amp;number=2927.4&amp;sourceID=11","2927.4")</f>
        <v>2927.4</v>
      </c>
      <c r="J172" s="4" t="str">
        <f>HYPERLINK("http://141.218.60.56/~jnz1568/getInfo.php?workbook=04_01.xlsx&amp;sheet=A0&amp;row=172&amp;col=10&amp;number=&amp;sourceID=11","")</f>
        <v/>
      </c>
      <c r="K172" s="4" t="str">
        <f>HYPERLINK("http://141.218.60.56/~jnz1568/getInfo.php?workbook=04_01.xlsx&amp;sheet=A0&amp;row=172&amp;col=11&amp;number=0.00014196&amp;sourceID=11","0.00014196")</f>
        <v>0.00014196</v>
      </c>
      <c r="L172" s="4" t="str">
        <f>HYPERLINK("http://141.218.60.56/~jnz1568/getInfo.php?workbook=04_01.xlsx&amp;sheet=A0&amp;row=172&amp;col=12&amp;number=&amp;sourceID=11","")</f>
        <v/>
      </c>
      <c r="M172" s="4" t="str">
        <f>HYPERLINK("http://141.218.60.56/~jnz1568/getInfo.php?workbook=04_01.xlsx&amp;sheet=A0&amp;row=172&amp;col=13&amp;number=&amp;sourceID=11","")</f>
        <v/>
      </c>
      <c r="N172" s="4" t="str">
        <f>HYPERLINK("http://141.218.60.56/~jnz1568/getInfo.php?workbook=04_01.xlsx&amp;sheet=A0&amp;row=172&amp;col=14&amp;number=2927.5&amp;sourceID=12","2927.5")</f>
        <v>2927.5</v>
      </c>
      <c r="O172" s="4" t="str">
        <f>HYPERLINK("http://141.218.60.56/~jnz1568/getInfo.php?workbook=04_01.xlsx&amp;sheet=A0&amp;row=172&amp;col=15&amp;number=&amp;sourceID=12","")</f>
        <v/>
      </c>
      <c r="P172" s="4" t="str">
        <f>HYPERLINK("http://141.218.60.56/~jnz1568/getInfo.php?workbook=04_01.xlsx&amp;sheet=A0&amp;row=172&amp;col=16&amp;number=2927.5&amp;sourceID=12","2927.5")</f>
        <v>2927.5</v>
      </c>
      <c r="Q172" s="4" t="str">
        <f>HYPERLINK("http://141.218.60.56/~jnz1568/getInfo.php?workbook=04_01.xlsx&amp;sheet=A0&amp;row=172&amp;col=17&amp;number=&amp;sourceID=12","")</f>
        <v/>
      </c>
      <c r="R172" s="4" t="str">
        <f>HYPERLINK("http://141.218.60.56/~jnz1568/getInfo.php?workbook=04_01.xlsx&amp;sheet=A0&amp;row=172&amp;col=18&amp;number=0.00014197&amp;sourceID=12","0.00014197")</f>
        <v>0.00014197</v>
      </c>
      <c r="S172" s="4" t="str">
        <f>HYPERLINK("http://141.218.60.56/~jnz1568/getInfo.php?workbook=04_01.xlsx&amp;sheet=A0&amp;row=172&amp;col=19&amp;number=&amp;sourceID=12","")</f>
        <v/>
      </c>
      <c r="T172" s="4" t="str">
        <f>HYPERLINK("http://141.218.60.56/~jnz1568/getInfo.php?workbook=04_01.xlsx&amp;sheet=A0&amp;row=172&amp;col=20&amp;number=&amp;sourceID=12","")</f>
        <v/>
      </c>
      <c r="U172" s="4" t="str">
        <f>HYPERLINK("http://141.218.60.56/~jnz1568/getInfo.php?workbook=04_01.xlsx&amp;sheet=A0&amp;row=172&amp;col=21&amp;number=&amp;sourceID=20","")</f>
        <v/>
      </c>
    </row>
    <row r="173" spans="1:21">
      <c r="A173" s="3">
        <v>4</v>
      </c>
      <c r="B173" s="3">
        <v>1</v>
      </c>
      <c r="C173" s="3">
        <v>20</v>
      </c>
      <c r="D173" s="3">
        <v>6</v>
      </c>
      <c r="E173" s="3">
        <f>((1/(INDEX(E0!J$4:J$28,C173,1)-INDEX(E0!J$4:J$28,D173,1))))*100000000</f>
        <v>0</v>
      </c>
      <c r="F173" s="4" t="str">
        <f>HYPERLINK("http://141.218.60.56/~jnz1568/getInfo.php?workbook=04_01.xlsx&amp;sheet=A0&amp;row=173&amp;col=6&amp;number=&amp;sourceID=18","")</f>
        <v/>
      </c>
      <c r="G173" s="4" t="str">
        <f>HYPERLINK("http://141.218.60.56/~jnz1568/getInfo.php?workbook=04_01.xlsx&amp;sheet=A0&amp;row=173&amp;col=7&amp;number==&amp;sourceID=11","=")</f>
        <v>=</v>
      </c>
      <c r="H173" s="4" t="str">
        <f>HYPERLINK("http://141.218.60.56/~jnz1568/getInfo.php?workbook=04_01.xlsx&amp;sheet=A0&amp;row=173&amp;col=8&amp;number=419370000&amp;sourceID=11","419370000")</f>
        <v>419370000</v>
      </c>
      <c r="I173" s="4" t="str">
        <f>HYPERLINK("http://141.218.60.56/~jnz1568/getInfo.php?workbook=04_01.xlsx&amp;sheet=A0&amp;row=173&amp;col=9&amp;number=&amp;sourceID=11","")</f>
        <v/>
      </c>
      <c r="J173" s="4" t="str">
        <f>HYPERLINK("http://141.218.60.56/~jnz1568/getInfo.php?workbook=04_01.xlsx&amp;sheet=A0&amp;row=173&amp;col=10&amp;number=&amp;sourceID=11","")</f>
        <v/>
      </c>
      <c r="K173" s="4" t="str">
        <f>HYPERLINK("http://141.218.60.56/~jnz1568/getInfo.php?workbook=04_01.xlsx&amp;sheet=A0&amp;row=173&amp;col=11&amp;number=&amp;sourceID=11","")</f>
        <v/>
      </c>
      <c r="L173" s="4" t="str">
        <f>HYPERLINK("http://141.218.60.56/~jnz1568/getInfo.php?workbook=04_01.xlsx&amp;sheet=A0&amp;row=173&amp;col=12&amp;number=0.072205&amp;sourceID=11","0.072205")</f>
        <v>0.072205</v>
      </c>
      <c r="M173" s="4" t="str">
        <f>HYPERLINK("http://141.218.60.56/~jnz1568/getInfo.php?workbook=04_01.xlsx&amp;sheet=A0&amp;row=173&amp;col=13&amp;number=&amp;sourceID=11","")</f>
        <v/>
      </c>
      <c r="N173" s="4" t="str">
        <f>HYPERLINK("http://141.218.60.56/~jnz1568/getInfo.php?workbook=04_01.xlsx&amp;sheet=A0&amp;row=173&amp;col=14&amp;number=419390000&amp;sourceID=12","419390000")</f>
        <v>419390000</v>
      </c>
      <c r="O173" s="4" t="str">
        <f>HYPERLINK("http://141.218.60.56/~jnz1568/getInfo.php?workbook=04_01.xlsx&amp;sheet=A0&amp;row=173&amp;col=15&amp;number=419390000&amp;sourceID=12","419390000")</f>
        <v>419390000</v>
      </c>
      <c r="P173" s="4" t="str">
        <f>HYPERLINK("http://141.218.60.56/~jnz1568/getInfo.php?workbook=04_01.xlsx&amp;sheet=A0&amp;row=173&amp;col=16&amp;number=&amp;sourceID=12","")</f>
        <v/>
      </c>
      <c r="Q173" s="4" t="str">
        <f>HYPERLINK("http://141.218.60.56/~jnz1568/getInfo.php?workbook=04_01.xlsx&amp;sheet=A0&amp;row=173&amp;col=17&amp;number=&amp;sourceID=12","")</f>
        <v/>
      </c>
      <c r="R173" s="4" t="str">
        <f>HYPERLINK("http://141.218.60.56/~jnz1568/getInfo.php?workbook=04_01.xlsx&amp;sheet=A0&amp;row=173&amp;col=18&amp;number=&amp;sourceID=12","")</f>
        <v/>
      </c>
      <c r="S173" s="4" t="str">
        <f>HYPERLINK("http://141.218.60.56/~jnz1568/getInfo.php?workbook=04_01.xlsx&amp;sheet=A0&amp;row=173&amp;col=19&amp;number=0.07221&amp;sourceID=12","0.07221")</f>
        <v>0.07221</v>
      </c>
      <c r="T173" s="4" t="str">
        <f>HYPERLINK("http://141.218.60.56/~jnz1568/getInfo.php?workbook=04_01.xlsx&amp;sheet=A0&amp;row=173&amp;col=20&amp;number=&amp;sourceID=12","")</f>
        <v/>
      </c>
      <c r="U173" s="4" t="str">
        <f>HYPERLINK("http://141.218.60.56/~jnz1568/getInfo.php?workbook=04_01.xlsx&amp;sheet=A0&amp;row=173&amp;col=21&amp;number=&amp;sourceID=20","")</f>
        <v/>
      </c>
    </row>
    <row r="174" spans="1:21">
      <c r="A174" s="3">
        <v>4</v>
      </c>
      <c r="B174" s="3">
        <v>1</v>
      </c>
      <c r="C174" s="3">
        <v>20</v>
      </c>
      <c r="D174" s="3">
        <v>7</v>
      </c>
      <c r="E174" s="3">
        <f>((1/(INDEX(E0!J$4:J$28,C174,1)-INDEX(E0!J$4:J$28,D174,1))))*100000000</f>
        <v>0</v>
      </c>
      <c r="F174" s="4" t="str">
        <f>HYPERLINK("http://141.218.60.56/~jnz1568/getInfo.php?workbook=04_01.xlsx&amp;sheet=A0&amp;row=174&amp;col=6&amp;number=&amp;sourceID=18","")</f>
        <v/>
      </c>
      <c r="G174" s="4" t="str">
        <f>HYPERLINK("http://141.218.60.56/~jnz1568/getInfo.php?workbook=04_01.xlsx&amp;sheet=A0&amp;row=174&amp;col=7&amp;number==&amp;sourceID=11","=")</f>
        <v>=</v>
      </c>
      <c r="H174" s="4" t="str">
        <f>HYPERLINK("http://141.218.60.56/~jnz1568/getInfo.php?workbook=04_01.xlsx&amp;sheet=A0&amp;row=174&amp;col=8&amp;number=3830700&amp;sourceID=11","3830700")</f>
        <v>3830700</v>
      </c>
      <c r="I174" s="4" t="str">
        <f>HYPERLINK("http://141.218.60.56/~jnz1568/getInfo.php?workbook=04_01.xlsx&amp;sheet=A0&amp;row=174&amp;col=9&amp;number=&amp;sourceID=11","")</f>
        <v/>
      </c>
      <c r="J174" s="4" t="str">
        <f>HYPERLINK("http://141.218.60.56/~jnz1568/getInfo.php?workbook=04_01.xlsx&amp;sheet=A0&amp;row=174&amp;col=10&amp;number=0.0089096&amp;sourceID=11","0.0089096")</f>
        <v>0.0089096</v>
      </c>
      <c r="K174" s="4" t="str">
        <f>HYPERLINK("http://141.218.60.56/~jnz1568/getInfo.php?workbook=04_01.xlsx&amp;sheet=A0&amp;row=174&amp;col=11&amp;number=&amp;sourceID=11","")</f>
        <v/>
      </c>
      <c r="L174" s="4" t="str">
        <f>HYPERLINK("http://141.218.60.56/~jnz1568/getInfo.php?workbook=04_01.xlsx&amp;sheet=A0&amp;row=174&amp;col=12&amp;number=&amp;sourceID=11","")</f>
        <v/>
      </c>
      <c r="M174" s="4" t="str">
        <f>HYPERLINK("http://141.218.60.56/~jnz1568/getInfo.php?workbook=04_01.xlsx&amp;sheet=A0&amp;row=174&amp;col=13&amp;number=&amp;sourceID=11","")</f>
        <v/>
      </c>
      <c r="N174" s="4" t="str">
        <f>HYPERLINK("http://141.218.60.56/~jnz1568/getInfo.php?workbook=04_01.xlsx&amp;sheet=A0&amp;row=174&amp;col=14&amp;number=3830900&amp;sourceID=12","3830900")</f>
        <v>3830900</v>
      </c>
      <c r="O174" s="4" t="str">
        <f>HYPERLINK("http://141.218.60.56/~jnz1568/getInfo.php?workbook=04_01.xlsx&amp;sheet=A0&amp;row=174&amp;col=15&amp;number=3830900&amp;sourceID=12","3830900")</f>
        <v>3830900</v>
      </c>
      <c r="P174" s="4" t="str">
        <f>HYPERLINK("http://141.218.60.56/~jnz1568/getInfo.php?workbook=04_01.xlsx&amp;sheet=A0&amp;row=174&amp;col=16&amp;number=&amp;sourceID=12","")</f>
        <v/>
      </c>
      <c r="Q174" s="4" t="str">
        <f>HYPERLINK("http://141.218.60.56/~jnz1568/getInfo.php?workbook=04_01.xlsx&amp;sheet=A0&amp;row=174&amp;col=17&amp;number=0.0089102&amp;sourceID=12","0.0089102")</f>
        <v>0.0089102</v>
      </c>
      <c r="R174" s="4" t="str">
        <f>HYPERLINK("http://141.218.60.56/~jnz1568/getInfo.php?workbook=04_01.xlsx&amp;sheet=A0&amp;row=174&amp;col=18&amp;number=&amp;sourceID=12","")</f>
        <v/>
      </c>
      <c r="S174" s="4" t="str">
        <f>HYPERLINK("http://141.218.60.56/~jnz1568/getInfo.php?workbook=04_01.xlsx&amp;sheet=A0&amp;row=174&amp;col=19&amp;number=&amp;sourceID=12","")</f>
        <v/>
      </c>
      <c r="T174" s="4" t="str">
        <f>HYPERLINK("http://141.218.60.56/~jnz1568/getInfo.php?workbook=04_01.xlsx&amp;sheet=A0&amp;row=174&amp;col=20&amp;number=&amp;sourceID=12","")</f>
        <v/>
      </c>
      <c r="U174" s="4" t="str">
        <f>HYPERLINK("http://141.218.60.56/~jnz1568/getInfo.php?workbook=04_01.xlsx&amp;sheet=A0&amp;row=174&amp;col=21&amp;number=&amp;sourceID=20","")</f>
        <v/>
      </c>
    </row>
    <row r="175" spans="1:21">
      <c r="A175" s="3">
        <v>4</v>
      </c>
      <c r="B175" s="3">
        <v>1</v>
      </c>
      <c r="C175" s="3">
        <v>20</v>
      </c>
      <c r="D175" s="3">
        <v>8</v>
      </c>
      <c r="E175" s="3">
        <f>((1/(INDEX(E0!J$4:J$28,C175,1)-INDEX(E0!J$4:J$28,D175,1))))*100000000</f>
        <v>0</v>
      </c>
      <c r="F175" s="4" t="str">
        <f>HYPERLINK("http://141.218.60.56/~jnz1568/getInfo.php?workbook=04_01.xlsx&amp;sheet=A0&amp;row=175&amp;col=6&amp;number=&amp;sourceID=18","")</f>
        <v/>
      </c>
      <c r="G175" s="4" t="str">
        <f>HYPERLINK("http://141.218.60.56/~jnz1568/getInfo.php?workbook=04_01.xlsx&amp;sheet=A0&amp;row=175&amp;col=7&amp;number==&amp;sourceID=11","=")</f>
        <v>=</v>
      </c>
      <c r="H175" s="4" t="str">
        <f>HYPERLINK("http://141.218.60.56/~jnz1568/getInfo.php?workbook=04_01.xlsx&amp;sheet=A0&amp;row=175&amp;col=8&amp;number=&amp;sourceID=11","")</f>
        <v/>
      </c>
      <c r="I175" s="4" t="str">
        <f>HYPERLINK("http://141.218.60.56/~jnz1568/getInfo.php?workbook=04_01.xlsx&amp;sheet=A0&amp;row=175&amp;col=9&amp;number=2925.7&amp;sourceID=11","2925.7")</f>
        <v>2925.7</v>
      </c>
      <c r="J175" s="4" t="str">
        <f>HYPERLINK("http://141.218.60.56/~jnz1568/getInfo.php?workbook=04_01.xlsx&amp;sheet=A0&amp;row=175&amp;col=10&amp;number=&amp;sourceID=11","")</f>
        <v/>
      </c>
      <c r="K175" s="4" t="str">
        <f>HYPERLINK("http://141.218.60.56/~jnz1568/getInfo.php?workbook=04_01.xlsx&amp;sheet=A0&amp;row=175&amp;col=11&amp;number=5.8012e-05&amp;sourceID=11","5.8012e-05")</f>
        <v>5.8012e-05</v>
      </c>
      <c r="L175" s="4" t="str">
        <f>HYPERLINK("http://141.218.60.56/~jnz1568/getInfo.php?workbook=04_01.xlsx&amp;sheet=A0&amp;row=175&amp;col=12&amp;number=&amp;sourceID=11","")</f>
        <v/>
      </c>
      <c r="M175" s="4" t="str">
        <f>HYPERLINK("http://141.218.60.56/~jnz1568/getInfo.php?workbook=04_01.xlsx&amp;sheet=A0&amp;row=175&amp;col=13&amp;number=1.0742e-06&amp;sourceID=11","1.0742e-06")</f>
        <v>1.0742e-06</v>
      </c>
      <c r="N175" s="4" t="str">
        <f>HYPERLINK("http://141.218.60.56/~jnz1568/getInfo.php?workbook=04_01.xlsx&amp;sheet=A0&amp;row=175&amp;col=14&amp;number=2925.9&amp;sourceID=12","2925.9")</f>
        <v>2925.9</v>
      </c>
      <c r="O175" s="4" t="str">
        <f>HYPERLINK("http://141.218.60.56/~jnz1568/getInfo.php?workbook=04_01.xlsx&amp;sheet=A0&amp;row=175&amp;col=15&amp;number=&amp;sourceID=12","")</f>
        <v/>
      </c>
      <c r="P175" s="4" t="str">
        <f>HYPERLINK("http://141.218.60.56/~jnz1568/getInfo.php?workbook=04_01.xlsx&amp;sheet=A0&amp;row=175&amp;col=16&amp;number=2925.9&amp;sourceID=12","2925.9")</f>
        <v>2925.9</v>
      </c>
      <c r="Q175" s="4" t="str">
        <f>HYPERLINK("http://141.218.60.56/~jnz1568/getInfo.php?workbook=04_01.xlsx&amp;sheet=A0&amp;row=175&amp;col=17&amp;number=&amp;sourceID=12","")</f>
        <v/>
      </c>
      <c r="R175" s="4" t="str">
        <f>HYPERLINK("http://141.218.60.56/~jnz1568/getInfo.php?workbook=04_01.xlsx&amp;sheet=A0&amp;row=175&amp;col=18&amp;number=5.8017e-05&amp;sourceID=12","5.8017e-05")</f>
        <v>5.8017e-05</v>
      </c>
      <c r="S175" s="4" t="str">
        <f>HYPERLINK("http://141.218.60.56/~jnz1568/getInfo.php?workbook=04_01.xlsx&amp;sheet=A0&amp;row=175&amp;col=19&amp;number=&amp;sourceID=12","")</f>
        <v/>
      </c>
      <c r="T175" s="4" t="str">
        <f>HYPERLINK("http://141.218.60.56/~jnz1568/getInfo.php?workbook=04_01.xlsx&amp;sheet=A0&amp;row=175&amp;col=20&amp;number=1.0742e-06&amp;sourceID=12","1.0742e-06")</f>
        <v>1.0742e-06</v>
      </c>
      <c r="U175" s="4" t="str">
        <f>HYPERLINK("http://141.218.60.56/~jnz1568/getInfo.php?workbook=04_01.xlsx&amp;sheet=A0&amp;row=175&amp;col=21&amp;number=&amp;sourceID=20","")</f>
        <v/>
      </c>
    </row>
    <row r="176" spans="1:21">
      <c r="A176" s="3">
        <v>4</v>
      </c>
      <c r="B176" s="3">
        <v>1</v>
      </c>
      <c r="C176" s="3">
        <v>20</v>
      </c>
      <c r="D176" s="3">
        <v>9</v>
      </c>
      <c r="E176" s="3">
        <f>((1/(INDEX(E0!J$4:J$28,C176,1)-INDEX(E0!J$4:J$28,D176,1))))*100000000</f>
        <v>0</v>
      </c>
      <c r="F176" s="4" t="str">
        <f>HYPERLINK("http://141.218.60.56/~jnz1568/getInfo.php?workbook=04_01.xlsx&amp;sheet=A0&amp;row=176&amp;col=6&amp;number=&amp;sourceID=18","")</f>
        <v/>
      </c>
      <c r="G176" s="4" t="str">
        <f>HYPERLINK("http://141.218.60.56/~jnz1568/getInfo.php?workbook=04_01.xlsx&amp;sheet=A0&amp;row=176&amp;col=7&amp;number==&amp;sourceID=11","=")</f>
        <v>=</v>
      </c>
      <c r="H176" s="4" t="str">
        <f>HYPERLINK("http://141.218.60.56/~jnz1568/getInfo.php?workbook=04_01.xlsx&amp;sheet=A0&amp;row=176&amp;col=8&amp;number=34501000&amp;sourceID=11","34501000")</f>
        <v>34501000</v>
      </c>
      <c r="I176" s="4" t="str">
        <f>HYPERLINK("http://141.218.60.56/~jnz1568/getInfo.php?workbook=04_01.xlsx&amp;sheet=A0&amp;row=176&amp;col=9&amp;number=&amp;sourceID=11","")</f>
        <v/>
      </c>
      <c r="J176" s="4" t="str">
        <f>HYPERLINK("http://141.218.60.56/~jnz1568/getInfo.php?workbook=04_01.xlsx&amp;sheet=A0&amp;row=176&amp;col=10&amp;number=0.0059369&amp;sourceID=11","0.0059369")</f>
        <v>0.0059369</v>
      </c>
      <c r="K176" s="4" t="str">
        <f>HYPERLINK("http://141.218.60.56/~jnz1568/getInfo.php?workbook=04_01.xlsx&amp;sheet=A0&amp;row=176&amp;col=11&amp;number=&amp;sourceID=11","")</f>
        <v/>
      </c>
      <c r="L176" s="4" t="str">
        <f>HYPERLINK("http://141.218.60.56/~jnz1568/getInfo.php?workbook=04_01.xlsx&amp;sheet=A0&amp;row=176&amp;col=12&amp;number=0.0076966&amp;sourceID=11","0.0076966")</f>
        <v>0.0076966</v>
      </c>
      <c r="M176" s="4" t="str">
        <f>HYPERLINK("http://141.218.60.56/~jnz1568/getInfo.php?workbook=04_01.xlsx&amp;sheet=A0&amp;row=176&amp;col=13&amp;number=&amp;sourceID=11","")</f>
        <v/>
      </c>
      <c r="N176" s="4" t="str">
        <f>HYPERLINK("http://141.218.60.56/~jnz1568/getInfo.php?workbook=04_01.xlsx&amp;sheet=A0&amp;row=176&amp;col=14&amp;number=34503000&amp;sourceID=12","34503000")</f>
        <v>34503000</v>
      </c>
      <c r="O176" s="4" t="str">
        <f>HYPERLINK("http://141.218.60.56/~jnz1568/getInfo.php?workbook=04_01.xlsx&amp;sheet=A0&amp;row=176&amp;col=15&amp;number=34503000&amp;sourceID=12","34503000")</f>
        <v>34503000</v>
      </c>
      <c r="P176" s="4" t="str">
        <f>HYPERLINK("http://141.218.60.56/~jnz1568/getInfo.php?workbook=04_01.xlsx&amp;sheet=A0&amp;row=176&amp;col=16&amp;number=&amp;sourceID=12","")</f>
        <v/>
      </c>
      <c r="Q176" s="4" t="str">
        <f>HYPERLINK("http://141.218.60.56/~jnz1568/getInfo.php?workbook=04_01.xlsx&amp;sheet=A0&amp;row=176&amp;col=17&amp;number=0.0059372&amp;sourceID=12","0.0059372")</f>
        <v>0.0059372</v>
      </c>
      <c r="R176" s="4" t="str">
        <f>HYPERLINK("http://141.218.60.56/~jnz1568/getInfo.php?workbook=04_01.xlsx&amp;sheet=A0&amp;row=176&amp;col=18&amp;number=&amp;sourceID=12","")</f>
        <v/>
      </c>
      <c r="S176" s="4" t="str">
        <f>HYPERLINK("http://141.218.60.56/~jnz1568/getInfo.php?workbook=04_01.xlsx&amp;sheet=A0&amp;row=176&amp;col=19&amp;number=0.0076971&amp;sourceID=12","0.0076971")</f>
        <v>0.0076971</v>
      </c>
      <c r="T176" s="4" t="str">
        <f>HYPERLINK("http://141.218.60.56/~jnz1568/getInfo.php?workbook=04_01.xlsx&amp;sheet=A0&amp;row=176&amp;col=20&amp;number=&amp;sourceID=12","")</f>
        <v/>
      </c>
      <c r="U176" s="4" t="str">
        <f>HYPERLINK("http://141.218.60.56/~jnz1568/getInfo.php?workbook=04_01.xlsx&amp;sheet=A0&amp;row=176&amp;col=21&amp;number=&amp;sourceID=20","")</f>
        <v/>
      </c>
    </row>
    <row r="177" spans="1:21">
      <c r="A177" s="3">
        <v>4</v>
      </c>
      <c r="B177" s="3">
        <v>1</v>
      </c>
      <c r="C177" s="3">
        <v>20</v>
      </c>
      <c r="D177" s="3">
        <v>10</v>
      </c>
      <c r="E177" s="3">
        <f>((1/(INDEX(E0!J$4:J$28,C177,1)-INDEX(E0!J$4:J$28,D177,1))))*100000000</f>
        <v>0</v>
      </c>
      <c r="F177" s="4" t="str">
        <f>HYPERLINK("http://141.218.60.56/~jnz1568/getInfo.php?workbook=04_01.xlsx&amp;sheet=A0&amp;row=177&amp;col=6&amp;number=&amp;sourceID=18","")</f>
        <v/>
      </c>
      <c r="G177" s="4" t="str">
        <f>HYPERLINK("http://141.218.60.56/~jnz1568/getInfo.php?workbook=04_01.xlsx&amp;sheet=A0&amp;row=177&amp;col=7&amp;number==&amp;sourceID=11","=")</f>
        <v>=</v>
      </c>
      <c r="H177" s="4" t="str">
        <f>HYPERLINK("http://141.218.60.56/~jnz1568/getInfo.php?workbook=04_01.xlsx&amp;sheet=A0&amp;row=177&amp;col=8&amp;number=&amp;sourceID=11","")</f>
        <v/>
      </c>
      <c r="I177" s="4" t="str">
        <f>HYPERLINK("http://141.218.60.56/~jnz1568/getInfo.php?workbook=04_01.xlsx&amp;sheet=A0&amp;row=177&amp;col=9&amp;number=930.77&amp;sourceID=11","930.77")</f>
        <v>930.77</v>
      </c>
      <c r="J177" s="4" t="str">
        <f>HYPERLINK("http://141.218.60.56/~jnz1568/getInfo.php?workbook=04_01.xlsx&amp;sheet=A0&amp;row=177&amp;col=10&amp;number=&amp;sourceID=11","")</f>
        <v/>
      </c>
      <c r="K177" s="4" t="str">
        <f>HYPERLINK("http://141.218.60.56/~jnz1568/getInfo.php?workbook=04_01.xlsx&amp;sheet=A0&amp;row=177&amp;col=11&amp;number=2.2053e-05&amp;sourceID=11","2.2053e-05")</f>
        <v>2.2053e-05</v>
      </c>
      <c r="L177" s="4" t="str">
        <f>HYPERLINK("http://141.218.60.56/~jnz1568/getInfo.php?workbook=04_01.xlsx&amp;sheet=A0&amp;row=177&amp;col=12&amp;number=&amp;sourceID=11","")</f>
        <v/>
      </c>
      <c r="M177" s="4" t="str">
        <f>HYPERLINK("http://141.218.60.56/~jnz1568/getInfo.php?workbook=04_01.xlsx&amp;sheet=A0&amp;row=177&amp;col=13&amp;number=&amp;sourceID=11","")</f>
        <v/>
      </c>
      <c r="N177" s="4" t="str">
        <f>HYPERLINK("http://141.218.60.56/~jnz1568/getInfo.php?workbook=04_01.xlsx&amp;sheet=A0&amp;row=177&amp;col=14&amp;number=930.82&amp;sourceID=12","930.82")</f>
        <v>930.82</v>
      </c>
      <c r="O177" s="4" t="str">
        <f>HYPERLINK("http://141.218.60.56/~jnz1568/getInfo.php?workbook=04_01.xlsx&amp;sheet=A0&amp;row=177&amp;col=15&amp;number=&amp;sourceID=12","")</f>
        <v/>
      </c>
      <c r="P177" s="4" t="str">
        <f>HYPERLINK("http://141.218.60.56/~jnz1568/getInfo.php?workbook=04_01.xlsx&amp;sheet=A0&amp;row=177&amp;col=16&amp;number=930.82&amp;sourceID=12","930.82")</f>
        <v>930.82</v>
      </c>
      <c r="Q177" s="4" t="str">
        <f>HYPERLINK("http://141.218.60.56/~jnz1568/getInfo.php?workbook=04_01.xlsx&amp;sheet=A0&amp;row=177&amp;col=17&amp;number=&amp;sourceID=12","")</f>
        <v/>
      </c>
      <c r="R177" s="4" t="str">
        <f>HYPERLINK("http://141.218.60.56/~jnz1568/getInfo.php?workbook=04_01.xlsx&amp;sheet=A0&amp;row=177&amp;col=18&amp;number=2.2056e-05&amp;sourceID=12","2.2056e-05")</f>
        <v>2.2056e-05</v>
      </c>
      <c r="S177" s="4" t="str">
        <f>HYPERLINK("http://141.218.60.56/~jnz1568/getInfo.php?workbook=04_01.xlsx&amp;sheet=A0&amp;row=177&amp;col=19&amp;number=&amp;sourceID=12","")</f>
        <v/>
      </c>
      <c r="T177" s="4" t="str">
        <f>HYPERLINK("http://141.218.60.56/~jnz1568/getInfo.php?workbook=04_01.xlsx&amp;sheet=A0&amp;row=177&amp;col=20&amp;number=&amp;sourceID=12","")</f>
        <v/>
      </c>
      <c r="U177" s="4" t="str">
        <f>HYPERLINK("http://141.218.60.56/~jnz1568/getInfo.php?workbook=04_01.xlsx&amp;sheet=A0&amp;row=177&amp;col=21&amp;number=&amp;sourceID=20","")</f>
        <v/>
      </c>
    </row>
    <row r="178" spans="1:21">
      <c r="A178" s="3">
        <v>4</v>
      </c>
      <c r="B178" s="3">
        <v>1</v>
      </c>
      <c r="C178" s="3">
        <v>20</v>
      </c>
      <c r="D178" s="3">
        <v>11</v>
      </c>
      <c r="E178" s="3">
        <f>((1/(INDEX(E0!J$4:J$28,C178,1)-INDEX(E0!J$4:J$28,D178,1))))*100000000</f>
        <v>0</v>
      </c>
      <c r="F178" s="4" t="str">
        <f>HYPERLINK("http://141.218.60.56/~jnz1568/getInfo.php?workbook=04_01.xlsx&amp;sheet=A0&amp;row=178&amp;col=6&amp;number=&amp;sourceID=18","")</f>
        <v/>
      </c>
      <c r="G178" s="4" t="str">
        <f>HYPERLINK("http://141.218.60.56/~jnz1568/getInfo.php?workbook=04_01.xlsx&amp;sheet=A0&amp;row=178&amp;col=7&amp;number==&amp;sourceID=11","=")</f>
        <v>=</v>
      </c>
      <c r="H178" s="4" t="str">
        <f>HYPERLINK("http://141.218.60.56/~jnz1568/getInfo.php?workbook=04_01.xlsx&amp;sheet=A0&amp;row=178&amp;col=8&amp;number=188700000&amp;sourceID=11","188700000")</f>
        <v>188700000</v>
      </c>
      <c r="I178" s="4" t="str">
        <f>HYPERLINK("http://141.218.60.56/~jnz1568/getInfo.php?workbook=04_01.xlsx&amp;sheet=A0&amp;row=178&amp;col=9&amp;number=&amp;sourceID=11","")</f>
        <v/>
      </c>
      <c r="J178" s="4" t="str">
        <f>HYPERLINK("http://141.218.60.56/~jnz1568/getInfo.php?workbook=04_01.xlsx&amp;sheet=A0&amp;row=178&amp;col=10&amp;number=&amp;sourceID=11","")</f>
        <v/>
      </c>
      <c r="K178" s="4" t="str">
        <f>HYPERLINK("http://141.218.60.56/~jnz1568/getInfo.php?workbook=04_01.xlsx&amp;sheet=A0&amp;row=178&amp;col=11&amp;number=&amp;sourceID=11","")</f>
        <v/>
      </c>
      <c r="L178" s="4" t="str">
        <f>HYPERLINK("http://141.218.60.56/~jnz1568/getInfo.php?workbook=04_01.xlsx&amp;sheet=A0&amp;row=178&amp;col=12&amp;number=0.0032532&amp;sourceID=11","0.0032532")</f>
        <v>0.0032532</v>
      </c>
      <c r="M178" s="4" t="str">
        <f>HYPERLINK("http://141.218.60.56/~jnz1568/getInfo.php?workbook=04_01.xlsx&amp;sheet=A0&amp;row=178&amp;col=13&amp;number=&amp;sourceID=11","")</f>
        <v/>
      </c>
      <c r="N178" s="4" t="str">
        <f>HYPERLINK("http://141.218.60.56/~jnz1568/getInfo.php?workbook=04_01.xlsx&amp;sheet=A0&amp;row=178&amp;col=14&amp;number=188710000&amp;sourceID=12","188710000")</f>
        <v>188710000</v>
      </c>
      <c r="O178" s="4" t="str">
        <f>HYPERLINK("http://141.218.60.56/~jnz1568/getInfo.php?workbook=04_01.xlsx&amp;sheet=A0&amp;row=178&amp;col=15&amp;number=188710000&amp;sourceID=12","188710000")</f>
        <v>188710000</v>
      </c>
      <c r="P178" s="4" t="str">
        <f>HYPERLINK("http://141.218.60.56/~jnz1568/getInfo.php?workbook=04_01.xlsx&amp;sheet=A0&amp;row=178&amp;col=16&amp;number=&amp;sourceID=12","")</f>
        <v/>
      </c>
      <c r="Q178" s="4" t="str">
        <f>HYPERLINK("http://141.218.60.56/~jnz1568/getInfo.php?workbook=04_01.xlsx&amp;sheet=A0&amp;row=178&amp;col=17&amp;number=&amp;sourceID=12","")</f>
        <v/>
      </c>
      <c r="R178" s="4" t="str">
        <f>HYPERLINK("http://141.218.60.56/~jnz1568/getInfo.php?workbook=04_01.xlsx&amp;sheet=A0&amp;row=178&amp;col=18&amp;number=&amp;sourceID=12","")</f>
        <v/>
      </c>
      <c r="S178" s="4" t="str">
        <f>HYPERLINK("http://141.218.60.56/~jnz1568/getInfo.php?workbook=04_01.xlsx&amp;sheet=A0&amp;row=178&amp;col=19&amp;number=0.0032534&amp;sourceID=12","0.0032534")</f>
        <v>0.0032534</v>
      </c>
      <c r="T178" s="4" t="str">
        <f>HYPERLINK("http://141.218.60.56/~jnz1568/getInfo.php?workbook=04_01.xlsx&amp;sheet=A0&amp;row=178&amp;col=20&amp;number=&amp;sourceID=12","")</f>
        <v/>
      </c>
      <c r="U178" s="4" t="str">
        <f>HYPERLINK("http://141.218.60.56/~jnz1568/getInfo.php?workbook=04_01.xlsx&amp;sheet=A0&amp;row=178&amp;col=21&amp;number=&amp;sourceID=20","")</f>
        <v/>
      </c>
    </row>
    <row r="179" spans="1:21">
      <c r="A179" s="3">
        <v>4</v>
      </c>
      <c r="B179" s="3">
        <v>1</v>
      </c>
      <c r="C179" s="3">
        <v>20</v>
      </c>
      <c r="D179" s="3">
        <v>12</v>
      </c>
      <c r="E179" s="3">
        <f>((1/(INDEX(E0!J$4:J$28,C179,1)-INDEX(E0!J$4:J$28,D179,1))))*100000000</f>
        <v>0</v>
      </c>
      <c r="F179" s="4" t="str">
        <f>HYPERLINK("http://141.218.60.56/~jnz1568/getInfo.php?workbook=04_01.xlsx&amp;sheet=A0&amp;row=179&amp;col=6&amp;number=&amp;sourceID=18","")</f>
        <v/>
      </c>
      <c r="G179" s="4" t="str">
        <f>HYPERLINK("http://141.218.60.56/~jnz1568/getInfo.php?workbook=04_01.xlsx&amp;sheet=A0&amp;row=179&amp;col=7&amp;number==&amp;sourceID=11","=")</f>
        <v>=</v>
      </c>
      <c r="H179" s="4" t="str">
        <f>HYPERLINK("http://141.218.60.56/~jnz1568/getInfo.php?workbook=04_01.xlsx&amp;sheet=A0&amp;row=179&amp;col=8&amp;number=4827600&amp;sourceID=11","4827600")</f>
        <v>4827600</v>
      </c>
      <c r="I179" s="4" t="str">
        <f>HYPERLINK("http://141.218.60.56/~jnz1568/getInfo.php?workbook=04_01.xlsx&amp;sheet=A0&amp;row=179&amp;col=9&amp;number=&amp;sourceID=11","")</f>
        <v/>
      </c>
      <c r="J179" s="4" t="str">
        <f>HYPERLINK("http://141.218.60.56/~jnz1568/getInfo.php?workbook=04_01.xlsx&amp;sheet=A0&amp;row=179&amp;col=10&amp;number=0.0030279&amp;sourceID=11","0.0030279")</f>
        <v>0.0030279</v>
      </c>
      <c r="K179" s="4" t="str">
        <f>HYPERLINK("http://141.218.60.56/~jnz1568/getInfo.php?workbook=04_01.xlsx&amp;sheet=A0&amp;row=179&amp;col=11&amp;number=&amp;sourceID=11","")</f>
        <v/>
      </c>
      <c r="L179" s="4" t="str">
        <f>HYPERLINK("http://141.218.60.56/~jnz1568/getInfo.php?workbook=04_01.xlsx&amp;sheet=A0&amp;row=179&amp;col=12&amp;number=&amp;sourceID=11","")</f>
        <v/>
      </c>
      <c r="M179" s="4" t="str">
        <f>HYPERLINK("http://141.218.60.56/~jnz1568/getInfo.php?workbook=04_01.xlsx&amp;sheet=A0&amp;row=179&amp;col=13&amp;number=&amp;sourceID=11","")</f>
        <v/>
      </c>
      <c r="N179" s="4" t="str">
        <f>HYPERLINK("http://141.218.60.56/~jnz1568/getInfo.php?workbook=04_01.xlsx&amp;sheet=A0&amp;row=179&amp;col=14&amp;number=4827900&amp;sourceID=12","4827900")</f>
        <v>4827900</v>
      </c>
      <c r="O179" s="4" t="str">
        <f>HYPERLINK("http://141.218.60.56/~jnz1568/getInfo.php?workbook=04_01.xlsx&amp;sheet=A0&amp;row=179&amp;col=15&amp;number=4827900&amp;sourceID=12","4827900")</f>
        <v>4827900</v>
      </c>
      <c r="P179" s="4" t="str">
        <f>HYPERLINK("http://141.218.60.56/~jnz1568/getInfo.php?workbook=04_01.xlsx&amp;sheet=A0&amp;row=179&amp;col=16&amp;number=&amp;sourceID=12","")</f>
        <v/>
      </c>
      <c r="Q179" s="4" t="str">
        <f>HYPERLINK("http://141.218.60.56/~jnz1568/getInfo.php?workbook=04_01.xlsx&amp;sheet=A0&amp;row=179&amp;col=17&amp;number=0.0030281&amp;sourceID=12","0.0030281")</f>
        <v>0.0030281</v>
      </c>
      <c r="R179" s="4" t="str">
        <f>HYPERLINK("http://141.218.60.56/~jnz1568/getInfo.php?workbook=04_01.xlsx&amp;sheet=A0&amp;row=179&amp;col=18&amp;number=&amp;sourceID=12","")</f>
        <v/>
      </c>
      <c r="S179" s="4" t="str">
        <f>HYPERLINK("http://141.218.60.56/~jnz1568/getInfo.php?workbook=04_01.xlsx&amp;sheet=A0&amp;row=179&amp;col=19&amp;number=&amp;sourceID=12","")</f>
        <v/>
      </c>
      <c r="T179" s="4" t="str">
        <f>HYPERLINK("http://141.218.60.56/~jnz1568/getInfo.php?workbook=04_01.xlsx&amp;sheet=A0&amp;row=179&amp;col=20&amp;number=&amp;sourceID=12","")</f>
        <v/>
      </c>
      <c r="U179" s="4" t="str">
        <f>HYPERLINK("http://141.218.60.56/~jnz1568/getInfo.php?workbook=04_01.xlsx&amp;sheet=A0&amp;row=179&amp;col=21&amp;number=&amp;sourceID=20","")</f>
        <v/>
      </c>
    </row>
    <row r="180" spans="1:21">
      <c r="A180" s="3">
        <v>4</v>
      </c>
      <c r="B180" s="3">
        <v>1</v>
      </c>
      <c r="C180" s="3">
        <v>20</v>
      </c>
      <c r="D180" s="3">
        <v>13</v>
      </c>
      <c r="E180" s="3">
        <f>((1/(INDEX(E0!J$4:J$28,C180,1)-INDEX(E0!J$4:J$28,D180,1))))*100000000</f>
        <v>0</v>
      </c>
      <c r="F180" s="4" t="str">
        <f>HYPERLINK("http://141.218.60.56/~jnz1568/getInfo.php?workbook=04_01.xlsx&amp;sheet=A0&amp;row=180&amp;col=6&amp;number=&amp;sourceID=18","")</f>
        <v/>
      </c>
      <c r="G180" s="4" t="str">
        <f>HYPERLINK("http://141.218.60.56/~jnz1568/getInfo.php?workbook=04_01.xlsx&amp;sheet=A0&amp;row=180&amp;col=7&amp;number==&amp;sourceID=11","=")</f>
        <v>=</v>
      </c>
      <c r="H180" s="4" t="str">
        <f>HYPERLINK("http://141.218.60.56/~jnz1568/getInfo.php?workbook=04_01.xlsx&amp;sheet=A0&amp;row=180&amp;col=8&amp;number=&amp;sourceID=11","")</f>
        <v/>
      </c>
      <c r="I180" s="4" t="str">
        <f>HYPERLINK("http://141.218.60.56/~jnz1568/getInfo.php?workbook=04_01.xlsx&amp;sheet=A0&amp;row=180&amp;col=9&amp;number=930.58&amp;sourceID=11","930.58")</f>
        <v>930.58</v>
      </c>
      <c r="J180" s="4" t="str">
        <f>HYPERLINK("http://141.218.60.56/~jnz1568/getInfo.php?workbook=04_01.xlsx&amp;sheet=A0&amp;row=180&amp;col=10&amp;number=&amp;sourceID=11","")</f>
        <v/>
      </c>
      <c r="K180" s="4" t="str">
        <f>HYPERLINK("http://141.218.60.56/~jnz1568/getInfo.php?workbook=04_01.xlsx&amp;sheet=A0&amp;row=180&amp;col=11&amp;number=1.8471e-06&amp;sourceID=11","1.8471e-06")</f>
        <v>1.8471e-06</v>
      </c>
      <c r="L180" s="4" t="str">
        <f>HYPERLINK("http://141.218.60.56/~jnz1568/getInfo.php?workbook=04_01.xlsx&amp;sheet=A0&amp;row=180&amp;col=12&amp;number=&amp;sourceID=11","")</f>
        <v/>
      </c>
      <c r="M180" s="4" t="str">
        <f>HYPERLINK("http://141.218.60.56/~jnz1568/getInfo.php?workbook=04_01.xlsx&amp;sheet=A0&amp;row=180&amp;col=13&amp;number=3.4205e-08&amp;sourceID=11","3.4205e-08")</f>
        <v>3.4205e-08</v>
      </c>
      <c r="N180" s="4" t="str">
        <f>HYPERLINK("http://141.218.60.56/~jnz1568/getInfo.php?workbook=04_01.xlsx&amp;sheet=A0&amp;row=180&amp;col=14&amp;number=930.64&amp;sourceID=12","930.64")</f>
        <v>930.64</v>
      </c>
      <c r="O180" s="4" t="str">
        <f>HYPERLINK("http://141.218.60.56/~jnz1568/getInfo.php?workbook=04_01.xlsx&amp;sheet=A0&amp;row=180&amp;col=15&amp;number=&amp;sourceID=12","")</f>
        <v/>
      </c>
      <c r="P180" s="4" t="str">
        <f>HYPERLINK("http://141.218.60.56/~jnz1568/getInfo.php?workbook=04_01.xlsx&amp;sheet=A0&amp;row=180&amp;col=16&amp;number=930.64&amp;sourceID=12","930.64")</f>
        <v>930.64</v>
      </c>
      <c r="Q180" s="4" t="str">
        <f>HYPERLINK("http://141.218.60.56/~jnz1568/getInfo.php?workbook=04_01.xlsx&amp;sheet=A0&amp;row=180&amp;col=17&amp;number=&amp;sourceID=12","")</f>
        <v/>
      </c>
      <c r="R180" s="4" t="str">
        <f>HYPERLINK("http://141.218.60.56/~jnz1568/getInfo.php?workbook=04_01.xlsx&amp;sheet=A0&amp;row=180&amp;col=18&amp;number=1.8473e-06&amp;sourceID=12","1.8473e-06")</f>
        <v>1.8473e-06</v>
      </c>
      <c r="S180" s="4" t="str">
        <f>HYPERLINK("http://141.218.60.56/~jnz1568/getInfo.php?workbook=04_01.xlsx&amp;sheet=A0&amp;row=180&amp;col=19&amp;number=&amp;sourceID=12","")</f>
        <v/>
      </c>
      <c r="T180" s="4" t="str">
        <f>HYPERLINK("http://141.218.60.56/~jnz1568/getInfo.php?workbook=04_01.xlsx&amp;sheet=A0&amp;row=180&amp;col=20&amp;number=3.4207e-08&amp;sourceID=12","3.4207e-08")</f>
        <v>3.4207e-08</v>
      </c>
      <c r="U180" s="4" t="str">
        <f>HYPERLINK("http://141.218.60.56/~jnz1568/getInfo.php?workbook=04_01.xlsx&amp;sheet=A0&amp;row=180&amp;col=21&amp;number=&amp;sourceID=20","")</f>
        <v/>
      </c>
    </row>
    <row r="181" spans="1:21">
      <c r="A181" s="3">
        <v>4</v>
      </c>
      <c r="B181" s="3">
        <v>1</v>
      </c>
      <c r="C181" s="3">
        <v>20</v>
      </c>
      <c r="D181" s="3">
        <v>14</v>
      </c>
      <c r="E181" s="3">
        <f>((1/(INDEX(E0!J$4:J$28,C181,1)-INDEX(E0!J$4:J$28,D181,1))))*100000000</f>
        <v>0</v>
      </c>
      <c r="F181" s="4" t="str">
        <f>HYPERLINK("http://141.218.60.56/~jnz1568/getInfo.php?workbook=04_01.xlsx&amp;sheet=A0&amp;row=181&amp;col=6&amp;number=&amp;sourceID=18","")</f>
        <v/>
      </c>
      <c r="G181" s="4" t="str">
        <f>HYPERLINK("http://141.218.60.56/~jnz1568/getInfo.php?workbook=04_01.xlsx&amp;sheet=A0&amp;row=181&amp;col=7&amp;number==&amp;sourceID=11","=")</f>
        <v>=</v>
      </c>
      <c r="H181" s="4" t="str">
        <f>HYPERLINK("http://141.218.60.56/~jnz1568/getInfo.php?workbook=04_01.xlsx&amp;sheet=A0&amp;row=181&amp;col=8&amp;number=&amp;sourceID=11","")</f>
        <v/>
      </c>
      <c r="I181" s="4" t="str">
        <f>HYPERLINK("http://141.218.60.56/~jnz1568/getInfo.php?workbook=04_01.xlsx&amp;sheet=A0&amp;row=181&amp;col=9&amp;number=27.574&amp;sourceID=11","27.574")</f>
        <v>27.574</v>
      </c>
      <c r="J181" s="4" t="str">
        <f>HYPERLINK("http://141.218.60.56/~jnz1568/getInfo.php?workbook=04_01.xlsx&amp;sheet=A0&amp;row=181&amp;col=10&amp;number=&amp;sourceID=11","")</f>
        <v/>
      </c>
      <c r="K181" s="4" t="str">
        <f>HYPERLINK("http://141.218.60.56/~jnz1568/getInfo.php?workbook=04_01.xlsx&amp;sheet=A0&amp;row=181&amp;col=11&amp;number=4.3857e-11&amp;sourceID=11","4.3857e-11")</f>
        <v>4.3857e-11</v>
      </c>
      <c r="L181" s="4" t="str">
        <f>HYPERLINK("http://141.218.60.56/~jnz1568/getInfo.php?workbook=04_01.xlsx&amp;sheet=A0&amp;row=181&amp;col=12&amp;number=&amp;sourceID=11","")</f>
        <v/>
      </c>
      <c r="M181" s="4" t="str">
        <f>HYPERLINK("http://141.218.60.56/~jnz1568/getInfo.php?workbook=04_01.xlsx&amp;sheet=A0&amp;row=181&amp;col=13&amp;number=8.042e-12&amp;sourceID=11","8.042e-12")</f>
        <v>8.042e-12</v>
      </c>
      <c r="N181" s="4" t="str">
        <f>HYPERLINK("http://141.218.60.56/~jnz1568/getInfo.php?workbook=04_01.xlsx&amp;sheet=A0&amp;row=181&amp;col=14&amp;number=27.576&amp;sourceID=12","27.576")</f>
        <v>27.576</v>
      </c>
      <c r="O181" s="4" t="str">
        <f>HYPERLINK("http://141.218.60.56/~jnz1568/getInfo.php?workbook=04_01.xlsx&amp;sheet=A0&amp;row=181&amp;col=15&amp;number=&amp;sourceID=12","")</f>
        <v/>
      </c>
      <c r="P181" s="4" t="str">
        <f>HYPERLINK("http://141.218.60.56/~jnz1568/getInfo.php?workbook=04_01.xlsx&amp;sheet=A0&amp;row=181&amp;col=16&amp;number=27.576&amp;sourceID=12","27.576")</f>
        <v>27.576</v>
      </c>
      <c r="Q181" s="4" t="str">
        <f>HYPERLINK("http://141.218.60.56/~jnz1568/getInfo.php?workbook=04_01.xlsx&amp;sheet=A0&amp;row=181&amp;col=17&amp;number=&amp;sourceID=12","")</f>
        <v/>
      </c>
      <c r="R181" s="4" t="str">
        <f>HYPERLINK("http://141.218.60.56/~jnz1568/getInfo.php?workbook=04_01.xlsx&amp;sheet=A0&amp;row=181&amp;col=18&amp;number=4.3861e-11&amp;sourceID=12","4.3861e-11")</f>
        <v>4.3861e-11</v>
      </c>
      <c r="S181" s="4" t="str">
        <f>HYPERLINK("http://141.218.60.56/~jnz1568/getInfo.php?workbook=04_01.xlsx&amp;sheet=A0&amp;row=181&amp;col=19&amp;number=&amp;sourceID=12","")</f>
        <v/>
      </c>
      <c r="T181" s="4" t="str">
        <f>HYPERLINK("http://141.218.60.56/~jnz1568/getInfo.php?workbook=04_01.xlsx&amp;sheet=A0&amp;row=181&amp;col=20&amp;number=8.043e-12&amp;sourceID=12","8.043e-12")</f>
        <v>8.043e-12</v>
      </c>
      <c r="U181" s="4" t="str">
        <f>HYPERLINK("http://141.218.60.56/~jnz1568/getInfo.php?workbook=04_01.xlsx&amp;sheet=A0&amp;row=181&amp;col=21&amp;number=&amp;sourceID=20","")</f>
        <v/>
      </c>
    </row>
    <row r="182" spans="1:21">
      <c r="A182" s="3">
        <v>4</v>
      </c>
      <c r="B182" s="3">
        <v>1</v>
      </c>
      <c r="C182" s="3">
        <v>20</v>
      </c>
      <c r="D182" s="3">
        <v>15</v>
      </c>
      <c r="E182" s="3">
        <f>((1/(INDEX(E0!J$4:J$28,C182,1)-INDEX(E0!J$4:J$28,D182,1))))*100000000</f>
        <v>0</v>
      </c>
      <c r="F182" s="4" t="str">
        <f>HYPERLINK("http://141.218.60.56/~jnz1568/getInfo.php?workbook=04_01.xlsx&amp;sheet=A0&amp;row=182&amp;col=6&amp;number=&amp;sourceID=18","")</f>
        <v/>
      </c>
      <c r="G182" s="4" t="str">
        <f>HYPERLINK("http://141.218.60.56/~jnz1568/getInfo.php?workbook=04_01.xlsx&amp;sheet=A0&amp;row=182&amp;col=7&amp;number==&amp;sourceID=11","=")</f>
        <v>=</v>
      </c>
      <c r="H182" s="4" t="str">
        <f>HYPERLINK("http://141.218.60.56/~jnz1568/getInfo.php?workbook=04_01.xlsx&amp;sheet=A0&amp;row=182&amp;col=8&amp;number=43476000&amp;sourceID=11","43476000")</f>
        <v>43476000</v>
      </c>
      <c r="I182" s="4" t="str">
        <f>HYPERLINK("http://141.218.60.56/~jnz1568/getInfo.php?workbook=04_01.xlsx&amp;sheet=A0&amp;row=182&amp;col=9&amp;number=&amp;sourceID=11","")</f>
        <v/>
      </c>
      <c r="J182" s="4" t="str">
        <f>HYPERLINK("http://141.218.60.56/~jnz1568/getInfo.php?workbook=04_01.xlsx&amp;sheet=A0&amp;row=182&amp;col=10&amp;number=0.0020181&amp;sourceID=11","0.0020181")</f>
        <v>0.0020181</v>
      </c>
      <c r="K182" s="4" t="str">
        <f>HYPERLINK("http://141.218.60.56/~jnz1568/getInfo.php?workbook=04_01.xlsx&amp;sheet=A0&amp;row=182&amp;col=11&amp;number=&amp;sourceID=11","")</f>
        <v/>
      </c>
      <c r="L182" s="4" t="str">
        <f>HYPERLINK("http://141.218.60.56/~jnz1568/getInfo.php?workbook=04_01.xlsx&amp;sheet=A0&amp;row=182&amp;col=12&amp;number=0.00097089&amp;sourceID=11","0.00097089")</f>
        <v>0.00097089</v>
      </c>
      <c r="M182" s="4" t="str">
        <f>HYPERLINK("http://141.218.60.56/~jnz1568/getInfo.php?workbook=04_01.xlsx&amp;sheet=A0&amp;row=182&amp;col=13&amp;number=&amp;sourceID=11","")</f>
        <v/>
      </c>
      <c r="N182" s="4" t="str">
        <f>HYPERLINK("http://141.218.60.56/~jnz1568/getInfo.php?workbook=04_01.xlsx&amp;sheet=A0&amp;row=182&amp;col=14&amp;number=43479000&amp;sourceID=12","43479000")</f>
        <v>43479000</v>
      </c>
      <c r="O182" s="4" t="str">
        <f>HYPERLINK("http://141.218.60.56/~jnz1568/getInfo.php?workbook=04_01.xlsx&amp;sheet=A0&amp;row=182&amp;col=15&amp;number=43479000&amp;sourceID=12","43479000")</f>
        <v>43479000</v>
      </c>
      <c r="P182" s="4" t="str">
        <f>HYPERLINK("http://141.218.60.56/~jnz1568/getInfo.php?workbook=04_01.xlsx&amp;sheet=A0&amp;row=182&amp;col=16&amp;number=&amp;sourceID=12","")</f>
        <v/>
      </c>
      <c r="Q182" s="4" t="str">
        <f>HYPERLINK("http://141.218.60.56/~jnz1568/getInfo.php?workbook=04_01.xlsx&amp;sheet=A0&amp;row=182&amp;col=17&amp;number=0.0020182&amp;sourceID=12","0.0020182")</f>
        <v>0.0020182</v>
      </c>
      <c r="R182" s="4" t="str">
        <f>HYPERLINK("http://141.218.60.56/~jnz1568/getInfo.php?workbook=04_01.xlsx&amp;sheet=A0&amp;row=182&amp;col=18&amp;number=&amp;sourceID=12","")</f>
        <v/>
      </c>
      <c r="S182" s="4" t="str">
        <f>HYPERLINK("http://141.218.60.56/~jnz1568/getInfo.php?workbook=04_01.xlsx&amp;sheet=A0&amp;row=182&amp;col=19&amp;number=0.00097095&amp;sourceID=12","0.00097095")</f>
        <v>0.00097095</v>
      </c>
      <c r="T182" s="4" t="str">
        <f>HYPERLINK("http://141.218.60.56/~jnz1568/getInfo.php?workbook=04_01.xlsx&amp;sheet=A0&amp;row=182&amp;col=20&amp;number=&amp;sourceID=12","")</f>
        <v/>
      </c>
      <c r="U182" s="4" t="str">
        <f>HYPERLINK("http://141.218.60.56/~jnz1568/getInfo.php?workbook=04_01.xlsx&amp;sheet=A0&amp;row=182&amp;col=21&amp;number=&amp;sourceID=20","")</f>
        <v/>
      </c>
    </row>
    <row r="183" spans="1:21">
      <c r="A183" s="3">
        <v>4</v>
      </c>
      <c r="B183" s="3">
        <v>1</v>
      </c>
      <c r="C183" s="3">
        <v>20</v>
      </c>
      <c r="D183" s="3">
        <v>16</v>
      </c>
      <c r="E183" s="3">
        <f>((1/(INDEX(E0!J$4:J$28,C183,1)-INDEX(E0!J$4:J$28,D183,1))))*100000000</f>
        <v>0</v>
      </c>
      <c r="F183" s="4" t="str">
        <f>HYPERLINK("http://141.218.60.56/~jnz1568/getInfo.php?workbook=04_01.xlsx&amp;sheet=A0&amp;row=183&amp;col=6&amp;number=&amp;sourceID=18","")</f>
        <v/>
      </c>
      <c r="G183" s="4" t="str">
        <f>HYPERLINK("http://141.218.60.56/~jnz1568/getInfo.php?workbook=04_01.xlsx&amp;sheet=A0&amp;row=183&amp;col=7&amp;number==&amp;sourceID=11","=")</f>
        <v>=</v>
      </c>
      <c r="H183" s="4" t="str">
        <f>HYPERLINK("http://141.218.60.56/~jnz1568/getInfo.php?workbook=04_01.xlsx&amp;sheet=A0&amp;row=183&amp;col=8&amp;number=&amp;sourceID=11","")</f>
        <v/>
      </c>
      <c r="I183" s="4" t="str">
        <f>HYPERLINK("http://141.218.60.56/~jnz1568/getInfo.php?workbook=04_01.xlsx&amp;sheet=A0&amp;row=183&amp;col=9&amp;number=165.46&amp;sourceID=11","165.46")</f>
        <v>165.46</v>
      </c>
      <c r="J183" s="4" t="str">
        <f>HYPERLINK("http://141.218.60.56/~jnz1568/getInfo.php?workbook=04_01.xlsx&amp;sheet=A0&amp;row=183&amp;col=10&amp;number=&amp;sourceID=11","")</f>
        <v/>
      </c>
      <c r="K183" s="4" t="str">
        <f>HYPERLINK("http://141.218.60.56/~jnz1568/getInfo.php?workbook=04_01.xlsx&amp;sheet=A0&amp;row=183&amp;col=11&amp;number=&amp;sourceID=11","")</f>
        <v/>
      </c>
      <c r="L183" s="4" t="str">
        <f>HYPERLINK("http://141.218.60.56/~jnz1568/getInfo.php?workbook=04_01.xlsx&amp;sheet=A0&amp;row=183&amp;col=12&amp;number=&amp;sourceID=11","")</f>
        <v/>
      </c>
      <c r="M183" s="4" t="str">
        <f>HYPERLINK("http://141.218.60.56/~jnz1568/getInfo.php?workbook=04_01.xlsx&amp;sheet=A0&amp;row=183&amp;col=13&amp;number=3.2571e-09&amp;sourceID=11","3.2571e-09")</f>
        <v>3.2571e-09</v>
      </c>
      <c r="N183" s="4" t="str">
        <f>HYPERLINK("http://141.218.60.56/~jnz1568/getInfo.php?workbook=04_01.xlsx&amp;sheet=A0&amp;row=183&amp;col=14&amp;number=165.47&amp;sourceID=12","165.47")</f>
        <v>165.47</v>
      </c>
      <c r="O183" s="4" t="str">
        <f>HYPERLINK("http://141.218.60.56/~jnz1568/getInfo.php?workbook=04_01.xlsx&amp;sheet=A0&amp;row=183&amp;col=15&amp;number=&amp;sourceID=12","")</f>
        <v/>
      </c>
      <c r="P183" s="4" t="str">
        <f>HYPERLINK("http://141.218.60.56/~jnz1568/getInfo.php?workbook=04_01.xlsx&amp;sheet=A0&amp;row=183&amp;col=16&amp;number=165.47&amp;sourceID=12","165.47")</f>
        <v>165.47</v>
      </c>
      <c r="Q183" s="4" t="str">
        <f>HYPERLINK("http://141.218.60.56/~jnz1568/getInfo.php?workbook=04_01.xlsx&amp;sheet=A0&amp;row=183&amp;col=17&amp;number=&amp;sourceID=12","")</f>
        <v/>
      </c>
      <c r="R183" s="4" t="str">
        <f>HYPERLINK("http://141.218.60.56/~jnz1568/getInfo.php?workbook=04_01.xlsx&amp;sheet=A0&amp;row=183&amp;col=18&amp;number=&amp;sourceID=12","")</f>
        <v/>
      </c>
      <c r="S183" s="4" t="str">
        <f>HYPERLINK("http://141.218.60.56/~jnz1568/getInfo.php?workbook=04_01.xlsx&amp;sheet=A0&amp;row=183&amp;col=19&amp;number=&amp;sourceID=12","")</f>
        <v/>
      </c>
      <c r="T183" s="4" t="str">
        <f>HYPERLINK("http://141.218.60.56/~jnz1568/getInfo.php?workbook=04_01.xlsx&amp;sheet=A0&amp;row=183&amp;col=20&amp;number=3.2573e-09&amp;sourceID=12","3.2573e-09")</f>
        <v>3.2573e-09</v>
      </c>
      <c r="U183" s="4" t="str">
        <f>HYPERLINK("http://141.218.60.56/~jnz1568/getInfo.php?workbook=04_01.xlsx&amp;sheet=A0&amp;row=183&amp;col=21&amp;number=&amp;sourceID=20","")</f>
        <v/>
      </c>
    </row>
    <row r="184" spans="1:21">
      <c r="A184" s="3">
        <v>4</v>
      </c>
      <c r="B184" s="3">
        <v>1</v>
      </c>
      <c r="C184" s="3">
        <v>20</v>
      </c>
      <c r="D184" s="3">
        <v>17</v>
      </c>
      <c r="E184" s="3">
        <f>((1/(INDEX(E0!J$4:J$28,C184,1)-INDEX(E0!J$4:J$28,D184,1))))*100000000</f>
        <v>0</v>
      </c>
      <c r="F184" s="4" t="str">
        <f>HYPERLINK("http://141.218.60.56/~jnz1568/getInfo.php?workbook=04_01.xlsx&amp;sheet=A0&amp;row=184&amp;col=6&amp;number=&amp;sourceID=18","")</f>
        <v/>
      </c>
      <c r="G184" s="4" t="str">
        <f>HYPERLINK("http://141.218.60.56/~jnz1568/getInfo.php?workbook=04_01.xlsx&amp;sheet=A0&amp;row=184&amp;col=7&amp;number==&amp;sourceID=11","=")</f>
        <v>=</v>
      </c>
      <c r="H184" s="4" t="str">
        <f>HYPERLINK("http://141.218.60.56/~jnz1568/getInfo.php?workbook=04_01.xlsx&amp;sheet=A0&amp;row=184&amp;col=8&amp;number=&amp;sourceID=11","")</f>
        <v/>
      </c>
      <c r="I184" s="4" t="str">
        <f>HYPERLINK("http://141.218.60.56/~jnz1568/getInfo.php?workbook=04_01.xlsx&amp;sheet=A0&amp;row=184&amp;col=9&amp;number=2e-15&amp;sourceID=11","2e-15")</f>
        <v>2e-15</v>
      </c>
      <c r="J184" s="4" t="str">
        <f>HYPERLINK("http://141.218.60.56/~jnz1568/getInfo.php?workbook=04_01.xlsx&amp;sheet=A0&amp;row=184&amp;col=10&amp;number=&amp;sourceID=11","")</f>
        <v/>
      </c>
      <c r="K184" s="4" t="str">
        <f>HYPERLINK("http://141.218.60.56/~jnz1568/getInfo.php?workbook=04_01.xlsx&amp;sheet=A0&amp;row=184&amp;col=11&amp;number=1.9293e-09&amp;sourceID=11","1.9293e-09")</f>
        <v>1.9293e-09</v>
      </c>
      <c r="L184" s="4" t="str">
        <f>HYPERLINK("http://141.218.60.56/~jnz1568/getInfo.php?workbook=04_01.xlsx&amp;sheet=A0&amp;row=184&amp;col=12&amp;number=&amp;sourceID=11","")</f>
        <v/>
      </c>
      <c r="M184" s="4" t="str">
        <f>HYPERLINK("http://141.218.60.56/~jnz1568/getInfo.php?workbook=04_01.xlsx&amp;sheet=A0&amp;row=184&amp;col=13&amp;number=&amp;sourceID=11","")</f>
        <v/>
      </c>
      <c r="N184" s="4" t="str">
        <f>HYPERLINK("http://141.218.60.56/~jnz1568/getInfo.php?workbook=04_01.xlsx&amp;sheet=A0&amp;row=184&amp;col=14&amp;number=1.93e-09&amp;sourceID=12","1.93e-09")</f>
        <v>1.93e-09</v>
      </c>
      <c r="O184" s="4" t="str">
        <f>HYPERLINK("http://141.218.60.56/~jnz1568/getInfo.php?workbook=04_01.xlsx&amp;sheet=A0&amp;row=184&amp;col=15&amp;number=&amp;sourceID=12","")</f>
        <v/>
      </c>
      <c r="P184" s="4" t="str">
        <f>HYPERLINK("http://141.218.60.56/~jnz1568/getInfo.php?workbook=04_01.xlsx&amp;sheet=A0&amp;row=184&amp;col=16&amp;number=2e-15&amp;sourceID=12","2e-15")</f>
        <v>2e-15</v>
      </c>
      <c r="Q184" s="4" t="str">
        <f>HYPERLINK("http://141.218.60.56/~jnz1568/getInfo.php?workbook=04_01.xlsx&amp;sheet=A0&amp;row=184&amp;col=17&amp;number=&amp;sourceID=12","")</f>
        <v/>
      </c>
      <c r="R184" s="4" t="str">
        <f>HYPERLINK("http://141.218.60.56/~jnz1568/getInfo.php?workbook=04_01.xlsx&amp;sheet=A0&amp;row=184&amp;col=18&amp;number=1.93e-09&amp;sourceID=12","1.93e-09")</f>
        <v>1.93e-09</v>
      </c>
      <c r="S184" s="4" t="str">
        <f>HYPERLINK("http://141.218.60.56/~jnz1568/getInfo.php?workbook=04_01.xlsx&amp;sheet=A0&amp;row=184&amp;col=19&amp;number=&amp;sourceID=12","")</f>
        <v/>
      </c>
      <c r="T184" s="4" t="str">
        <f>HYPERLINK("http://141.218.60.56/~jnz1568/getInfo.php?workbook=04_01.xlsx&amp;sheet=A0&amp;row=184&amp;col=20&amp;number=&amp;sourceID=12","")</f>
        <v/>
      </c>
      <c r="U184" s="4" t="str">
        <f>HYPERLINK("http://141.218.60.56/~jnz1568/getInfo.php?workbook=04_01.xlsx&amp;sheet=A0&amp;row=184&amp;col=21&amp;number=&amp;sourceID=20","")</f>
        <v/>
      </c>
    </row>
    <row r="185" spans="1:21">
      <c r="A185" s="3">
        <v>4</v>
      </c>
      <c r="B185" s="3">
        <v>1</v>
      </c>
      <c r="C185" s="3">
        <v>20</v>
      </c>
      <c r="D185" s="3">
        <v>18</v>
      </c>
      <c r="E185" s="3">
        <f>((1/(INDEX(E0!J$4:J$28,C185,1)-INDEX(E0!J$4:J$28,D185,1))))*100000000</f>
        <v>0</v>
      </c>
      <c r="F185" s="4" t="str">
        <f>HYPERLINK("http://141.218.60.56/~jnz1568/getInfo.php?workbook=04_01.xlsx&amp;sheet=A0&amp;row=185&amp;col=6&amp;number=&amp;sourceID=18","")</f>
        <v/>
      </c>
      <c r="G185" s="4" t="str">
        <f>HYPERLINK("http://141.218.60.56/~jnz1568/getInfo.php?workbook=04_01.xlsx&amp;sheet=A0&amp;row=185&amp;col=7&amp;number==&amp;sourceID=11","=")</f>
        <v>=</v>
      </c>
      <c r="H185" s="4" t="str">
        <f>HYPERLINK("http://141.218.60.56/~jnz1568/getInfo.php?workbook=04_01.xlsx&amp;sheet=A0&amp;row=185&amp;col=8&amp;number=0.012226&amp;sourceID=11","0.012226")</f>
        <v>0.012226</v>
      </c>
      <c r="I185" s="4" t="str">
        <f>HYPERLINK("http://141.218.60.56/~jnz1568/getInfo.php?workbook=04_01.xlsx&amp;sheet=A0&amp;row=185&amp;col=9&amp;number=&amp;sourceID=11","")</f>
        <v/>
      </c>
      <c r="J185" s="4" t="str">
        <f>HYPERLINK("http://141.218.60.56/~jnz1568/getInfo.php?workbook=04_01.xlsx&amp;sheet=A0&amp;row=185&amp;col=10&amp;number=&amp;sourceID=11","")</f>
        <v/>
      </c>
      <c r="K185" s="4" t="str">
        <f>HYPERLINK("http://141.218.60.56/~jnz1568/getInfo.php?workbook=04_01.xlsx&amp;sheet=A0&amp;row=185&amp;col=11&amp;number=&amp;sourceID=11","")</f>
        <v/>
      </c>
      <c r="L185" s="4" t="str">
        <f>HYPERLINK("http://141.218.60.56/~jnz1568/getInfo.php?workbook=04_01.xlsx&amp;sheet=A0&amp;row=185&amp;col=12&amp;number=0&amp;sourceID=11","0")</f>
        <v>0</v>
      </c>
      <c r="M185" s="4" t="str">
        <f>HYPERLINK("http://141.218.60.56/~jnz1568/getInfo.php?workbook=04_01.xlsx&amp;sheet=A0&amp;row=185&amp;col=13&amp;number=&amp;sourceID=11","")</f>
        <v/>
      </c>
      <c r="N185" s="4" t="str">
        <f>HYPERLINK("http://141.218.60.56/~jnz1568/getInfo.php?workbook=04_01.xlsx&amp;sheet=A0&amp;row=185&amp;col=14&amp;number=0.01223&amp;sourceID=12","0.01223")</f>
        <v>0.01223</v>
      </c>
      <c r="O185" s="4" t="str">
        <f>HYPERLINK("http://141.218.60.56/~jnz1568/getInfo.php?workbook=04_01.xlsx&amp;sheet=A0&amp;row=185&amp;col=15&amp;number=0.01223&amp;sourceID=12","0.01223")</f>
        <v>0.01223</v>
      </c>
      <c r="P185" s="4" t="str">
        <f>HYPERLINK("http://141.218.60.56/~jnz1568/getInfo.php?workbook=04_01.xlsx&amp;sheet=A0&amp;row=185&amp;col=16&amp;number=&amp;sourceID=12","")</f>
        <v/>
      </c>
      <c r="Q185" s="4" t="str">
        <f>HYPERLINK("http://141.218.60.56/~jnz1568/getInfo.php?workbook=04_01.xlsx&amp;sheet=A0&amp;row=185&amp;col=17&amp;number=&amp;sourceID=12","")</f>
        <v/>
      </c>
      <c r="R185" s="4" t="str">
        <f>HYPERLINK("http://141.218.60.56/~jnz1568/getInfo.php?workbook=04_01.xlsx&amp;sheet=A0&amp;row=185&amp;col=18&amp;number=&amp;sourceID=12","")</f>
        <v/>
      </c>
      <c r="S185" s="4" t="str">
        <f>HYPERLINK("http://141.218.60.56/~jnz1568/getInfo.php?workbook=04_01.xlsx&amp;sheet=A0&amp;row=185&amp;col=19&amp;number=0&amp;sourceID=12","0")</f>
        <v>0</v>
      </c>
      <c r="T185" s="4" t="str">
        <f>HYPERLINK("http://141.218.60.56/~jnz1568/getInfo.php?workbook=04_01.xlsx&amp;sheet=A0&amp;row=185&amp;col=20&amp;number=&amp;sourceID=12","")</f>
        <v/>
      </c>
      <c r="U185" s="4" t="str">
        <f>HYPERLINK("http://141.218.60.56/~jnz1568/getInfo.php?workbook=04_01.xlsx&amp;sheet=A0&amp;row=185&amp;col=21&amp;number=&amp;sourceID=20","")</f>
        <v/>
      </c>
    </row>
    <row r="186" spans="1:21">
      <c r="A186" s="3">
        <v>4</v>
      </c>
      <c r="B186" s="3">
        <v>1</v>
      </c>
      <c r="C186" s="3">
        <v>21</v>
      </c>
      <c r="D186" s="3">
        <v>1</v>
      </c>
      <c r="E186" s="3">
        <f>((1/(INDEX(E0!J$4:J$28,C186,1)-INDEX(E0!J$4:J$28,D186,1))))*100000000</f>
        <v>0</v>
      </c>
      <c r="F186" s="4" t="str">
        <f>HYPERLINK("http://141.218.60.56/~jnz1568/getInfo.php?workbook=04_01.xlsx&amp;sheet=A0&amp;row=186&amp;col=6&amp;number=&amp;sourceID=18","")</f>
        <v/>
      </c>
      <c r="G186" s="4" t="str">
        <f>HYPERLINK("http://141.218.60.56/~jnz1568/getInfo.php?workbook=04_01.xlsx&amp;sheet=A0&amp;row=186&amp;col=7&amp;number==&amp;sourceID=11","=")</f>
        <v>=</v>
      </c>
      <c r="H186" s="4" t="str">
        <f>HYPERLINK("http://141.218.60.56/~jnz1568/getInfo.php?workbook=04_01.xlsx&amp;sheet=A0&amp;row=186&amp;col=8&amp;number=&amp;sourceID=11","")</f>
        <v/>
      </c>
      <c r="I186" s="4" t="str">
        <f>HYPERLINK("http://141.218.60.56/~jnz1568/getInfo.php?workbook=04_01.xlsx&amp;sheet=A0&amp;row=186&amp;col=9&amp;number=&amp;sourceID=11","")</f>
        <v/>
      </c>
      <c r="J186" s="4" t="str">
        <f>HYPERLINK("http://141.218.60.56/~jnz1568/getInfo.php?workbook=04_01.xlsx&amp;sheet=A0&amp;row=186&amp;col=10&amp;number=16.82&amp;sourceID=11","16.82")</f>
        <v>16.82</v>
      </c>
      <c r="K186" s="4" t="str">
        <f>HYPERLINK("http://141.218.60.56/~jnz1568/getInfo.php?workbook=04_01.xlsx&amp;sheet=A0&amp;row=186&amp;col=11&amp;number=&amp;sourceID=11","")</f>
        <v/>
      </c>
      <c r="L186" s="4" t="str">
        <f>HYPERLINK("http://141.218.60.56/~jnz1568/getInfo.php?workbook=04_01.xlsx&amp;sheet=A0&amp;row=186&amp;col=12&amp;number=2.3858e-08&amp;sourceID=11","2.3858e-08")</f>
        <v>2.3858e-08</v>
      </c>
      <c r="M186" s="4" t="str">
        <f>HYPERLINK("http://141.218.60.56/~jnz1568/getInfo.php?workbook=04_01.xlsx&amp;sheet=A0&amp;row=186&amp;col=13&amp;number=&amp;sourceID=11","")</f>
        <v/>
      </c>
      <c r="N186" s="4" t="str">
        <f>HYPERLINK("http://141.218.60.56/~jnz1568/getInfo.php?workbook=04_01.xlsx&amp;sheet=A0&amp;row=186&amp;col=14&amp;number=16.821&amp;sourceID=12","16.821")</f>
        <v>16.821</v>
      </c>
      <c r="O186" s="4" t="str">
        <f>HYPERLINK("http://141.218.60.56/~jnz1568/getInfo.php?workbook=04_01.xlsx&amp;sheet=A0&amp;row=186&amp;col=15&amp;number=&amp;sourceID=12","")</f>
        <v/>
      </c>
      <c r="P186" s="4" t="str">
        <f>HYPERLINK("http://141.218.60.56/~jnz1568/getInfo.php?workbook=04_01.xlsx&amp;sheet=A0&amp;row=186&amp;col=16&amp;number=&amp;sourceID=12","")</f>
        <v/>
      </c>
      <c r="Q186" s="4" t="str">
        <f>HYPERLINK("http://141.218.60.56/~jnz1568/getInfo.php?workbook=04_01.xlsx&amp;sheet=A0&amp;row=186&amp;col=17&amp;number=16.821&amp;sourceID=12","16.821")</f>
        <v>16.821</v>
      </c>
      <c r="R186" s="4" t="str">
        <f>HYPERLINK("http://141.218.60.56/~jnz1568/getInfo.php?workbook=04_01.xlsx&amp;sheet=A0&amp;row=186&amp;col=18&amp;number=&amp;sourceID=12","")</f>
        <v/>
      </c>
      <c r="S186" s="4" t="str">
        <f>HYPERLINK("http://141.218.60.56/~jnz1568/getInfo.php?workbook=04_01.xlsx&amp;sheet=A0&amp;row=186&amp;col=19&amp;number=2.4374e-08&amp;sourceID=12","2.4374e-08")</f>
        <v>2.4374e-08</v>
      </c>
      <c r="T186" s="4" t="str">
        <f>HYPERLINK("http://141.218.60.56/~jnz1568/getInfo.php?workbook=04_01.xlsx&amp;sheet=A0&amp;row=186&amp;col=20&amp;number=&amp;sourceID=12","")</f>
        <v/>
      </c>
      <c r="U186" s="4" t="str">
        <f>HYPERLINK("http://141.218.60.56/~jnz1568/getInfo.php?workbook=04_01.xlsx&amp;sheet=A0&amp;row=186&amp;col=21&amp;number=&amp;sourceID=20","")</f>
        <v/>
      </c>
    </row>
    <row r="187" spans="1:21">
      <c r="A187" s="3">
        <v>4</v>
      </c>
      <c r="B187" s="3">
        <v>1</v>
      </c>
      <c r="C187" s="3">
        <v>21</v>
      </c>
      <c r="D187" s="3">
        <v>2</v>
      </c>
      <c r="E187" s="3">
        <f>((1/(INDEX(E0!J$4:J$28,C187,1)-INDEX(E0!J$4:J$28,D187,1))))*100000000</f>
        <v>0</v>
      </c>
      <c r="F187" s="4" t="str">
        <f>HYPERLINK("http://141.218.60.56/~jnz1568/getInfo.php?workbook=04_01.xlsx&amp;sheet=A0&amp;row=187&amp;col=6&amp;number=&amp;sourceID=18","")</f>
        <v/>
      </c>
      <c r="G187" s="4" t="str">
        <f>HYPERLINK("http://141.218.60.56/~jnz1568/getInfo.php?workbook=04_01.xlsx&amp;sheet=A0&amp;row=187&amp;col=7&amp;number==&amp;sourceID=11","=")</f>
        <v>=</v>
      </c>
      <c r="H187" s="4" t="str">
        <f>HYPERLINK("http://141.218.60.56/~jnz1568/getInfo.php?workbook=04_01.xlsx&amp;sheet=A0&amp;row=187&amp;col=8&amp;number=&amp;sourceID=11","")</f>
        <v/>
      </c>
      <c r="I187" s="4" t="str">
        <f>HYPERLINK("http://141.218.60.56/~jnz1568/getInfo.php?workbook=04_01.xlsx&amp;sheet=A0&amp;row=187&amp;col=9&amp;number=131650&amp;sourceID=11","131650")</f>
        <v>131650</v>
      </c>
      <c r="J187" s="4" t="str">
        <f>HYPERLINK("http://141.218.60.56/~jnz1568/getInfo.php?workbook=04_01.xlsx&amp;sheet=A0&amp;row=187&amp;col=10&amp;number=&amp;sourceID=11","")</f>
        <v/>
      </c>
      <c r="K187" s="4" t="str">
        <f>HYPERLINK("http://141.218.60.56/~jnz1568/getInfo.php?workbook=04_01.xlsx&amp;sheet=A0&amp;row=187&amp;col=11&amp;number=&amp;sourceID=11","")</f>
        <v/>
      </c>
      <c r="L187" s="4" t="str">
        <f>HYPERLINK("http://141.218.60.56/~jnz1568/getInfo.php?workbook=04_01.xlsx&amp;sheet=A0&amp;row=187&amp;col=12&amp;number=&amp;sourceID=11","")</f>
        <v/>
      </c>
      <c r="M187" s="4" t="str">
        <f>HYPERLINK("http://141.218.60.56/~jnz1568/getInfo.php?workbook=04_01.xlsx&amp;sheet=A0&amp;row=187&amp;col=13&amp;number=4.7807e-06&amp;sourceID=11","4.7807e-06")</f>
        <v>4.7807e-06</v>
      </c>
      <c r="N187" s="4" t="str">
        <f>HYPERLINK("http://141.218.60.56/~jnz1568/getInfo.php?workbook=04_01.xlsx&amp;sheet=A0&amp;row=187&amp;col=14&amp;number=131650&amp;sourceID=12","131650")</f>
        <v>131650</v>
      </c>
      <c r="O187" s="4" t="str">
        <f>HYPERLINK("http://141.218.60.56/~jnz1568/getInfo.php?workbook=04_01.xlsx&amp;sheet=A0&amp;row=187&amp;col=15&amp;number=&amp;sourceID=12","")</f>
        <v/>
      </c>
      <c r="P187" s="4" t="str">
        <f>HYPERLINK("http://141.218.60.56/~jnz1568/getInfo.php?workbook=04_01.xlsx&amp;sheet=A0&amp;row=187&amp;col=16&amp;number=131650&amp;sourceID=12","131650")</f>
        <v>131650</v>
      </c>
      <c r="Q187" s="4" t="str">
        <f>HYPERLINK("http://141.218.60.56/~jnz1568/getInfo.php?workbook=04_01.xlsx&amp;sheet=A0&amp;row=187&amp;col=17&amp;number=&amp;sourceID=12","")</f>
        <v/>
      </c>
      <c r="R187" s="4" t="str">
        <f>HYPERLINK("http://141.218.60.56/~jnz1568/getInfo.php?workbook=04_01.xlsx&amp;sheet=A0&amp;row=187&amp;col=18&amp;number=&amp;sourceID=12","")</f>
        <v/>
      </c>
      <c r="S187" s="4" t="str">
        <f>HYPERLINK("http://141.218.60.56/~jnz1568/getInfo.php?workbook=04_01.xlsx&amp;sheet=A0&amp;row=187&amp;col=19&amp;number=&amp;sourceID=12","")</f>
        <v/>
      </c>
      <c r="T187" s="4" t="str">
        <f>HYPERLINK("http://141.218.60.56/~jnz1568/getInfo.php?workbook=04_01.xlsx&amp;sheet=A0&amp;row=187&amp;col=20&amp;number=4.7809e-06&amp;sourceID=12","4.7809e-06")</f>
        <v>4.7809e-06</v>
      </c>
      <c r="U187" s="4" t="str">
        <f>HYPERLINK("http://141.218.60.56/~jnz1568/getInfo.php?workbook=04_01.xlsx&amp;sheet=A0&amp;row=187&amp;col=21&amp;number=&amp;sourceID=20","")</f>
        <v/>
      </c>
    </row>
    <row r="188" spans="1:21">
      <c r="A188" s="3">
        <v>4</v>
      </c>
      <c r="B188" s="3">
        <v>1</v>
      </c>
      <c r="C188" s="3">
        <v>21</v>
      </c>
      <c r="D188" s="3">
        <v>3</v>
      </c>
      <c r="E188" s="3">
        <f>((1/(INDEX(E0!J$4:J$28,C188,1)-INDEX(E0!J$4:J$28,D188,1))))*100000000</f>
        <v>0</v>
      </c>
      <c r="F188" s="4" t="str">
        <f>HYPERLINK("http://141.218.60.56/~jnz1568/getInfo.php?workbook=04_01.xlsx&amp;sheet=A0&amp;row=188&amp;col=6&amp;number=&amp;sourceID=18","")</f>
        <v/>
      </c>
      <c r="G188" s="4" t="str">
        <f>HYPERLINK("http://141.218.60.56/~jnz1568/getInfo.php?workbook=04_01.xlsx&amp;sheet=A0&amp;row=188&amp;col=7&amp;number==&amp;sourceID=11","=")</f>
        <v>=</v>
      </c>
      <c r="H188" s="4" t="str">
        <f>HYPERLINK("http://141.218.60.56/~jnz1568/getInfo.php?workbook=04_01.xlsx&amp;sheet=A0&amp;row=188&amp;col=8&amp;number=&amp;sourceID=11","")</f>
        <v/>
      </c>
      <c r="I188" s="4" t="str">
        <f>HYPERLINK("http://141.218.60.56/~jnz1568/getInfo.php?workbook=04_01.xlsx&amp;sheet=A0&amp;row=188&amp;col=9&amp;number=&amp;sourceID=11","")</f>
        <v/>
      </c>
      <c r="J188" s="4" t="str">
        <f>HYPERLINK("http://141.218.60.56/~jnz1568/getInfo.php?workbook=04_01.xlsx&amp;sheet=A0&amp;row=188&amp;col=10&amp;number=4.6232&amp;sourceID=11","4.6232")</f>
        <v>4.6232</v>
      </c>
      <c r="K188" s="4" t="str">
        <f>HYPERLINK("http://141.218.60.56/~jnz1568/getInfo.php?workbook=04_01.xlsx&amp;sheet=A0&amp;row=188&amp;col=11&amp;number=&amp;sourceID=11","")</f>
        <v/>
      </c>
      <c r="L188" s="4" t="str">
        <f>HYPERLINK("http://141.218.60.56/~jnz1568/getInfo.php?workbook=04_01.xlsx&amp;sheet=A0&amp;row=188&amp;col=12&amp;number=1.2073e-09&amp;sourceID=11","1.2073e-09")</f>
        <v>1.2073e-09</v>
      </c>
      <c r="M188" s="4" t="str">
        <f>HYPERLINK("http://141.218.60.56/~jnz1568/getInfo.php?workbook=04_01.xlsx&amp;sheet=A0&amp;row=188&amp;col=13&amp;number=&amp;sourceID=11","")</f>
        <v/>
      </c>
      <c r="N188" s="4" t="str">
        <f>HYPERLINK("http://141.218.60.56/~jnz1568/getInfo.php?workbook=04_01.xlsx&amp;sheet=A0&amp;row=188&amp;col=14&amp;number=4.6234&amp;sourceID=12","4.6234")</f>
        <v>4.6234</v>
      </c>
      <c r="O188" s="4" t="str">
        <f>HYPERLINK("http://141.218.60.56/~jnz1568/getInfo.php?workbook=04_01.xlsx&amp;sheet=A0&amp;row=188&amp;col=15&amp;number=&amp;sourceID=12","")</f>
        <v/>
      </c>
      <c r="P188" s="4" t="str">
        <f>HYPERLINK("http://141.218.60.56/~jnz1568/getInfo.php?workbook=04_01.xlsx&amp;sheet=A0&amp;row=188&amp;col=16&amp;number=&amp;sourceID=12","")</f>
        <v/>
      </c>
      <c r="Q188" s="4" t="str">
        <f>HYPERLINK("http://141.218.60.56/~jnz1568/getInfo.php?workbook=04_01.xlsx&amp;sheet=A0&amp;row=188&amp;col=17&amp;number=4.6234&amp;sourceID=12","4.6234")</f>
        <v>4.6234</v>
      </c>
      <c r="R188" s="4" t="str">
        <f>HYPERLINK("http://141.218.60.56/~jnz1568/getInfo.php?workbook=04_01.xlsx&amp;sheet=A0&amp;row=188&amp;col=18&amp;number=&amp;sourceID=12","")</f>
        <v/>
      </c>
      <c r="S188" s="4" t="str">
        <f>HYPERLINK("http://141.218.60.56/~jnz1568/getInfo.php?workbook=04_01.xlsx&amp;sheet=A0&amp;row=188&amp;col=19&amp;number=1.2394e-09&amp;sourceID=12","1.2394e-09")</f>
        <v>1.2394e-09</v>
      </c>
      <c r="T188" s="4" t="str">
        <f>HYPERLINK("http://141.218.60.56/~jnz1568/getInfo.php?workbook=04_01.xlsx&amp;sheet=A0&amp;row=188&amp;col=20&amp;number=&amp;sourceID=12","")</f>
        <v/>
      </c>
      <c r="U188" s="4" t="str">
        <f>HYPERLINK("http://141.218.60.56/~jnz1568/getInfo.php?workbook=04_01.xlsx&amp;sheet=A0&amp;row=188&amp;col=21&amp;number=&amp;sourceID=20","")</f>
        <v/>
      </c>
    </row>
    <row r="189" spans="1:21">
      <c r="A189" s="3">
        <v>4</v>
      </c>
      <c r="B189" s="3">
        <v>1</v>
      </c>
      <c r="C189" s="3">
        <v>21</v>
      </c>
      <c r="D189" s="3">
        <v>4</v>
      </c>
      <c r="E189" s="3">
        <f>((1/(INDEX(E0!J$4:J$28,C189,1)-INDEX(E0!J$4:J$28,D189,1))))*100000000</f>
        <v>0</v>
      </c>
      <c r="F189" s="4" t="str">
        <f>HYPERLINK("http://141.218.60.56/~jnz1568/getInfo.php?workbook=04_01.xlsx&amp;sheet=A0&amp;row=189&amp;col=6&amp;number=&amp;sourceID=18","")</f>
        <v/>
      </c>
      <c r="G189" s="4" t="str">
        <f>HYPERLINK("http://141.218.60.56/~jnz1568/getInfo.php?workbook=04_01.xlsx&amp;sheet=A0&amp;row=189&amp;col=7&amp;number==&amp;sourceID=11","=")</f>
        <v>=</v>
      </c>
      <c r="H189" s="4" t="str">
        <f>HYPERLINK("http://141.218.60.56/~jnz1568/getInfo.php?workbook=04_01.xlsx&amp;sheet=A0&amp;row=189&amp;col=8&amp;number=&amp;sourceID=11","")</f>
        <v/>
      </c>
      <c r="I189" s="4" t="str">
        <f>HYPERLINK("http://141.218.60.56/~jnz1568/getInfo.php?workbook=04_01.xlsx&amp;sheet=A0&amp;row=189&amp;col=9&amp;number=37607&amp;sourceID=11","37607")</f>
        <v>37607</v>
      </c>
      <c r="J189" s="4" t="str">
        <f>HYPERLINK("http://141.218.60.56/~jnz1568/getInfo.php?workbook=04_01.xlsx&amp;sheet=A0&amp;row=189&amp;col=10&amp;number=&amp;sourceID=11","")</f>
        <v/>
      </c>
      <c r="K189" s="4" t="str">
        <f>HYPERLINK("http://141.218.60.56/~jnz1568/getInfo.php?workbook=04_01.xlsx&amp;sheet=A0&amp;row=189&amp;col=11&amp;number=4.055e-05&amp;sourceID=11","4.055e-05")</f>
        <v>4.055e-05</v>
      </c>
      <c r="L189" s="4" t="str">
        <f>HYPERLINK("http://141.218.60.56/~jnz1568/getInfo.php?workbook=04_01.xlsx&amp;sheet=A0&amp;row=189&amp;col=12&amp;number=&amp;sourceID=11","")</f>
        <v/>
      </c>
      <c r="M189" s="4" t="str">
        <f>HYPERLINK("http://141.218.60.56/~jnz1568/getInfo.php?workbook=04_01.xlsx&amp;sheet=A0&amp;row=189&amp;col=13&amp;number=9.5568e-07&amp;sourceID=11","9.5568e-07")</f>
        <v>9.5568e-07</v>
      </c>
      <c r="N189" s="4" t="str">
        <f>HYPERLINK("http://141.218.60.56/~jnz1568/getInfo.php?workbook=04_01.xlsx&amp;sheet=A0&amp;row=189&amp;col=14&amp;number=37609&amp;sourceID=12","37609")</f>
        <v>37609</v>
      </c>
      <c r="O189" s="4" t="str">
        <f>HYPERLINK("http://141.218.60.56/~jnz1568/getInfo.php?workbook=04_01.xlsx&amp;sheet=A0&amp;row=189&amp;col=15&amp;number=&amp;sourceID=12","")</f>
        <v/>
      </c>
      <c r="P189" s="4" t="str">
        <f>HYPERLINK("http://141.218.60.56/~jnz1568/getInfo.php?workbook=04_01.xlsx&amp;sheet=A0&amp;row=189&amp;col=16&amp;number=37609&amp;sourceID=12","37609")</f>
        <v>37609</v>
      </c>
      <c r="Q189" s="4" t="str">
        <f>HYPERLINK("http://141.218.60.56/~jnz1568/getInfo.php?workbook=04_01.xlsx&amp;sheet=A0&amp;row=189&amp;col=17&amp;number=&amp;sourceID=12","")</f>
        <v/>
      </c>
      <c r="R189" s="4" t="str">
        <f>HYPERLINK("http://141.218.60.56/~jnz1568/getInfo.php?workbook=04_01.xlsx&amp;sheet=A0&amp;row=189&amp;col=18&amp;number=4.0592e-05&amp;sourceID=12","4.0592e-05")</f>
        <v>4.0592e-05</v>
      </c>
      <c r="S189" s="4" t="str">
        <f>HYPERLINK("http://141.218.60.56/~jnz1568/getInfo.php?workbook=04_01.xlsx&amp;sheet=A0&amp;row=189&amp;col=19&amp;number=&amp;sourceID=12","")</f>
        <v/>
      </c>
      <c r="T189" s="4" t="str">
        <f>HYPERLINK("http://141.218.60.56/~jnz1568/getInfo.php?workbook=04_01.xlsx&amp;sheet=A0&amp;row=189&amp;col=20&amp;number=9.5574e-07&amp;sourceID=12","9.5574e-07")</f>
        <v>9.5574e-07</v>
      </c>
      <c r="U189" s="4" t="str">
        <f>HYPERLINK("http://141.218.60.56/~jnz1568/getInfo.php?workbook=04_01.xlsx&amp;sheet=A0&amp;row=189&amp;col=21&amp;number=&amp;sourceID=20","")</f>
        <v/>
      </c>
    </row>
    <row r="190" spans="1:21">
      <c r="A190" s="3">
        <v>4</v>
      </c>
      <c r="B190" s="3">
        <v>1</v>
      </c>
      <c r="C190" s="3">
        <v>21</v>
      </c>
      <c r="D190" s="3">
        <v>5</v>
      </c>
      <c r="E190" s="3">
        <f>((1/(INDEX(E0!J$4:J$28,C190,1)-INDEX(E0!J$4:J$28,D190,1))))*100000000</f>
        <v>0</v>
      </c>
      <c r="F190" s="4" t="str">
        <f>HYPERLINK("http://141.218.60.56/~jnz1568/getInfo.php?workbook=04_01.xlsx&amp;sheet=A0&amp;row=190&amp;col=6&amp;number=&amp;sourceID=18","")</f>
        <v/>
      </c>
      <c r="G190" s="4" t="str">
        <f>HYPERLINK("http://141.218.60.56/~jnz1568/getInfo.php?workbook=04_01.xlsx&amp;sheet=A0&amp;row=190&amp;col=7&amp;number==&amp;sourceID=11","=")</f>
        <v>=</v>
      </c>
      <c r="H190" s="4" t="str">
        <f>HYPERLINK("http://141.218.60.56/~jnz1568/getInfo.php?workbook=04_01.xlsx&amp;sheet=A0&amp;row=190&amp;col=8&amp;number=&amp;sourceID=11","")</f>
        <v/>
      </c>
      <c r="I190" s="4" t="str">
        <f>HYPERLINK("http://141.218.60.56/~jnz1568/getInfo.php?workbook=04_01.xlsx&amp;sheet=A0&amp;row=190&amp;col=9&amp;number=83.704&amp;sourceID=11","83.704")</f>
        <v>83.704</v>
      </c>
      <c r="J190" s="4" t="str">
        <f>HYPERLINK("http://141.218.60.56/~jnz1568/getInfo.php?workbook=04_01.xlsx&amp;sheet=A0&amp;row=190&amp;col=10&amp;number=&amp;sourceID=11","")</f>
        <v/>
      </c>
      <c r="K190" s="4" t="str">
        <f>HYPERLINK("http://141.218.60.56/~jnz1568/getInfo.php?workbook=04_01.xlsx&amp;sheet=A0&amp;row=190&amp;col=11&amp;number=&amp;sourceID=11","")</f>
        <v/>
      </c>
      <c r="L190" s="4" t="str">
        <f>HYPERLINK("http://141.218.60.56/~jnz1568/getInfo.php?workbook=04_01.xlsx&amp;sheet=A0&amp;row=190&amp;col=12&amp;number=&amp;sourceID=11","")</f>
        <v/>
      </c>
      <c r="M190" s="4" t="str">
        <f>HYPERLINK("http://141.218.60.56/~jnz1568/getInfo.php?workbook=04_01.xlsx&amp;sheet=A0&amp;row=190&amp;col=13&amp;number=3.4837e-10&amp;sourceID=11","3.4837e-10")</f>
        <v>3.4837e-10</v>
      </c>
      <c r="N190" s="4" t="str">
        <f>HYPERLINK("http://141.218.60.56/~jnz1568/getInfo.php?workbook=04_01.xlsx&amp;sheet=A0&amp;row=190&amp;col=14&amp;number=83.71&amp;sourceID=12","83.71")</f>
        <v>83.71</v>
      </c>
      <c r="O190" s="4" t="str">
        <f>HYPERLINK("http://141.218.60.56/~jnz1568/getInfo.php?workbook=04_01.xlsx&amp;sheet=A0&amp;row=190&amp;col=15&amp;number=&amp;sourceID=12","")</f>
        <v/>
      </c>
      <c r="P190" s="4" t="str">
        <f>HYPERLINK("http://141.218.60.56/~jnz1568/getInfo.php?workbook=04_01.xlsx&amp;sheet=A0&amp;row=190&amp;col=16&amp;number=83.71&amp;sourceID=12","83.71")</f>
        <v>83.71</v>
      </c>
      <c r="Q190" s="4" t="str">
        <f>HYPERLINK("http://141.218.60.56/~jnz1568/getInfo.php?workbook=04_01.xlsx&amp;sheet=A0&amp;row=190&amp;col=17&amp;number=&amp;sourceID=12","")</f>
        <v/>
      </c>
      <c r="R190" s="4" t="str">
        <f>HYPERLINK("http://141.218.60.56/~jnz1568/getInfo.php?workbook=04_01.xlsx&amp;sheet=A0&amp;row=190&amp;col=18&amp;number=&amp;sourceID=12","")</f>
        <v/>
      </c>
      <c r="S190" s="4" t="str">
        <f>HYPERLINK("http://141.218.60.56/~jnz1568/getInfo.php?workbook=04_01.xlsx&amp;sheet=A0&amp;row=190&amp;col=19&amp;number=&amp;sourceID=12","")</f>
        <v/>
      </c>
      <c r="T190" s="4" t="str">
        <f>HYPERLINK("http://141.218.60.56/~jnz1568/getInfo.php?workbook=04_01.xlsx&amp;sheet=A0&amp;row=190&amp;col=20&amp;number=3.4839e-10&amp;sourceID=12","3.4839e-10")</f>
        <v>3.4839e-10</v>
      </c>
      <c r="U190" s="4" t="str">
        <f>HYPERLINK("http://141.218.60.56/~jnz1568/getInfo.php?workbook=04_01.xlsx&amp;sheet=A0&amp;row=190&amp;col=21&amp;number=&amp;sourceID=20","")</f>
        <v/>
      </c>
    </row>
    <row r="191" spans="1:21">
      <c r="A191" s="3">
        <v>4</v>
      </c>
      <c r="B191" s="3">
        <v>1</v>
      </c>
      <c r="C191" s="3">
        <v>21</v>
      </c>
      <c r="D191" s="3">
        <v>6</v>
      </c>
      <c r="E191" s="3">
        <f>((1/(INDEX(E0!J$4:J$28,C191,1)-INDEX(E0!J$4:J$28,D191,1))))*100000000</f>
        <v>0</v>
      </c>
      <c r="F191" s="4" t="str">
        <f>HYPERLINK("http://141.218.60.56/~jnz1568/getInfo.php?workbook=04_01.xlsx&amp;sheet=A0&amp;row=191&amp;col=6&amp;number=&amp;sourceID=18","")</f>
        <v/>
      </c>
      <c r="G191" s="4" t="str">
        <f>HYPERLINK("http://141.218.60.56/~jnz1568/getInfo.php?workbook=04_01.xlsx&amp;sheet=A0&amp;row=191&amp;col=7&amp;number==&amp;sourceID=11","=")</f>
        <v>=</v>
      </c>
      <c r="H191" s="4" t="str">
        <f>HYPERLINK("http://141.218.60.56/~jnz1568/getInfo.php?workbook=04_01.xlsx&amp;sheet=A0&amp;row=191&amp;col=8&amp;number=&amp;sourceID=11","")</f>
        <v/>
      </c>
      <c r="I191" s="4" t="str">
        <f>HYPERLINK("http://141.218.60.56/~jnz1568/getInfo.php?workbook=04_01.xlsx&amp;sheet=A0&amp;row=191&amp;col=9&amp;number=&amp;sourceID=11","")</f>
        <v/>
      </c>
      <c r="J191" s="4" t="str">
        <f>HYPERLINK("http://141.218.60.56/~jnz1568/getInfo.php?workbook=04_01.xlsx&amp;sheet=A0&amp;row=191&amp;col=10&amp;number=0.069724&amp;sourceID=11","0.069724")</f>
        <v>0.069724</v>
      </c>
      <c r="K191" s="4" t="str">
        <f>HYPERLINK("http://141.218.60.56/~jnz1568/getInfo.php?workbook=04_01.xlsx&amp;sheet=A0&amp;row=191&amp;col=11&amp;number=&amp;sourceID=11","")</f>
        <v/>
      </c>
      <c r="L191" s="4" t="str">
        <f>HYPERLINK("http://141.218.60.56/~jnz1568/getInfo.php?workbook=04_01.xlsx&amp;sheet=A0&amp;row=191&amp;col=12&amp;number=1.374e-12&amp;sourceID=11","1.374e-12")</f>
        <v>1.374e-12</v>
      </c>
      <c r="M191" s="4" t="str">
        <f>HYPERLINK("http://141.218.60.56/~jnz1568/getInfo.php?workbook=04_01.xlsx&amp;sheet=A0&amp;row=191&amp;col=13&amp;number=&amp;sourceID=11","")</f>
        <v/>
      </c>
      <c r="N191" s="4" t="str">
        <f>HYPERLINK("http://141.218.60.56/~jnz1568/getInfo.php?workbook=04_01.xlsx&amp;sheet=A0&amp;row=191&amp;col=14&amp;number=0.069729&amp;sourceID=12","0.069729")</f>
        <v>0.069729</v>
      </c>
      <c r="O191" s="4" t="str">
        <f>HYPERLINK("http://141.218.60.56/~jnz1568/getInfo.php?workbook=04_01.xlsx&amp;sheet=A0&amp;row=191&amp;col=15&amp;number=&amp;sourceID=12","")</f>
        <v/>
      </c>
      <c r="P191" s="4" t="str">
        <f>HYPERLINK("http://141.218.60.56/~jnz1568/getInfo.php?workbook=04_01.xlsx&amp;sheet=A0&amp;row=191&amp;col=16&amp;number=&amp;sourceID=12","")</f>
        <v/>
      </c>
      <c r="Q191" s="4" t="str">
        <f>HYPERLINK("http://141.218.60.56/~jnz1568/getInfo.php?workbook=04_01.xlsx&amp;sheet=A0&amp;row=191&amp;col=17&amp;number=0.069729&amp;sourceID=12","0.069729")</f>
        <v>0.069729</v>
      </c>
      <c r="R191" s="4" t="str">
        <f>HYPERLINK("http://141.218.60.56/~jnz1568/getInfo.php?workbook=04_01.xlsx&amp;sheet=A0&amp;row=191&amp;col=18&amp;number=&amp;sourceID=12","")</f>
        <v/>
      </c>
      <c r="S191" s="4" t="str">
        <f>HYPERLINK("http://141.218.60.56/~jnz1568/getInfo.php?workbook=04_01.xlsx&amp;sheet=A0&amp;row=191&amp;col=19&amp;number=1.38e-12&amp;sourceID=12","1.38e-12")</f>
        <v>1.38e-12</v>
      </c>
      <c r="T191" s="4" t="str">
        <f>HYPERLINK("http://141.218.60.56/~jnz1568/getInfo.php?workbook=04_01.xlsx&amp;sheet=A0&amp;row=191&amp;col=20&amp;number=&amp;sourceID=12","")</f>
        <v/>
      </c>
      <c r="U191" s="4" t="str">
        <f>HYPERLINK("http://141.218.60.56/~jnz1568/getInfo.php?workbook=04_01.xlsx&amp;sheet=A0&amp;row=191&amp;col=21&amp;number=&amp;sourceID=20","")</f>
        <v/>
      </c>
    </row>
    <row r="192" spans="1:21">
      <c r="A192" s="3">
        <v>4</v>
      </c>
      <c r="B192" s="3">
        <v>1</v>
      </c>
      <c r="C192" s="3">
        <v>21</v>
      </c>
      <c r="D192" s="3">
        <v>7</v>
      </c>
      <c r="E192" s="3">
        <f>((1/(INDEX(E0!J$4:J$28,C192,1)-INDEX(E0!J$4:J$28,D192,1))))*100000000</f>
        <v>0</v>
      </c>
      <c r="F192" s="4" t="str">
        <f>HYPERLINK("http://141.218.60.56/~jnz1568/getInfo.php?workbook=04_01.xlsx&amp;sheet=A0&amp;row=192&amp;col=6&amp;number=&amp;sourceID=18","")</f>
        <v/>
      </c>
      <c r="G192" s="4" t="str">
        <f>HYPERLINK("http://141.218.60.56/~jnz1568/getInfo.php?workbook=04_01.xlsx&amp;sheet=A0&amp;row=192&amp;col=7&amp;number==&amp;sourceID=11","=")</f>
        <v>=</v>
      </c>
      <c r="H192" s="4" t="str">
        <f>HYPERLINK("http://141.218.60.56/~jnz1568/getInfo.php?workbook=04_01.xlsx&amp;sheet=A0&amp;row=192&amp;col=8&amp;number=1086000000&amp;sourceID=11","1086000000")</f>
        <v>1086000000</v>
      </c>
      <c r="I192" s="4" t="str">
        <f>HYPERLINK("http://141.218.60.56/~jnz1568/getInfo.php?workbook=04_01.xlsx&amp;sheet=A0&amp;row=192&amp;col=9&amp;number=&amp;sourceID=11","")</f>
        <v/>
      </c>
      <c r="J192" s="4" t="str">
        <f>HYPERLINK("http://141.218.60.56/~jnz1568/getInfo.php?workbook=04_01.xlsx&amp;sheet=A0&amp;row=192&amp;col=10&amp;number=0.0018291&amp;sourceID=11","0.0018291")</f>
        <v>0.0018291</v>
      </c>
      <c r="K192" s="4" t="str">
        <f>HYPERLINK("http://141.218.60.56/~jnz1568/getInfo.php?workbook=04_01.xlsx&amp;sheet=A0&amp;row=192&amp;col=11&amp;number=&amp;sourceID=11","")</f>
        <v/>
      </c>
      <c r="L192" s="4" t="str">
        <f>HYPERLINK("http://141.218.60.56/~jnz1568/getInfo.php?workbook=04_01.xlsx&amp;sheet=A0&amp;row=192&amp;col=12&amp;number=0.044496&amp;sourceID=11","0.044496")</f>
        <v>0.044496</v>
      </c>
      <c r="M192" s="4" t="str">
        <f>HYPERLINK("http://141.218.60.56/~jnz1568/getInfo.php?workbook=04_01.xlsx&amp;sheet=A0&amp;row=192&amp;col=13&amp;number=&amp;sourceID=11","")</f>
        <v/>
      </c>
      <c r="N192" s="4" t="str">
        <f>HYPERLINK("http://141.218.60.56/~jnz1568/getInfo.php?workbook=04_01.xlsx&amp;sheet=A0&amp;row=192&amp;col=14&amp;number=1086000000&amp;sourceID=12","1086000000")</f>
        <v>1086000000</v>
      </c>
      <c r="O192" s="4" t="str">
        <f>HYPERLINK("http://141.218.60.56/~jnz1568/getInfo.php?workbook=04_01.xlsx&amp;sheet=A0&amp;row=192&amp;col=15&amp;number=1086000000&amp;sourceID=12","1086000000")</f>
        <v>1086000000</v>
      </c>
      <c r="P192" s="4" t="str">
        <f>HYPERLINK("http://141.218.60.56/~jnz1568/getInfo.php?workbook=04_01.xlsx&amp;sheet=A0&amp;row=192&amp;col=16&amp;number=&amp;sourceID=12","")</f>
        <v/>
      </c>
      <c r="Q192" s="4" t="str">
        <f>HYPERLINK("http://141.218.60.56/~jnz1568/getInfo.php?workbook=04_01.xlsx&amp;sheet=A0&amp;row=192&amp;col=17&amp;number=0.0018292&amp;sourceID=12","0.0018292")</f>
        <v>0.0018292</v>
      </c>
      <c r="R192" s="4" t="str">
        <f>HYPERLINK("http://141.218.60.56/~jnz1568/getInfo.php?workbook=04_01.xlsx&amp;sheet=A0&amp;row=192&amp;col=18&amp;number=&amp;sourceID=12","")</f>
        <v/>
      </c>
      <c r="S192" s="4" t="str">
        <f>HYPERLINK("http://141.218.60.56/~jnz1568/getInfo.php?workbook=04_01.xlsx&amp;sheet=A0&amp;row=192&amp;col=19&amp;number=0.044499&amp;sourceID=12","0.044499")</f>
        <v>0.044499</v>
      </c>
      <c r="T192" s="4" t="str">
        <f>HYPERLINK("http://141.218.60.56/~jnz1568/getInfo.php?workbook=04_01.xlsx&amp;sheet=A0&amp;row=192&amp;col=20&amp;number=&amp;sourceID=12","")</f>
        <v/>
      </c>
      <c r="U192" s="4" t="str">
        <f>HYPERLINK("http://141.218.60.56/~jnz1568/getInfo.php?workbook=04_01.xlsx&amp;sheet=A0&amp;row=192&amp;col=21&amp;number=&amp;sourceID=20","")</f>
        <v/>
      </c>
    </row>
    <row r="193" spans="1:21">
      <c r="A193" s="3">
        <v>4</v>
      </c>
      <c r="B193" s="3">
        <v>1</v>
      </c>
      <c r="C193" s="3">
        <v>21</v>
      </c>
      <c r="D193" s="3">
        <v>8</v>
      </c>
      <c r="E193" s="3">
        <f>((1/(INDEX(E0!J$4:J$28,C193,1)-INDEX(E0!J$4:J$28,D193,1))))*100000000</f>
        <v>0</v>
      </c>
      <c r="F193" s="4" t="str">
        <f>HYPERLINK("http://141.218.60.56/~jnz1568/getInfo.php?workbook=04_01.xlsx&amp;sheet=A0&amp;row=193&amp;col=6&amp;number=&amp;sourceID=18","")</f>
        <v/>
      </c>
      <c r="G193" s="4" t="str">
        <f>HYPERLINK("http://141.218.60.56/~jnz1568/getInfo.php?workbook=04_01.xlsx&amp;sheet=A0&amp;row=193&amp;col=7&amp;number==&amp;sourceID=11","=")</f>
        <v>=</v>
      </c>
      <c r="H193" s="4" t="str">
        <f>HYPERLINK("http://141.218.60.56/~jnz1568/getInfo.php?workbook=04_01.xlsx&amp;sheet=A0&amp;row=193&amp;col=8&amp;number=&amp;sourceID=11","")</f>
        <v/>
      </c>
      <c r="I193" s="4" t="str">
        <f>HYPERLINK("http://141.218.60.56/~jnz1568/getInfo.php?workbook=04_01.xlsx&amp;sheet=A0&amp;row=193&amp;col=9&amp;number=23.556&amp;sourceID=11","23.556")</f>
        <v>23.556</v>
      </c>
      <c r="J193" s="4" t="str">
        <f>HYPERLINK("http://141.218.60.56/~jnz1568/getInfo.php?workbook=04_01.xlsx&amp;sheet=A0&amp;row=193&amp;col=10&amp;number=&amp;sourceID=11","")</f>
        <v/>
      </c>
      <c r="K193" s="4" t="str">
        <f>HYPERLINK("http://141.218.60.56/~jnz1568/getInfo.php?workbook=04_01.xlsx&amp;sheet=A0&amp;row=193&amp;col=11&amp;number=7.1252e-07&amp;sourceID=11","7.1252e-07")</f>
        <v>7.1252e-07</v>
      </c>
      <c r="L193" s="4" t="str">
        <f>HYPERLINK("http://141.218.60.56/~jnz1568/getInfo.php?workbook=04_01.xlsx&amp;sheet=A0&amp;row=193&amp;col=12&amp;number=&amp;sourceID=11","")</f>
        <v/>
      </c>
      <c r="M193" s="4" t="str">
        <f>HYPERLINK("http://141.218.60.56/~jnz1568/getInfo.php?workbook=04_01.xlsx&amp;sheet=A0&amp;row=193&amp;col=13&amp;number=6.8618e-11&amp;sourceID=11","6.8618e-11")</f>
        <v>6.8618e-11</v>
      </c>
      <c r="N193" s="4" t="str">
        <f>HYPERLINK("http://141.218.60.56/~jnz1568/getInfo.php?workbook=04_01.xlsx&amp;sheet=A0&amp;row=193&amp;col=14&amp;number=23.557&amp;sourceID=12","23.557")</f>
        <v>23.557</v>
      </c>
      <c r="O193" s="4" t="str">
        <f>HYPERLINK("http://141.218.60.56/~jnz1568/getInfo.php?workbook=04_01.xlsx&amp;sheet=A0&amp;row=193&amp;col=15&amp;number=&amp;sourceID=12","")</f>
        <v/>
      </c>
      <c r="P193" s="4" t="str">
        <f>HYPERLINK("http://141.218.60.56/~jnz1568/getInfo.php?workbook=04_01.xlsx&amp;sheet=A0&amp;row=193&amp;col=16&amp;number=23.557&amp;sourceID=12","23.557")</f>
        <v>23.557</v>
      </c>
      <c r="Q193" s="4" t="str">
        <f>HYPERLINK("http://141.218.60.56/~jnz1568/getInfo.php?workbook=04_01.xlsx&amp;sheet=A0&amp;row=193&amp;col=17&amp;number=&amp;sourceID=12","")</f>
        <v/>
      </c>
      <c r="R193" s="4" t="str">
        <f>HYPERLINK("http://141.218.60.56/~jnz1568/getInfo.php?workbook=04_01.xlsx&amp;sheet=A0&amp;row=193&amp;col=18&amp;number=7.1261e-07&amp;sourceID=12","7.1261e-07")</f>
        <v>7.1261e-07</v>
      </c>
      <c r="S193" s="4" t="str">
        <f>HYPERLINK("http://141.218.60.56/~jnz1568/getInfo.php?workbook=04_01.xlsx&amp;sheet=A0&amp;row=193&amp;col=19&amp;number=&amp;sourceID=12","")</f>
        <v/>
      </c>
      <c r="T193" s="4" t="str">
        <f>HYPERLINK("http://141.218.60.56/~jnz1568/getInfo.php?workbook=04_01.xlsx&amp;sheet=A0&amp;row=193&amp;col=20&amp;number=6.8622e-11&amp;sourceID=12","6.8622e-11")</f>
        <v>6.8622e-11</v>
      </c>
      <c r="U193" s="4" t="str">
        <f>HYPERLINK("http://141.218.60.56/~jnz1568/getInfo.php?workbook=04_01.xlsx&amp;sheet=A0&amp;row=193&amp;col=21&amp;number=&amp;sourceID=20","")</f>
        <v/>
      </c>
    </row>
    <row r="194" spans="1:21">
      <c r="A194" s="3">
        <v>4</v>
      </c>
      <c r="B194" s="3">
        <v>1</v>
      </c>
      <c r="C194" s="3">
        <v>21</v>
      </c>
      <c r="D194" s="3">
        <v>9</v>
      </c>
      <c r="E194" s="3">
        <f>((1/(INDEX(E0!J$4:J$28,C194,1)-INDEX(E0!J$4:J$28,D194,1))))*100000000</f>
        <v>0</v>
      </c>
      <c r="F194" s="4" t="str">
        <f>HYPERLINK("http://141.218.60.56/~jnz1568/getInfo.php?workbook=04_01.xlsx&amp;sheet=A0&amp;row=194&amp;col=6&amp;number=&amp;sourceID=18","")</f>
        <v/>
      </c>
      <c r="G194" s="4" t="str">
        <f>HYPERLINK("http://141.218.60.56/~jnz1568/getInfo.php?workbook=04_01.xlsx&amp;sheet=A0&amp;row=194&amp;col=7&amp;number==&amp;sourceID=11","=")</f>
        <v>=</v>
      </c>
      <c r="H194" s="4" t="str">
        <f>HYPERLINK("http://141.218.60.56/~jnz1568/getInfo.php?workbook=04_01.xlsx&amp;sheet=A0&amp;row=194&amp;col=8&amp;number=77547000&amp;sourceID=11","77547000")</f>
        <v>77547000</v>
      </c>
      <c r="I194" s="4" t="str">
        <f>HYPERLINK("http://141.218.60.56/~jnz1568/getInfo.php?workbook=04_01.xlsx&amp;sheet=A0&amp;row=194&amp;col=9&amp;number=&amp;sourceID=11","")</f>
        <v/>
      </c>
      <c r="J194" s="4" t="str">
        <f>HYPERLINK("http://141.218.60.56/~jnz1568/getInfo.php?workbook=04_01.xlsx&amp;sheet=A0&amp;row=194&amp;col=10&amp;number=0.0012211&amp;sourceID=11","0.0012211")</f>
        <v>0.0012211</v>
      </c>
      <c r="K194" s="4" t="str">
        <f>HYPERLINK("http://141.218.60.56/~jnz1568/getInfo.php?workbook=04_01.xlsx&amp;sheet=A0&amp;row=194&amp;col=11&amp;number=&amp;sourceID=11","")</f>
        <v/>
      </c>
      <c r="L194" s="4" t="str">
        <f>HYPERLINK("http://141.218.60.56/~jnz1568/getInfo.php?workbook=04_01.xlsx&amp;sheet=A0&amp;row=194&amp;col=12&amp;number=&amp;sourceID=11","")</f>
        <v/>
      </c>
      <c r="M194" s="4" t="str">
        <f>HYPERLINK("http://141.218.60.56/~jnz1568/getInfo.php?workbook=04_01.xlsx&amp;sheet=A0&amp;row=194&amp;col=13&amp;number=&amp;sourceID=11","")</f>
        <v/>
      </c>
      <c r="N194" s="4" t="str">
        <f>HYPERLINK("http://141.218.60.56/~jnz1568/getInfo.php?workbook=04_01.xlsx&amp;sheet=A0&amp;row=194&amp;col=14&amp;number=77552000&amp;sourceID=12","77552000")</f>
        <v>77552000</v>
      </c>
      <c r="O194" s="4" t="str">
        <f>HYPERLINK("http://141.218.60.56/~jnz1568/getInfo.php?workbook=04_01.xlsx&amp;sheet=A0&amp;row=194&amp;col=15&amp;number=77552000&amp;sourceID=12","77552000")</f>
        <v>77552000</v>
      </c>
      <c r="P194" s="4" t="str">
        <f>HYPERLINK("http://141.218.60.56/~jnz1568/getInfo.php?workbook=04_01.xlsx&amp;sheet=A0&amp;row=194&amp;col=16&amp;number=&amp;sourceID=12","")</f>
        <v/>
      </c>
      <c r="Q194" s="4" t="str">
        <f>HYPERLINK("http://141.218.60.56/~jnz1568/getInfo.php?workbook=04_01.xlsx&amp;sheet=A0&amp;row=194&amp;col=17&amp;number=0.0012212&amp;sourceID=12","0.0012212")</f>
        <v>0.0012212</v>
      </c>
      <c r="R194" s="4" t="str">
        <f>HYPERLINK("http://141.218.60.56/~jnz1568/getInfo.php?workbook=04_01.xlsx&amp;sheet=A0&amp;row=194&amp;col=18&amp;number=&amp;sourceID=12","")</f>
        <v/>
      </c>
      <c r="S194" s="4" t="str">
        <f>HYPERLINK("http://141.218.60.56/~jnz1568/getInfo.php?workbook=04_01.xlsx&amp;sheet=A0&amp;row=194&amp;col=19&amp;number=&amp;sourceID=12","")</f>
        <v/>
      </c>
      <c r="T194" s="4" t="str">
        <f>HYPERLINK("http://141.218.60.56/~jnz1568/getInfo.php?workbook=04_01.xlsx&amp;sheet=A0&amp;row=194&amp;col=20&amp;number=&amp;sourceID=12","")</f>
        <v/>
      </c>
      <c r="U194" s="4" t="str">
        <f>HYPERLINK("http://141.218.60.56/~jnz1568/getInfo.php?workbook=04_01.xlsx&amp;sheet=A0&amp;row=194&amp;col=21&amp;number=&amp;sourceID=20","")</f>
        <v/>
      </c>
    </row>
    <row r="195" spans="1:21">
      <c r="A195" s="3">
        <v>4</v>
      </c>
      <c r="B195" s="3">
        <v>1</v>
      </c>
      <c r="C195" s="3">
        <v>21</v>
      </c>
      <c r="D195" s="3">
        <v>10</v>
      </c>
      <c r="E195" s="3">
        <f>((1/(INDEX(E0!J$4:J$28,C195,1)-INDEX(E0!J$4:J$28,D195,1))))*100000000</f>
        <v>0</v>
      </c>
      <c r="F195" s="4" t="str">
        <f>HYPERLINK("http://141.218.60.56/~jnz1568/getInfo.php?workbook=04_01.xlsx&amp;sheet=A0&amp;row=195&amp;col=6&amp;number=&amp;sourceID=18","")</f>
        <v/>
      </c>
      <c r="G195" s="4" t="str">
        <f>HYPERLINK("http://141.218.60.56/~jnz1568/getInfo.php?workbook=04_01.xlsx&amp;sheet=A0&amp;row=195&amp;col=7&amp;number==&amp;sourceID=11","=")</f>
        <v>=</v>
      </c>
      <c r="H195" s="4" t="str">
        <f>HYPERLINK("http://141.218.60.56/~jnz1568/getInfo.php?workbook=04_01.xlsx&amp;sheet=A0&amp;row=195&amp;col=8&amp;number=&amp;sourceID=11","")</f>
        <v/>
      </c>
      <c r="I195" s="4" t="str">
        <f>HYPERLINK("http://141.218.60.56/~jnz1568/getInfo.php?workbook=04_01.xlsx&amp;sheet=A0&amp;row=195&amp;col=9&amp;number=2988.8&amp;sourceID=11","2988.8")</f>
        <v>2988.8</v>
      </c>
      <c r="J195" s="4" t="str">
        <f>HYPERLINK("http://141.218.60.56/~jnz1568/getInfo.php?workbook=04_01.xlsx&amp;sheet=A0&amp;row=195&amp;col=10&amp;number=&amp;sourceID=11","")</f>
        <v/>
      </c>
      <c r="K195" s="4" t="str">
        <f>HYPERLINK("http://141.218.60.56/~jnz1568/getInfo.php?workbook=04_01.xlsx&amp;sheet=A0&amp;row=195&amp;col=11&amp;number=&amp;sourceID=11","")</f>
        <v/>
      </c>
      <c r="L195" s="4" t="str">
        <f>HYPERLINK("http://141.218.60.56/~jnz1568/getInfo.php?workbook=04_01.xlsx&amp;sheet=A0&amp;row=195&amp;col=12&amp;number=&amp;sourceID=11","")</f>
        <v/>
      </c>
      <c r="M195" s="4" t="str">
        <f>HYPERLINK("http://141.218.60.56/~jnz1568/getInfo.php?workbook=04_01.xlsx&amp;sheet=A0&amp;row=195&amp;col=13&amp;number=1.2464e-09&amp;sourceID=11","1.2464e-09")</f>
        <v>1.2464e-09</v>
      </c>
      <c r="N195" s="4" t="str">
        <f>HYPERLINK("http://141.218.60.56/~jnz1568/getInfo.php?workbook=04_01.xlsx&amp;sheet=A0&amp;row=195&amp;col=14&amp;number=2989&amp;sourceID=12","2989")</f>
        <v>2989</v>
      </c>
      <c r="O195" s="4" t="str">
        <f>HYPERLINK("http://141.218.60.56/~jnz1568/getInfo.php?workbook=04_01.xlsx&amp;sheet=A0&amp;row=195&amp;col=15&amp;number=&amp;sourceID=12","")</f>
        <v/>
      </c>
      <c r="P195" s="4" t="str">
        <f>HYPERLINK("http://141.218.60.56/~jnz1568/getInfo.php?workbook=04_01.xlsx&amp;sheet=A0&amp;row=195&amp;col=16&amp;number=2989&amp;sourceID=12","2989")</f>
        <v>2989</v>
      </c>
      <c r="Q195" s="4" t="str">
        <f>HYPERLINK("http://141.218.60.56/~jnz1568/getInfo.php?workbook=04_01.xlsx&amp;sheet=A0&amp;row=195&amp;col=17&amp;number=&amp;sourceID=12","")</f>
        <v/>
      </c>
      <c r="R195" s="4" t="str">
        <f>HYPERLINK("http://141.218.60.56/~jnz1568/getInfo.php?workbook=04_01.xlsx&amp;sheet=A0&amp;row=195&amp;col=18&amp;number=&amp;sourceID=12","")</f>
        <v/>
      </c>
      <c r="S195" s="4" t="str">
        <f>HYPERLINK("http://141.218.60.56/~jnz1568/getInfo.php?workbook=04_01.xlsx&amp;sheet=A0&amp;row=195&amp;col=19&amp;number=&amp;sourceID=12","")</f>
        <v/>
      </c>
      <c r="T195" s="4" t="str">
        <f>HYPERLINK("http://141.218.60.56/~jnz1568/getInfo.php?workbook=04_01.xlsx&amp;sheet=A0&amp;row=195&amp;col=20&amp;number=1.2465e-09&amp;sourceID=12","1.2465e-09")</f>
        <v>1.2465e-09</v>
      </c>
      <c r="U195" s="4" t="str">
        <f>HYPERLINK("http://141.218.60.56/~jnz1568/getInfo.php?workbook=04_01.xlsx&amp;sheet=A0&amp;row=195&amp;col=21&amp;number=&amp;sourceID=20","")</f>
        <v/>
      </c>
    </row>
    <row r="196" spans="1:21">
      <c r="A196" s="3">
        <v>4</v>
      </c>
      <c r="B196" s="3">
        <v>1</v>
      </c>
      <c r="C196" s="3">
        <v>21</v>
      </c>
      <c r="D196" s="3">
        <v>11</v>
      </c>
      <c r="E196" s="3">
        <f>((1/(INDEX(E0!J$4:J$28,C196,1)-INDEX(E0!J$4:J$28,D196,1))))*100000000</f>
        <v>0</v>
      </c>
      <c r="F196" s="4" t="str">
        <f>HYPERLINK("http://141.218.60.56/~jnz1568/getInfo.php?workbook=04_01.xlsx&amp;sheet=A0&amp;row=196&amp;col=6&amp;number=&amp;sourceID=18","")</f>
        <v/>
      </c>
      <c r="G196" s="4" t="str">
        <f>HYPERLINK("http://141.218.60.56/~jnz1568/getInfo.php?workbook=04_01.xlsx&amp;sheet=A0&amp;row=196&amp;col=7&amp;number==&amp;sourceID=11","=")</f>
        <v>=</v>
      </c>
      <c r="H196" s="4" t="str">
        <f>HYPERLINK("http://141.218.60.56/~jnz1568/getInfo.php?workbook=04_01.xlsx&amp;sheet=A0&amp;row=196&amp;col=8&amp;number=&amp;sourceID=11","")</f>
        <v/>
      </c>
      <c r="I196" s="4" t="str">
        <f>HYPERLINK("http://141.218.60.56/~jnz1568/getInfo.php?workbook=04_01.xlsx&amp;sheet=A0&amp;row=196&amp;col=9&amp;number=&amp;sourceID=11","")</f>
        <v/>
      </c>
      <c r="J196" s="4" t="str">
        <f>HYPERLINK("http://141.218.60.56/~jnz1568/getInfo.php?workbook=04_01.xlsx&amp;sheet=A0&amp;row=196&amp;col=10&amp;number=0.008157&amp;sourceID=11","0.008157")</f>
        <v>0.008157</v>
      </c>
      <c r="K196" s="4" t="str">
        <f>HYPERLINK("http://141.218.60.56/~jnz1568/getInfo.php?workbook=04_01.xlsx&amp;sheet=A0&amp;row=196&amp;col=11&amp;number=&amp;sourceID=11","")</f>
        <v/>
      </c>
      <c r="L196" s="4" t="str">
        <f>HYPERLINK("http://141.218.60.56/~jnz1568/getInfo.php?workbook=04_01.xlsx&amp;sheet=A0&amp;row=196&amp;col=12&amp;number=1.08e-13&amp;sourceID=11","1.08e-13")</f>
        <v>1.08e-13</v>
      </c>
      <c r="M196" s="4" t="str">
        <f>HYPERLINK("http://141.218.60.56/~jnz1568/getInfo.php?workbook=04_01.xlsx&amp;sheet=A0&amp;row=196&amp;col=13&amp;number=&amp;sourceID=11","")</f>
        <v/>
      </c>
      <c r="N196" s="4" t="str">
        <f>HYPERLINK("http://141.218.60.56/~jnz1568/getInfo.php?workbook=04_01.xlsx&amp;sheet=A0&amp;row=196&amp;col=14&amp;number=0.0081575&amp;sourceID=12","0.0081575")</f>
        <v>0.0081575</v>
      </c>
      <c r="O196" s="4" t="str">
        <f>HYPERLINK("http://141.218.60.56/~jnz1568/getInfo.php?workbook=04_01.xlsx&amp;sheet=A0&amp;row=196&amp;col=15&amp;number=&amp;sourceID=12","")</f>
        <v/>
      </c>
      <c r="P196" s="4" t="str">
        <f>HYPERLINK("http://141.218.60.56/~jnz1568/getInfo.php?workbook=04_01.xlsx&amp;sheet=A0&amp;row=196&amp;col=16&amp;number=&amp;sourceID=12","")</f>
        <v/>
      </c>
      <c r="Q196" s="4" t="str">
        <f>HYPERLINK("http://141.218.60.56/~jnz1568/getInfo.php?workbook=04_01.xlsx&amp;sheet=A0&amp;row=196&amp;col=17&amp;number=0.0081575&amp;sourceID=12","0.0081575")</f>
        <v>0.0081575</v>
      </c>
      <c r="R196" s="4" t="str">
        <f>HYPERLINK("http://141.218.60.56/~jnz1568/getInfo.php?workbook=04_01.xlsx&amp;sheet=A0&amp;row=196&amp;col=18&amp;number=&amp;sourceID=12","")</f>
        <v/>
      </c>
      <c r="S196" s="4" t="str">
        <f>HYPERLINK("http://141.218.60.56/~jnz1568/getInfo.php?workbook=04_01.xlsx&amp;sheet=A0&amp;row=196&amp;col=19&amp;number=1.08e-13&amp;sourceID=12","1.08e-13")</f>
        <v>1.08e-13</v>
      </c>
      <c r="T196" s="4" t="str">
        <f>HYPERLINK("http://141.218.60.56/~jnz1568/getInfo.php?workbook=04_01.xlsx&amp;sheet=A0&amp;row=196&amp;col=20&amp;number=&amp;sourceID=12","")</f>
        <v/>
      </c>
      <c r="U196" s="4" t="str">
        <f>HYPERLINK("http://141.218.60.56/~jnz1568/getInfo.php?workbook=04_01.xlsx&amp;sheet=A0&amp;row=196&amp;col=21&amp;number=&amp;sourceID=20","")</f>
        <v/>
      </c>
    </row>
    <row r="197" spans="1:21">
      <c r="A197" s="3">
        <v>4</v>
      </c>
      <c r="B197" s="3">
        <v>1</v>
      </c>
      <c r="C197" s="3">
        <v>21</v>
      </c>
      <c r="D197" s="3">
        <v>12</v>
      </c>
      <c r="E197" s="3">
        <f>((1/(INDEX(E0!J$4:J$28,C197,1)-INDEX(E0!J$4:J$28,D197,1))))*100000000</f>
        <v>0</v>
      </c>
      <c r="F197" s="4" t="str">
        <f>HYPERLINK("http://141.218.60.56/~jnz1568/getInfo.php?workbook=04_01.xlsx&amp;sheet=A0&amp;row=197&amp;col=6&amp;number=&amp;sourceID=18","")</f>
        <v/>
      </c>
      <c r="G197" s="4" t="str">
        <f>HYPERLINK("http://141.218.60.56/~jnz1568/getInfo.php?workbook=04_01.xlsx&amp;sheet=A0&amp;row=197&amp;col=7&amp;number==&amp;sourceID=11","=")</f>
        <v>=</v>
      </c>
      <c r="H197" s="4" t="str">
        <f>HYPERLINK("http://141.218.60.56/~jnz1568/getInfo.php?workbook=04_01.xlsx&amp;sheet=A0&amp;row=197&amp;col=8&amp;number=617830000&amp;sourceID=11","617830000")</f>
        <v>617830000</v>
      </c>
      <c r="I197" s="4" t="str">
        <f>HYPERLINK("http://141.218.60.56/~jnz1568/getInfo.php?workbook=04_01.xlsx&amp;sheet=A0&amp;row=197&amp;col=9&amp;number=&amp;sourceID=11","")</f>
        <v/>
      </c>
      <c r="J197" s="4" t="str">
        <f>HYPERLINK("http://141.218.60.56/~jnz1568/getInfo.php?workbook=04_01.xlsx&amp;sheet=A0&amp;row=197&amp;col=10&amp;number=0.0031338&amp;sourceID=11","0.0031338")</f>
        <v>0.0031338</v>
      </c>
      <c r="K197" s="4" t="str">
        <f>HYPERLINK("http://141.218.60.56/~jnz1568/getInfo.php?workbook=04_01.xlsx&amp;sheet=A0&amp;row=197&amp;col=11&amp;number=&amp;sourceID=11","")</f>
        <v/>
      </c>
      <c r="L197" s="4" t="str">
        <f>HYPERLINK("http://141.218.60.56/~jnz1568/getInfo.php?workbook=04_01.xlsx&amp;sheet=A0&amp;row=197&amp;col=12&amp;number=0.0025347&amp;sourceID=11","0.0025347")</f>
        <v>0.0025347</v>
      </c>
      <c r="M197" s="4" t="str">
        <f>HYPERLINK("http://141.218.60.56/~jnz1568/getInfo.php?workbook=04_01.xlsx&amp;sheet=A0&amp;row=197&amp;col=13&amp;number=&amp;sourceID=11","")</f>
        <v/>
      </c>
      <c r="N197" s="4" t="str">
        <f>HYPERLINK("http://141.218.60.56/~jnz1568/getInfo.php?workbook=04_01.xlsx&amp;sheet=A0&amp;row=197&amp;col=14&amp;number=617860000&amp;sourceID=12","617860000")</f>
        <v>617860000</v>
      </c>
      <c r="O197" s="4" t="str">
        <f>HYPERLINK("http://141.218.60.56/~jnz1568/getInfo.php?workbook=04_01.xlsx&amp;sheet=A0&amp;row=197&amp;col=15&amp;number=617860000&amp;sourceID=12","617860000")</f>
        <v>617860000</v>
      </c>
      <c r="P197" s="4" t="str">
        <f>HYPERLINK("http://141.218.60.56/~jnz1568/getInfo.php?workbook=04_01.xlsx&amp;sheet=A0&amp;row=197&amp;col=16&amp;number=&amp;sourceID=12","")</f>
        <v/>
      </c>
      <c r="Q197" s="4" t="str">
        <f>HYPERLINK("http://141.218.60.56/~jnz1568/getInfo.php?workbook=04_01.xlsx&amp;sheet=A0&amp;row=197&amp;col=17&amp;number=0.003134&amp;sourceID=12","0.003134")</f>
        <v>0.003134</v>
      </c>
      <c r="R197" s="4" t="str">
        <f>HYPERLINK("http://141.218.60.56/~jnz1568/getInfo.php?workbook=04_01.xlsx&amp;sheet=A0&amp;row=197&amp;col=18&amp;number=&amp;sourceID=12","")</f>
        <v/>
      </c>
      <c r="S197" s="4" t="str">
        <f>HYPERLINK("http://141.218.60.56/~jnz1568/getInfo.php?workbook=04_01.xlsx&amp;sheet=A0&amp;row=197&amp;col=19&amp;number=0.0025349&amp;sourceID=12","0.0025349")</f>
        <v>0.0025349</v>
      </c>
      <c r="T197" s="4" t="str">
        <f>HYPERLINK("http://141.218.60.56/~jnz1568/getInfo.php?workbook=04_01.xlsx&amp;sheet=A0&amp;row=197&amp;col=20&amp;number=&amp;sourceID=12","")</f>
        <v/>
      </c>
      <c r="U197" s="4" t="str">
        <f>HYPERLINK("http://141.218.60.56/~jnz1568/getInfo.php?workbook=04_01.xlsx&amp;sheet=A0&amp;row=197&amp;col=21&amp;number=&amp;sourceID=20","")</f>
        <v/>
      </c>
    </row>
    <row r="198" spans="1:21">
      <c r="A198" s="3">
        <v>4</v>
      </c>
      <c r="B198" s="3">
        <v>1</v>
      </c>
      <c r="C198" s="3">
        <v>21</v>
      </c>
      <c r="D198" s="3">
        <v>13</v>
      </c>
      <c r="E198" s="3">
        <f>((1/(INDEX(E0!J$4:J$28,C198,1)-INDEX(E0!J$4:J$28,D198,1))))*100000000</f>
        <v>0</v>
      </c>
      <c r="F198" s="4" t="str">
        <f>HYPERLINK("http://141.218.60.56/~jnz1568/getInfo.php?workbook=04_01.xlsx&amp;sheet=A0&amp;row=198&amp;col=6&amp;number=&amp;sourceID=18","")</f>
        <v/>
      </c>
      <c r="G198" s="4" t="str">
        <f>HYPERLINK("http://141.218.60.56/~jnz1568/getInfo.php?workbook=04_01.xlsx&amp;sheet=A0&amp;row=198&amp;col=7&amp;number==SUM(H198:M198)&amp;sourceID=11","=SUM(H198:M198)")</f>
        <v>=SUM(H198:M198)</v>
      </c>
      <c r="H198" s="4" t="str">
        <f>HYPERLINK("http://141.218.60.56/~jnz1568/getInfo.php?workbook=04_01.xlsx&amp;sheet=A0&amp;row=198&amp;col=8&amp;number=&amp;sourceID=11","")</f>
        <v/>
      </c>
      <c r="I198" s="4" t="str">
        <f>HYPERLINK("http://141.218.60.56/~jnz1568/getInfo.php?workbook=04_01.xlsx&amp;sheet=A0&amp;row=198&amp;col=9&amp;number=853.26&amp;sourceID=11","853.26")</f>
        <v>853.26</v>
      </c>
      <c r="J198" s="4" t="str">
        <f>HYPERLINK("http://141.218.60.56/~jnz1568/getInfo.php?workbook=04_01.xlsx&amp;sheet=A0&amp;row=198&amp;col=10&amp;number=&amp;sourceID=11","")</f>
        <v/>
      </c>
      <c r="K198" s="4" t="str">
        <f>HYPERLINK("http://141.218.60.56/~jnz1568/getInfo.php?workbook=04_01.xlsx&amp;sheet=A0&amp;row=198&amp;col=11&amp;number=3.8959e-08&amp;sourceID=11","3.8959e-08")</f>
        <v>3.8959e-08</v>
      </c>
      <c r="L198" s="4" t="str">
        <f>HYPERLINK("http://141.218.60.56/~jnz1568/getInfo.php?workbook=04_01.xlsx&amp;sheet=A0&amp;row=198&amp;col=12&amp;number=&amp;sourceID=11","")</f>
        <v/>
      </c>
      <c r="M198" s="4" t="str">
        <f>HYPERLINK("http://141.218.60.56/~jnz1568/getInfo.php?workbook=04_01.xlsx&amp;sheet=A0&amp;row=198&amp;col=13&amp;number=2.4894e-10&amp;sourceID=11","2.4894e-10")</f>
        <v>2.4894e-10</v>
      </c>
      <c r="N198" s="4" t="str">
        <f>HYPERLINK("http://141.218.60.56/~jnz1568/getInfo.php?workbook=04_01.xlsx&amp;sheet=A0&amp;row=198&amp;col=14&amp;number=853.31&amp;sourceID=12","853.31")</f>
        <v>853.31</v>
      </c>
      <c r="O198" s="4" t="str">
        <f>HYPERLINK("http://141.218.60.56/~jnz1568/getInfo.php?workbook=04_01.xlsx&amp;sheet=A0&amp;row=198&amp;col=15&amp;number=&amp;sourceID=12","")</f>
        <v/>
      </c>
      <c r="P198" s="4" t="str">
        <f>HYPERLINK("http://141.218.60.56/~jnz1568/getInfo.php?workbook=04_01.xlsx&amp;sheet=A0&amp;row=198&amp;col=16&amp;number=853.31&amp;sourceID=12","853.31")</f>
        <v>853.31</v>
      </c>
      <c r="Q198" s="4" t="str">
        <f>HYPERLINK("http://141.218.60.56/~jnz1568/getInfo.php?workbook=04_01.xlsx&amp;sheet=A0&amp;row=198&amp;col=17&amp;number=&amp;sourceID=12","")</f>
        <v/>
      </c>
      <c r="R198" s="4" t="str">
        <f>HYPERLINK("http://141.218.60.56/~jnz1568/getInfo.php?workbook=04_01.xlsx&amp;sheet=A0&amp;row=198&amp;col=18&amp;number=3.8962e-08&amp;sourceID=12","3.8962e-08")</f>
        <v>3.8962e-08</v>
      </c>
      <c r="S198" s="4" t="str">
        <f>HYPERLINK("http://141.218.60.56/~jnz1568/getInfo.php?workbook=04_01.xlsx&amp;sheet=A0&amp;row=198&amp;col=19&amp;number=&amp;sourceID=12","")</f>
        <v/>
      </c>
      <c r="T198" s="4" t="str">
        <f>HYPERLINK("http://141.218.60.56/~jnz1568/getInfo.php?workbook=04_01.xlsx&amp;sheet=A0&amp;row=198&amp;col=20&amp;number=2.4896e-10&amp;sourceID=12","2.4896e-10")</f>
        <v>2.4896e-10</v>
      </c>
      <c r="U198" s="4" t="str">
        <f>HYPERLINK("http://141.218.60.56/~jnz1568/getInfo.php?workbook=04_01.xlsx&amp;sheet=A0&amp;row=198&amp;col=21&amp;number=&amp;sourceID=20","")</f>
        <v/>
      </c>
    </row>
    <row r="199" spans="1:21">
      <c r="A199" s="3">
        <v>4</v>
      </c>
      <c r="B199" s="3">
        <v>1</v>
      </c>
      <c r="C199" s="3">
        <v>21</v>
      </c>
      <c r="D199" s="3">
        <v>14</v>
      </c>
      <c r="E199" s="3">
        <f>((1/(INDEX(E0!J$4:J$28,C199,1)-INDEX(E0!J$4:J$28,D199,1))))*100000000</f>
        <v>0</v>
      </c>
      <c r="F199" s="4" t="str">
        <f>HYPERLINK("http://141.218.60.56/~jnz1568/getInfo.php?workbook=04_01.xlsx&amp;sheet=A0&amp;row=199&amp;col=6&amp;number=&amp;sourceID=18","")</f>
        <v/>
      </c>
      <c r="G199" s="4" t="str">
        <f>HYPERLINK("http://141.218.60.56/~jnz1568/getInfo.php?workbook=04_01.xlsx&amp;sheet=A0&amp;row=199&amp;col=7&amp;number==&amp;sourceID=11","=")</f>
        <v>=</v>
      </c>
      <c r="H199" s="4" t="str">
        <f>HYPERLINK("http://141.218.60.56/~jnz1568/getInfo.php?workbook=04_01.xlsx&amp;sheet=A0&amp;row=199&amp;col=8&amp;number=&amp;sourceID=11","")</f>
        <v/>
      </c>
      <c r="I199" s="4" t="str">
        <f>HYPERLINK("http://141.218.60.56/~jnz1568/getInfo.php?workbook=04_01.xlsx&amp;sheet=A0&amp;row=199&amp;col=9&amp;number=537.13&amp;sourceID=11","537.13")</f>
        <v>537.13</v>
      </c>
      <c r="J199" s="4" t="str">
        <f>HYPERLINK("http://141.218.60.56/~jnz1568/getInfo.php?workbook=04_01.xlsx&amp;sheet=A0&amp;row=199&amp;col=10&amp;number=&amp;sourceID=11","")</f>
        <v/>
      </c>
      <c r="K199" s="4" t="str">
        <f>HYPERLINK("http://141.218.60.56/~jnz1568/getInfo.php?workbook=04_01.xlsx&amp;sheet=A0&amp;row=199&amp;col=11&amp;number=1.3437e-06&amp;sourceID=11","1.3437e-06")</f>
        <v>1.3437e-06</v>
      </c>
      <c r="L199" s="4" t="str">
        <f>HYPERLINK("http://141.218.60.56/~jnz1568/getInfo.php?workbook=04_01.xlsx&amp;sheet=A0&amp;row=199&amp;col=12&amp;number=&amp;sourceID=11","")</f>
        <v/>
      </c>
      <c r="M199" s="4" t="str">
        <f>HYPERLINK("http://141.218.60.56/~jnz1568/getInfo.php?workbook=04_01.xlsx&amp;sheet=A0&amp;row=199&amp;col=13&amp;number=2.1151e-09&amp;sourceID=11","2.1151e-09")</f>
        <v>2.1151e-09</v>
      </c>
      <c r="N199" s="4" t="str">
        <f>HYPERLINK("http://141.218.60.56/~jnz1568/getInfo.php?workbook=04_01.xlsx&amp;sheet=A0&amp;row=199&amp;col=14&amp;number=537.16&amp;sourceID=12","537.16")</f>
        <v>537.16</v>
      </c>
      <c r="O199" s="4" t="str">
        <f>HYPERLINK("http://141.218.60.56/~jnz1568/getInfo.php?workbook=04_01.xlsx&amp;sheet=A0&amp;row=199&amp;col=15&amp;number=&amp;sourceID=12","")</f>
        <v/>
      </c>
      <c r="P199" s="4" t="str">
        <f>HYPERLINK("http://141.218.60.56/~jnz1568/getInfo.php?workbook=04_01.xlsx&amp;sheet=A0&amp;row=199&amp;col=16&amp;number=537.16&amp;sourceID=12","537.16")</f>
        <v>537.16</v>
      </c>
      <c r="Q199" s="4" t="str">
        <f>HYPERLINK("http://141.218.60.56/~jnz1568/getInfo.php?workbook=04_01.xlsx&amp;sheet=A0&amp;row=199&amp;col=17&amp;number=&amp;sourceID=12","")</f>
        <v/>
      </c>
      <c r="R199" s="4" t="str">
        <f>HYPERLINK("http://141.218.60.56/~jnz1568/getInfo.php?workbook=04_01.xlsx&amp;sheet=A0&amp;row=199&amp;col=18&amp;number=1.3438e-06&amp;sourceID=12","1.3438e-06")</f>
        <v>1.3438e-06</v>
      </c>
      <c r="S199" s="4" t="str">
        <f>HYPERLINK("http://141.218.60.56/~jnz1568/getInfo.php?workbook=04_01.xlsx&amp;sheet=A0&amp;row=199&amp;col=19&amp;number=&amp;sourceID=12","")</f>
        <v/>
      </c>
      <c r="T199" s="4" t="str">
        <f>HYPERLINK("http://141.218.60.56/~jnz1568/getInfo.php?workbook=04_01.xlsx&amp;sheet=A0&amp;row=199&amp;col=20&amp;number=2.1152e-09&amp;sourceID=12","2.1152e-09")</f>
        <v>2.1152e-09</v>
      </c>
      <c r="U199" s="4" t="str">
        <f>HYPERLINK("http://141.218.60.56/~jnz1568/getInfo.php?workbook=04_01.xlsx&amp;sheet=A0&amp;row=199&amp;col=21&amp;number=&amp;sourceID=20","")</f>
        <v/>
      </c>
    </row>
    <row r="200" spans="1:21">
      <c r="A200" s="3">
        <v>4</v>
      </c>
      <c r="B200" s="3">
        <v>1</v>
      </c>
      <c r="C200" s="3">
        <v>21</v>
      </c>
      <c r="D200" s="3">
        <v>15</v>
      </c>
      <c r="E200" s="3">
        <f>((1/(INDEX(E0!J$4:J$28,C200,1)-INDEX(E0!J$4:J$28,D200,1))))*100000000</f>
        <v>0</v>
      </c>
      <c r="F200" s="4" t="str">
        <f>HYPERLINK("http://141.218.60.56/~jnz1568/getInfo.php?workbook=04_01.xlsx&amp;sheet=A0&amp;row=200&amp;col=6&amp;number=&amp;sourceID=18","")</f>
        <v/>
      </c>
      <c r="G200" s="4" t="str">
        <f>HYPERLINK("http://141.218.60.56/~jnz1568/getInfo.php?workbook=04_01.xlsx&amp;sheet=A0&amp;row=200&amp;col=7&amp;number==&amp;sourceID=11","=")</f>
        <v>=</v>
      </c>
      <c r="H200" s="4" t="str">
        <f>HYPERLINK("http://141.218.60.56/~jnz1568/getInfo.php?workbook=04_01.xlsx&amp;sheet=A0&amp;row=200&amp;col=8&amp;number=44130000&amp;sourceID=11","44130000")</f>
        <v>44130000</v>
      </c>
      <c r="I200" s="4" t="str">
        <f>HYPERLINK("http://141.218.60.56/~jnz1568/getInfo.php?workbook=04_01.xlsx&amp;sheet=A0&amp;row=200&amp;col=9&amp;number=&amp;sourceID=11","")</f>
        <v/>
      </c>
      <c r="J200" s="4" t="str">
        <f>HYPERLINK("http://141.218.60.56/~jnz1568/getInfo.php?workbook=04_01.xlsx&amp;sheet=A0&amp;row=200&amp;col=10&amp;number=0.0020884&amp;sourceID=11","0.0020884")</f>
        <v>0.0020884</v>
      </c>
      <c r="K200" s="4" t="str">
        <f>HYPERLINK("http://141.218.60.56/~jnz1568/getInfo.php?workbook=04_01.xlsx&amp;sheet=A0&amp;row=200&amp;col=11&amp;number=&amp;sourceID=11","")</f>
        <v/>
      </c>
      <c r="L200" s="4" t="str">
        <f>HYPERLINK("http://141.218.60.56/~jnz1568/getInfo.php?workbook=04_01.xlsx&amp;sheet=A0&amp;row=200&amp;col=12&amp;number=&amp;sourceID=11","")</f>
        <v/>
      </c>
      <c r="M200" s="4" t="str">
        <f>HYPERLINK("http://141.218.60.56/~jnz1568/getInfo.php?workbook=04_01.xlsx&amp;sheet=A0&amp;row=200&amp;col=13&amp;number=&amp;sourceID=11","")</f>
        <v/>
      </c>
      <c r="N200" s="4" t="str">
        <f>HYPERLINK("http://141.218.60.56/~jnz1568/getInfo.php?workbook=04_01.xlsx&amp;sheet=A0&amp;row=200&amp;col=14&amp;number=44133000&amp;sourceID=12","44133000")</f>
        <v>44133000</v>
      </c>
      <c r="O200" s="4" t="str">
        <f>HYPERLINK("http://141.218.60.56/~jnz1568/getInfo.php?workbook=04_01.xlsx&amp;sheet=A0&amp;row=200&amp;col=15&amp;number=44133000&amp;sourceID=12","44133000")</f>
        <v>44133000</v>
      </c>
      <c r="P200" s="4" t="str">
        <f>HYPERLINK("http://141.218.60.56/~jnz1568/getInfo.php?workbook=04_01.xlsx&amp;sheet=A0&amp;row=200&amp;col=16&amp;number=&amp;sourceID=12","")</f>
        <v/>
      </c>
      <c r="Q200" s="4" t="str">
        <f>HYPERLINK("http://141.218.60.56/~jnz1568/getInfo.php?workbook=04_01.xlsx&amp;sheet=A0&amp;row=200&amp;col=17&amp;number=0.0020885&amp;sourceID=12","0.0020885")</f>
        <v>0.0020885</v>
      </c>
      <c r="R200" s="4" t="str">
        <f>HYPERLINK("http://141.218.60.56/~jnz1568/getInfo.php?workbook=04_01.xlsx&amp;sheet=A0&amp;row=200&amp;col=18&amp;number=&amp;sourceID=12","")</f>
        <v/>
      </c>
      <c r="S200" s="4" t="str">
        <f>HYPERLINK("http://141.218.60.56/~jnz1568/getInfo.php?workbook=04_01.xlsx&amp;sheet=A0&amp;row=200&amp;col=19&amp;number=&amp;sourceID=12","")</f>
        <v/>
      </c>
      <c r="T200" s="4" t="str">
        <f>HYPERLINK("http://141.218.60.56/~jnz1568/getInfo.php?workbook=04_01.xlsx&amp;sheet=A0&amp;row=200&amp;col=20&amp;number=&amp;sourceID=12","")</f>
        <v/>
      </c>
      <c r="U200" s="4" t="str">
        <f>HYPERLINK("http://141.218.60.56/~jnz1568/getInfo.php?workbook=04_01.xlsx&amp;sheet=A0&amp;row=200&amp;col=21&amp;number=&amp;sourceID=20","")</f>
        <v/>
      </c>
    </row>
    <row r="201" spans="1:21">
      <c r="A201" s="3">
        <v>4</v>
      </c>
      <c r="B201" s="3">
        <v>1</v>
      </c>
      <c r="C201" s="3">
        <v>21</v>
      </c>
      <c r="D201" s="3">
        <v>16</v>
      </c>
      <c r="E201" s="3">
        <f>((1/(INDEX(E0!J$4:J$28,C201,1)-INDEX(E0!J$4:J$28,D201,1))))*100000000</f>
        <v>0</v>
      </c>
      <c r="F201" s="4" t="str">
        <f>HYPERLINK("http://141.218.60.56/~jnz1568/getInfo.php?workbook=04_01.xlsx&amp;sheet=A0&amp;row=201&amp;col=6&amp;number=&amp;sourceID=18","")</f>
        <v/>
      </c>
      <c r="G201" s="4" t="str">
        <f>HYPERLINK("http://141.218.60.56/~jnz1568/getInfo.php?workbook=04_01.xlsx&amp;sheet=A0&amp;row=201&amp;col=7&amp;number==&amp;sourceID=11","=")</f>
        <v>=</v>
      </c>
      <c r="H201" s="4" t="str">
        <f>HYPERLINK("http://141.218.60.56/~jnz1568/getInfo.php?workbook=04_01.xlsx&amp;sheet=A0&amp;row=201&amp;col=8&amp;number=&amp;sourceID=11","")</f>
        <v/>
      </c>
      <c r="I201" s="4" t="str">
        <f>HYPERLINK("http://141.218.60.56/~jnz1568/getInfo.php?workbook=04_01.xlsx&amp;sheet=A0&amp;row=201&amp;col=9&amp;number=89.516&amp;sourceID=11","89.516")</f>
        <v>89.516</v>
      </c>
      <c r="J201" s="4" t="str">
        <f>HYPERLINK("http://141.218.60.56/~jnz1568/getInfo.php?workbook=04_01.xlsx&amp;sheet=A0&amp;row=201&amp;col=10&amp;number=&amp;sourceID=11","")</f>
        <v/>
      </c>
      <c r="K201" s="4" t="str">
        <f>HYPERLINK("http://141.218.60.56/~jnz1568/getInfo.php?workbook=04_01.xlsx&amp;sheet=A0&amp;row=201&amp;col=11&amp;number=1.2527e-06&amp;sourceID=11","1.2527e-06")</f>
        <v>1.2527e-06</v>
      </c>
      <c r="L201" s="4" t="str">
        <f>HYPERLINK("http://141.218.60.56/~jnz1568/getInfo.php?workbook=04_01.xlsx&amp;sheet=A0&amp;row=201&amp;col=12&amp;number=&amp;sourceID=11","")</f>
        <v/>
      </c>
      <c r="M201" s="4" t="str">
        <f>HYPERLINK("http://141.218.60.56/~jnz1568/getInfo.php?workbook=04_01.xlsx&amp;sheet=A0&amp;row=201&amp;col=13&amp;number=2.6109e-10&amp;sourceID=11","2.6109e-10")</f>
        <v>2.6109e-10</v>
      </c>
      <c r="N201" s="4" t="str">
        <f>HYPERLINK("http://141.218.60.56/~jnz1568/getInfo.php?workbook=04_01.xlsx&amp;sheet=A0&amp;row=201&amp;col=14&amp;number=89.522&amp;sourceID=12","89.522")</f>
        <v>89.522</v>
      </c>
      <c r="O201" s="4" t="str">
        <f>HYPERLINK("http://141.218.60.56/~jnz1568/getInfo.php?workbook=04_01.xlsx&amp;sheet=A0&amp;row=201&amp;col=15&amp;number=&amp;sourceID=12","")</f>
        <v/>
      </c>
      <c r="P201" s="4" t="str">
        <f>HYPERLINK("http://141.218.60.56/~jnz1568/getInfo.php?workbook=04_01.xlsx&amp;sheet=A0&amp;row=201&amp;col=16&amp;number=89.522&amp;sourceID=12","89.522")</f>
        <v>89.522</v>
      </c>
      <c r="Q201" s="4" t="str">
        <f>HYPERLINK("http://141.218.60.56/~jnz1568/getInfo.php?workbook=04_01.xlsx&amp;sheet=A0&amp;row=201&amp;col=17&amp;number=&amp;sourceID=12","")</f>
        <v/>
      </c>
      <c r="R201" s="4" t="str">
        <f>HYPERLINK("http://141.218.60.56/~jnz1568/getInfo.php?workbook=04_01.xlsx&amp;sheet=A0&amp;row=201&amp;col=18&amp;number=1.2529e-06&amp;sourceID=12","1.2529e-06")</f>
        <v>1.2529e-06</v>
      </c>
      <c r="S201" s="4" t="str">
        <f>HYPERLINK("http://141.218.60.56/~jnz1568/getInfo.php?workbook=04_01.xlsx&amp;sheet=A0&amp;row=201&amp;col=19&amp;number=&amp;sourceID=12","")</f>
        <v/>
      </c>
      <c r="T201" s="4" t="str">
        <f>HYPERLINK("http://141.218.60.56/~jnz1568/getInfo.php?workbook=04_01.xlsx&amp;sheet=A0&amp;row=201&amp;col=20&amp;number=2.611e-10&amp;sourceID=12","2.611e-10")</f>
        <v>2.611e-10</v>
      </c>
      <c r="U201" s="4" t="str">
        <f>HYPERLINK("http://141.218.60.56/~jnz1568/getInfo.php?workbook=04_01.xlsx&amp;sheet=A0&amp;row=201&amp;col=21&amp;number=&amp;sourceID=20","")</f>
        <v/>
      </c>
    </row>
    <row r="202" spans="1:21">
      <c r="A202" s="3">
        <v>4</v>
      </c>
      <c r="B202" s="3">
        <v>1</v>
      </c>
      <c r="C202" s="3">
        <v>21</v>
      </c>
      <c r="D202" s="3">
        <v>17</v>
      </c>
      <c r="E202" s="3">
        <f>((1/(INDEX(E0!J$4:J$28,C202,1)-INDEX(E0!J$4:J$28,D202,1))))*100000000</f>
        <v>0</v>
      </c>
      <c r="F202" s="4" t="str">
        <f>HYPERLINK("http://141.218.60.56/~jnz1568/getInfo.php?workbook=04_01.xlsx&amp;sheet=A0&amp;row=202&amp;col=6&amp;number=&amp;sourceID=18","")</f>
        <v/>
      </c>
      <c r="G202" s="4" t="str">
        <f>HYPERLINK("http://141.218.60.56/~jnz1568/getInfo.php?workbook=04_01.xlsx&amp;sheet=A0&amp;row=202&amp;col=7&amp;number==&amp;sourceID=11","=")</f>
        <v>=</v>
      </c>
      <c r="H202" s="4" t="str">
        <f>HYPERLINK("http://141.218.60.56/~jnz1568/getInfo.php?workbook=04_01.xlsx&amp;sheet=A0&amp;row=202&amp;col=8&amp;number=&amp;sourceID=11","")</f>
        <v/>
      </c>
      <c r="I202" s="4" t="str">
        <f>HYPERLINK("http://141.218.60.56/~jnz1568/getInfo.php?workbook=04_01.xlsx&amp;sheet=A0&amp;row=202&amp;col=9&amp;number=4e-15&amp;sourceID=11","4e-15")</f>
        <v>4e-15</v>
      </c>
      <c r="J202" s="4" t="str">
        <f>HYPERLINK("http://141.218.60.56/~jnz1568/getInfo.php?workbook=04_01.xlsx&amp;sheet=A0&amp;row=202&amp;col=10&amp;number=&amp;sourceID=11","")</f>
        <v/>
      </c>
      <c r="K202" s="4" t="str">
        <f>HYPERLINK("http://141.218.60.56/~jnz1568/getInfo.php?workbook=04_01.xlsx&amp;sheet=A0&amp;row=202&amp;col=11&amp;number=&amp;sourceID=11","")</f>
        <v/>
      </c>
      <c r="L202" s="4" t="str">
        <f>HYPERLINK("http://141.218.60.56/~jnz1568/getInfo.php?workbook=04_01.xlsx&amp;sheet=A0&amp;row=202&amp;col=12&amp;number=&amp;sourceID=11","")</f>
        <v/>
      </c>
      <c r="M202" s="4" t="str">
        <f>HYPERLINK("http://141.218.60.56/~jnz1568/getInfo.php?workbook=04_01.xlsx&amp;sheet=A0&amp;row=202&amp;col=13&amp;number=0&amp;sourceID=11","0")</f>
        <v>0</v>
      </c>
      <c r="N202" s="4" t="str">
        <f>HYPERLINK("http://141.218.60.56/~jnz1568/getInfo.php?workbook=04_01.xlsx&amp;sheet=A0&amp;row=202&amp;col=14&amp;number=4e-15&amp;sourceID=12","4e-15")</f>
        <v>4e-15</v>
      </c>
      <c r="O202" s="4" t="str">
        <f>HYPERLINK("http://141.218.60.56/~jnz1568/getInfo.php?workbook=04_01.xlsx&amp;sheet=A0&amp;row=202&amp;col=15&amp;number=&amp;sourceID=12","")</f>
        <v/>
      </c>
      <c r="P202" s="4" t="str">
        <f>HYPERLINK("http://141.218.60.56/~jnz1568/getInfo.php?workbook=04_01.xlsx&amp;sheet=A0&amp;row=202&amp;col=16&amp;number=4e-15&amp;sourceID=12","4e-15")</f>
        <v>4e-15</v>
      </c>
      <c r="Q202" s="4" t="str">
        <f>HYPERLINK("http://141.218.60.56/~jnz1568/getInfo.php?workbook=04_01.xlsx&amp;sheet=A0&amp;row=202&amp;col=17&amp;number=&amp;sourceID=12","")</f>
        <v/>
      </c>
      <c r="R202" s="4" t="str">
        <f>HYPERLINK("http://141.218.60.56/~jnz1568/getInfo.php?workbook=04_01.xlsx&amp;sheet=A0&amp;row=202&amp;col=18&amp;number=&amp;sourceID=12","")</f>
        <v/>
      </c>
      <c r="S202" s="4" t="str">
        <f>HYPERLINK("http://141.218.60.56/~jnz1568/getInfo.php?workbook=04_01.xlsx&amp;sheet=A0&amp;row=202&amp;col=19&amp;number=&amp;sourceID=12","")</f>
        <v/>
      </c>
      <c r="T202" s="4" t="str">
        <f>HYPERLINK("http://141.218.60.56/~jnz1568/getInfo.php?workbook=04_01.xlsx&amp;sheet=A0&amp;row=202&amp;col=20&amp;number=0&amp;sourceID=12","0")</f>
        <v>0</v>
      </c>
      <c r="U202" s="4" t="str">
        <f>HYPERLINK("http://141.218.60.56/~jnz1568/getInfo.php?workbook=04_01.xlsx&amp;sheet=A0&amp;row=202&amp;col=21&amp;number=&amp;sourceID=20","")</f>
        <v/>
      </c>
    </row>
    <row r="203" spans="1:21">
      <c r="A203" s="3">
        <v>4</v>
      </c>
      <c r="B203" s="3">
        <v>1</v>
      </c>
      <c r="C203" s="3">
        <v>21</v>
      </c>
      <c r="D203" s="3">
        <v>18</v>
      </c>
      <c r="E203" s="3">
        <f>((1/(INDEX(E0!J$4:J$28,C203,1)-INDEX(E0!J$4:J$28,D203,1))))*100000000</f>
        <v>0</v>
      </c>
      <c r="F203" s="4" t="str">
        <f>HYPERLINK("http://141.218.60.56/~jnz1568/getInfo.php?workbook=04_01.xlsx&amp;sheet=A0&amp;row=203&amp;col=6&amp;number=&amp;sourceID=18","")</f>
        <v/>
      </c>
      <c r="G203" s="4" t="str">
        <f>HYPERLINK("http://141.218.60.56/~jnz1568/getInfo.php?workbook=04_01.xlsx&amp;sheet=A0&amp;row=203&amp;col=7&amp;number==&amp;sourceID=11","=")</f>
        <v>=</v>
      </c>
      <c r="H203" s="4" t="str">
        <f>HYPERLINK("http://141.218.60.56/~jnz1568/getInfo.php?workbook=04_01.xlsx&amp;sheet=A0&amp;row=203&amp;col=8&amp;number=&amp;sourceID=11","")</f>
        <v/>
      </c>
      <c r="I203" s="4" t="str">
        <f>HYPERLINK("http://141.218.60.56/~jnz1568/getInfo.php?workbook=04_01.xlsx&amp;sheet=A0&amp;row=203&amp;col=9&amp;number=&amp;sourceID=11","")</f>
        <v/>
      </c>
      <c r="J203" s="4" t="str">
        <f>HYPERLINK("http://141.218.60.56/~jnz1568/getInfo.php?workbook=04_01.xlsx&amp;sheet=A0&amp;row=203&amp;col=10&amp;number=0&amp;sourceID=11","0")</f>
        <v>0</v>
      </c>
      <c r="K203" s="4" t="str">
        <f>HYPERLINK("http://141.218.60.56/~jnz1568/getInfo.php?workbook=04_01.xlsx&amp;sheet=A0&amp;row=203&amp;col=11&amp;number=&amp;sourceID=11","")</f>
        <v/>
      </c>
      <c r="L203" s="4" t="str">
        <f>HYPERLINK("http://141.218.60.56/~jnz1568/getInfo.php?workbook=04_01.xlsx&amp;sheet=A0&amp;row=203&amp;col=12&amp;number=0&amp;sourceID=11","0")</f>
        <v>0</v>
      </c>
      <c r="M203" s="4" t="str">
        <f>HYPERLINK("http://141.218.60.56/~jnz1568/getInfo.php?workbook=04_01.xlsx&amp;sheet=A0&amp;row=203&amp;col=13&amp;number=&amp;sourceID=11","")</f>
        <v/>
      </c>
      <c r="N203" s="4" t="str">
        <f>HYPERLINK("http://141.218.60.56/~jnz1568/getInfo.php?workbook=04_01.xlsx&amp;sheet=A0&amp;row=203&amp;col=14&amp;number=0&amp;sourceID=12","0")</f>
        <v>0</v>
      </c>
      <c r="O203" s="4" t="str">
        <f>HYPERLINK("http://141.218.60.56/~jnz1568/getInfo.php?workbook=04_01.xlsx&amp;sheet=A0&amp;row=203&amp;col=15&amp;number=&amp;sourceID=12","")</f>
        <v/>
      </c>
      <c r="P203" s="4" t="str">
        <f>HYPERLINK("http://141.218.60.56/~jnz1568/getInfo.php?workbook=04_01.xlsx&amp;sheet=A0&amp;row=203&amp;col=16&amp;number=&amp;sourceID=12","")</f>
        <v/>
      </c>
      <c r="Q203" s="4" t="str">
        <f>HYPERLINK("http://141.218.60.56/~jnz1568/getInfo.php?workbook=04_01.xlsx&amp;sheet=A0&amp;row=203&amp;col=17&amp;number=0&amp;sourceID=12","0")</f>
        <v>0</v>
      </c>
      <c r="R203" s="4" t="str">
        <f>HYPERLINK("http://141.218.60.56/~jnz1568/getInfo.php?workbook=04_01.xlsx&amp;sheet=A0&amp;row=203&amp;col=18&amp;number=&amp;sourceID=12","")</f>
        <v/>
      </c>
      <c r="S203" s="4" t="str">
        <f>HYPERLINK("http://141.218.60.56/~jnz1568/getInfo.php?workbook=04_01.xlsx&amp;sheet=A0&amp;row=203&amp;col=19&amp;number=0&amp;sourceID=12","0")</f>
        <v>0</v>
      </c>
      <c r="T203" s="4" t="str">
        <f>HYPERLINK("http://141.218.60.56/~jnz1568/getInfo.php?workbook=04_01.xlsx&amp;sheet=A0&amp;row=203&amp;col=20&amp;number=&amp;sourceID=12","")</f>
        <v/>
      </c>
      <c r="U203" s="4" t="str">
        <f>HYPERLINK("http://141.218.60.56/~jnz1568/getInfo.php?workbook=04_01.xlsx&amp;sheet=A0&amp;row=203&amp;col=21&amp;number=&amp;sourceID=20","")</f>
        <v/>
      </c>
    </row>
    <row r="204" spans="1:21">
      <c r="A204" s="3">
        <v>4</v>
      </c>
      <c r="B204" s="3">
        <v>1</v>
      </c>
      <c r="C204" s="3">
        <v>21</v>
      </c>
      <c r="D204" s="3">
        <v>19</v>
      </c>
      <c r="E204" s="3">
        <f>((1/(INDEX(E0!J$4:J$28,C204,1)-INDEX(E0!J$4:J$28,D204,1))))*100000000</f>
        <v>0</v>
      </c>
      <c r="F204" s="4" t="str">
        <f>HYPERLINK("http://141.218.60.56/~jnz1568/getInfo.php?workbook=04_01.xlsx&amp;sheet=A0&amp;row=204&amp;col=6&amp;number=&amp;sourceID=18","")</f>
        <v/>
      </c>
      <c r="G204" s="4" t="str">
        <f>HYPERLINK("http://141.218.60.56/~jnz1568/getInfo.php?workbook=04_01.xlsx&amp;sheet=A0&amp;row=204&amp;col=7&amp;number==&amp;sourceID=11","=")</f>
        <v>=</v>
      </c>
      <c r="H204" s="4" t="str">
        <f>HYPERLINK("http://141.218.60.56/~jnz1568/getInfo.php?workbook=04_01.xlsx&amp;sheet=A0&amp;row=204&amp;col=8&amp;number=0.00036192&amp;sourceID=11","0.00036192")</f>
        <v>0.00036192</v>
      </c>
      <c r="I204" s="4" t="str">
        <f>HYPERLINK("http://141.218.60.56/~jnz1568/getInfo.php?workbook=04_01.xlsx&amp;sheet=A0&amp;row=204&amp;col=9&amp;number=&amp;sourceID=11","")</f>
        <v/>
      </c>
      <c r="J204" s="4" t="str">
        <f>HYPERLINK("http://141.218.60.56/~jnz1568/getInfo.php?workbook=04_01.xlsx&amp;sheet=A0&amp;row=204&amp;col=10&amp;number=0&amp;sourceID=11","0")</f>
        <v>0</v>
      </c>
      <c r="K204" s="4" t="str">
        <f>HYPERLINK("http://141.218.60.56/~jnz1568/getInfo.php?workbook=04_01.xlsx&amp;sheet=A0&amp;row=204&amp;col=11&amp;number=&amp;sourceID=11","")</f>
        <v/>
      </c>
      <c r="L204" s="4" t="str">
        <f>HYPERLINK("http://141.218.60.56/~jnz1568/getInfo.php?workbook=04_01.xlsx&amp;sheet=A0&amp;row=204&amp;col=12&amp;number=0&amp;sourceID=11","0")</f>
        <v>0</v>
      </c>
      <c r="M204" s="4" t="str">
        <f>HYPERLINK("http://141.218.60.56/~jnz1568/getInfo.php?workbook=04_01.xlsx&amp;sheet=A0&amp;row=204&amp;col=13&amp;number=&amp;sourceID=11","")</f>
        <v/>
      </c>
      <c r="N204" s="4" t="str">
        <f>HYPERLINK("http://141.218.60.56/~jnz1568/getInfo.php?workbook=04_01.xlsx&amp;sheet=A0&amp;row=204&amp;col=14&amp;number=0.00036222&amp;sourceID=12","0.00036222")</f>
        <v>0.00036222</v>
      </c>
      <c r="O204" s="4" t="str">
        <f>HYPERLINK("http://141.218.60.56/~jnz1568/getInfo.php?workbook=04_01.xlsx&amp;sheet=A0&amp;row=204&amp;col=15&amp;number=0.00036222&amp;sourceID=12","0.00036222")</f>
        <v>0.00036222</v>
      </c>
      <c r="P204" s="4" t="str">
        <f>HYPERLINK("http://141.218.60.56/~jnz1568/getInfo.php?workbook=04_01.xlsx&amp;sheet=A0&amp;row=204&amp;col=16&amp;number=&amp;sourceID=12","")</f>
        <v/>
      </c>
      <c r="Q204" s="4" t="str">
        <f>HYPERLINK("http://141.218.60.56/~jnz1568/getInfo.php?workbook=04_01.xlsx&amp;sheet=A0&amp;row=204&amp;col=17&amp;number=0&amp;sourceID=12","0")</f>
        <v>0</v>
      </c>
      <c r="R204" s="4" t="str">
        <f>HYPERLINK("http://141.218.60.56/~jnz1568/getInfo.php?workbook=04_01.xlsx&amp;sheet=A0&amp;row=204&amp;col=18&amp;number=&amp;sourceID=12","")</f>
        <v/>
      </c>
      <c r="S204" s="4" t="str">
        <f>HYPERLINK("http://141.218.60.56/~jnz1568/getInfo.php?workbook=04_01.xlsx&amp;sheet=A0&amp;row=204&amp;col=19&amp;number=0&amp;sourceID=12","0")</f>
        <v>0</v>
      </c>
      <c r="T204" s="4" t="str">
        <f>HYPERLINK("http://141.218.60.56/~jnz1568/getInfo.php?workbook=04_01.xlsx&amp;sheet=A0&amp;row=204&amp;col=20&amp;number=&amp;sourceID=12","")</f>
        <v/>
      </c>
      <c r="U204" s="4" t="str">
        <f>HYPERLINK("http://141.218.60.56/~jnz1568/getInfo.php?workbook=04_01.xlsx&amp;sheet=A0&amp;row=204&amp;col=21&amp;number=&amp;sourceID=20","")</f>
        <v/>
      </c>
    </row>
    <row r="205" spans="1:21">
      <c r="A205" s="3">
        <v>4</v>
      </c>
      <c r="B205" s="3">
        <v>1</v>
      </c>
      <c r="C205" s="3">
        <v>21</v>
      </c>
      <c r="D205" s="3">
        <v>20</v>
      </c>
      <c r="E205" s="3">
        <f>((1/(INDEX(E0!J$4:J$28,C205,1)-INDEX(E0!J$4:J$28,D205,1))))*100000000</f>
        <v>0</v>
      </c>
      <c r="F205" s="4" t="str">
        <f>HYPERLINK("http://141.218.60.56/~jnz1568/getInfo.php?workbook=04_01.xlsx&amp;sheet=A0&amp;row=205&amp;col=6&amp;number=&amp;sourceID=18","")</f>
        <v/>
      </c>
      <c r="G205" s="4" t="str">
        <f>HYPERLINK("http://141.218.60.56/~jnz1568/getInfo.php?workbook=04_01.xlsx&amp;sheet=A0&amp;row=205&amp;col=7&amp;number==&amp;sourceID=11","=")</f>
        <v>=</v>
      </c>
      <c r="H205" s="4" t="str">
        <f>HYPERLINK("http://141.218.60.56/~jnz1568/getInfo.php?workbook=04_01.xlsx&amp;sheet=A0&amp;row=205&amp;col=8&amp;number=&amp;sourceID=11","")</f>
        <v/>
      </c>
      <c r="I205" s="4" t="str">
        <f>HYPERLINK("http://141.218.60.56/~jnz1568/getInfo.php?workbook=04_01.xlsx&amp;sheet=A0&amp;row=205&amp;col=9&amp;number=0&amp;sourceID=11","0")</f>
        <v>0</v>
      </c>
      <c r="J205" s="4" t="str">
        <f>HYPERLINK("http://141.218.60.56/~jnz1568/getInfo.php?workbook=04_01.xlsx&amp;sheet=A0&amp;row=205&amp;col=10&amp;number=&amp;sourceID=11","")</f>
        <v/>
      </c>
      <c r="K205" s="4" t="str">
        <f>HYPERLINK("http://141.218.60.56/~jnz1568/getInfo.php?workbook=04_01.xlsx&amp;sheet=A0&amp;row=205&amp;col=11&amp;number=0&amp;sourceID=11","0")</f>
        <v>0</v>
      </c>
      <c r="L205" s="4" t="str">
        <f>HYPERLINK("http://141.218.60.56/~jnz1568/getInfo.php?workbook=04_01.xlsx&amp;sheet=A0&amp;row=205&amp;col=12&amp;number=&amp;sourceID=11","")</f>
        <v/>
      </c>
      <c r="M205" s="4" t="str">
        <f>HYPERLINK("http://141.218.60.56/~jnz1568/getInfo.php?workbook=04_01.xlsx&amp;sheet=A0&amp;row=205&amp;col=13&amp;number=0&amp;sourceID=11","0")</f>
        <v>0</v>
      </c>
      <c r="N205" s="4" t="str">
        <f>HYPERLINK("http://141.218.60.56/~jnz1568/getInfo.php?workbook=04_01.xlsx&amp;sheet=A0&amp;row=205&amp;col=14&amp;number=0&amp;sourceID=12","0")</f>
        <v>0</v>
      </c>
      <c r="O205" s="4" t="str">
        <f>HYPERLINK("http://141.218.60.56/~jnz1568/getInfo.php?workbook=04_01.xlsx&amp;sheet=A0&amp;row=205&amp;col=15&amp;number=&amp;sourceID=12","")</f>
        <v/>
      </c>
      <c r="P205" s="4" t="str">
        <f>HYPERLINK("http://141.218.60.56/~jnz1568/getInfo.php?workbook=04_01.xlsx&amp;sheet=A0&amp;row=205&amp;col=16&amp;number=0&amp;sourceID=12","0")</f>
        <v>0</v>
      </c>
      <c r="Q205" s="4" t="str">
        <f>HYPERLINK("http://141.218.60.56/~jnz1568/getInfo.php?workbook=04_01.xlsx&amp;sheet=A0&amp;row=205&amp;col=17&amp;number=&amp;sourceID=12","")</f>
        <v/>
      </c>
      <c r="R205" s="4" t="str">
        <f>HYPERLINK("http://141.218.60.56/~jnz1568/getInfo.php?workbook=04_01.xlsx&amp;sheet=A0&amp;row=205&amp;col=18&amp;number=0&amp;sourceID=12","0")</f>
        <v>0</v>
      </c>
      <c r="S205" s="4" t="str">
        <f>HYPERLINK("http://141.218.60.56/~jnz1568/getInfo.php?workbook=04_01.xlsx&amp;sheet=A0&amp;row=205&amp;col=19&amp;number=&amp;sourceID=12","")</f>
        <v/>
      </c>
      <c r="T205" s="4" t="str">
        <f>HYPERLINK("http://141.218.60.56/~jnz1568/getInfo.php?workbook=04_01.xlsx&amp;sheet=A0&amp;row=205&amp;col=20&amp;number=0&amp;sourceID=12","0")</f>
        <v>0</v>
      </c>
      <c r="U205" s="4" t="str">
        <f>HYPERLINK("http://141.218.60.56/~jnz1568/getInfo.php?workbook=04_01.xlsx&amp;sheet=A0&amp;row=205&amp;col=21&amp;number=&amp;sourceID=20","")</f>
        <v/>
      </c>
    </row>
    <row r="206" spans="1:21">
      <c r="A206" s="3">
        <v>4</v>
      </c>
      <c r="B206" s="3">
        <v>1</v>
      </c>
      <c r="C206" s="3">
        <v>22</v>
      </c>
      <c r="D206" s="3">
        <v>1</v>
      </c>
      <c r="E206" s="3">
        <f>((1/(INDEX(E0!J$4:J$28,C206,1)-INDEX(E0!J$4:J$28,D206,1))))*100000000</f>
        <v>0</v>
      </c>
      <c r="F206" s="4" t="str">
        <f>HYPERLINK("http://141.218.60.56/~jnz1568/getInfo.php?workbook=04_01.xlsx&amp;sheet=A0&amp;row=206&amp;col=6&amp;number=&amp;sourceID=18","")</f>
        <v/>
      </c>
      <c r="G206" s="4" t="str">
        <f>HYPERLINK("http://141.218.60.56/~jnz1568/getInfo.php?workbook=04_01.xlsx&amp;sheet=A0&amp;row=206&amp;col=7&amp;number==&amp;sourceID=11","=")</f>
        <v>=</v>
      </c>
      <c r="H206" s="4" t="str">
        <f>HYPERLINK("http://141.218.60.56/~jnz1568/getInfo.php?workbook=04_01.xlsx&amp;sheet=A0&amp;row=206&amp;col=8&amp;number=&amp;sourceID=11","")</f>
        <v/>
      </c>
      <c r="I206" s="4" t="str">
        <f>HYPERLINK("http://141.218.60.56/~jnz1568/getInfo.php?workbook=04_01.xlsx&amp;sheet=A0&amp;row=206&amp;col=9&amp;number=755670&amp;sourceID=11","755670")</f>
        <v>755670</v>
      </c>
      <c r="J206" s="4" t="str">
        <f>HYPERLINK("http://141.218.60.56/~jnz1568/getInfo.php?workbook=04_01.xlsx&amp;sheet=A0&amp;row=206&amp;col=10&amp;number=&amp;sourceID=11","")</f>
        <v/>
      </c>
      <c r="K206" s="4" t="str">
        <f>HYPERLINK("http://141.218.60.56/~jnz1568/getInfo.php?workbook=04_01.xlsx&amp;sheet=A0&amp;row=206&amp;col=11&amp;number=&amp;sourceID=11","")</f>
        <v/>
      </c>
      <c r="L206" s="4" t="str">
        <f>HYPERLINK("http://141.218.60.56/~jnz1568/getInfo.php?workbook=04_01.xlsx&amp;sheet=A0&amp;row=206&amp;col=12&amp;number=&amp;sourceID=11","")</f>
        <v/>
      </c>
      <c r="M206" s="4" t="str">
        <f>HYPERLINK("http://141.218.60.56/~jnz1568/getInfo.php?workbook=04_01.xlsx&amp;sheet=A0&amp;row=206&amp;col=13&amp;number=0.028101&amp;sourceID=11","0.028101")</f>
        <v>0.028101</v>
      </c>
      <c r="N206" s="4" t="str">
        <f>HYPERLINK("http://141.218.60.56/~jnz1568/getInfo.php?workbook=04_01.xlsx&amp;sheet=A0&amp;row=206&amp;col=14&amp;number=755720&amp;sourceID=12","755720")</f>
        <v>755720</v>
      </c>
      <c r="O206" s="4" t="str">
        <f>HYPERLINK("http://141.218.60.56/~jnz1568/getInfo.php?workbook=04_01.xlsx&amp;sheet=A0&amp;row=206&amp;col=15&amp;number=&amp;sourceID=12","")</f>
        <v/>
      </c>
      <c r="P206" s="4" t="str">
        <f>HYPERLINK("http://141.218.60.56/~jnz1568/getInfo.php?workbook=04_01.xlsx&amp;sheet=A0&amp;row=206&amp;col=16&amp;number=755720&amp;sourceID=12","755720")</f>
        <v>755720</v>
      </c>
      <c r="Q206" s="4" t="str">
        <f>HYPERLINK("http://141.218.60.56/~jnz1568/getInfo.php?workbook=04_01.xlsx&amp;sheet=A0&amp;row=206&amp;col=17&amp;number=&amp;sourceID=12","")</f>
        <v/>
      </c>
      <c r="R206" s="4" t="str">
        <f>HYPERLINK("http://141.218.60.56/~jnz1568/getInfo.php?workbook=04_01.xlsx&amp;sheet=A0&amp;row=206&amp;col=18&amp;number=&amp;sourceID=12","")</f>
        <v/>
      </c>
      <c r="S206" s="4" t="str">
        <f>HYPERLINK("http://141.218.60.56/~jnz1568/getInfo.php?workbook=04_01.xlsx&amp;sheet=A0&amp;row=206&amp;col=19&amp;number=&amp;sourceID=12","")</f>
        <v/>
      </c>
      <c r="T206" s="4" t="str">
        <f>HYPERLINK("http://141.218.60.56/~jnz1568/getInfo.php?workbook=04_01.xlsx&amp;sheet=A0&amp;row=206&amp;col=20&amp;number=0.028103&amp;sourceID=12","0.028103")</f>
        <v>0.028103</v>
      </c>
      <c r="U206" s="4" t="str">
        <f>HYPERLINK("http://141.218.60.56/~jnz1568/getInfo.php?workbook=04_01.xlsx&amp;sheet=A0&amp;row=206&amp;col=21&amp;number=&amp;sourceID=20","")</f>
        <v/>
      </c>
    </row>
    <row r="207" spans="1:21">
      <c r="A207" s="3">
        <v>4</v>
      </c>
      <c r="B207" s="3">
        <v>1</v>
      </c>
      <c r="C207" s="3">
        <v>22</v>
      </c>
      <c r="D207" s="3">
        <v>2</v>
      </c>
      <c r="E207" s="3">
        <f>((1/(INDEX(E0!J$4:J$28,C207,1)-INDEX(E0!J$4:J$28,D207,1))))*100000000</f>
        <v>0</v>
      </c>
      <c r="F207" s="4" t="str">
        <f>HYPERLINK("http://141.218.60.56/~jnz1568/getInfo.php?workbook=04_01.xlsx&amp;sheet=A0&amp;row=207&amp;col=6&amp;number=&amp;sourceID=18","")</f>
        <v/>
      </c>
      <c r="G207" s="4" t="str">
        <f>HYPERLINK("http://141.218.60.56/~jnz1568/getInfo.php?workbook=04_01.xlsx&amp;sheet=A0&amp;row=207&amp;col=7&amp;number==&amp;sourceID=11","=")</f>
        <v>=</v>
      </c>
      <c r="H207" s="4" t="str">
        <f>HYPERLINK("http://141.218.60.56/~jnz1568/getInfo.php?workbook=04_01.xlsx&amp;sheet=A0&amp;row=207&amp;col=8&amp;number=&amp;sourceID=11","")</f>
        <v/>
      </c>
      <c r="I207" s="4" t="str">
        <f>HYPERLINK("http://141.218.60.56/~jnz1568/getInfo.php?workbook=04_01.xlsx&amp;sheet=A0&amp;row=207&amp;col=9&amp;number=&amp;sourceID=11","")</f>
        <v/>
      </c>
      <c r="J207" s="4" t="str">
        <f>HYPERLINK("http://141.218.60.56/~jnz1568/getInfo.php?workbook=04_01.xlsx&amp;sheet=A0&amp;row=207&amp;col=10&amp;number=0.025627&amp;sourceID=11","0.025627")</f>
        <v>0.025627</v>
      </c>
      <c r="K207" s="4" t="str">
        <f>HYPERLINK("http://141.218.60.56/~jnz1568/getInfo.php?workbook=04_01.xlsx&amp;sheet=A0&amp;row=207&amp;col=11&amp;number=&amp;sourceID=11","")</f>
        <v/>
      </c>
      <c r="L207" s="4" t="str">
        <f>HYPERLINK("http://141.218.60.56/~jnz1568/getInfo.php?workbook=04_01.xlsx&amp;sheet=A0&amp;row=207&amp;col=12&amp;number=0.85983&amp;sourceID=11","0.85983")</f>
        <v>0.85983</v>
      </c>
      <c r="M207" s="4" t="str">
        <f>HYPERLINK("http://141.218.60.56/~jnz1568/getInfo.php?workbook=04_01.xlsx&amp;sheet=A0&amp;row=207&amp;col=13&amp;number=&amp;sourceID=11","")</f>
        <v/>
      </c>
      <c r="N207" s="4" t="str">
        <f>HYPERLINK("http://141.218.60.56/~jnz1568/getInfo.php?workbook=04_01.xlsx&amp;sheet=A0&amp;row=207&amp;col=14&amp;number=0.88552&amp;sourceID=12","0.88552")</f>
        <v>0.88552</v>
      </c>
      <c r="O207" s="4" t="str">
        <f>HYPERLINK("http://141.218.60.56/~jnz1568/getInfo.php?workbook=04_01.xlsx&amp;sheet=A0&amp;row=207&amp;col=15&amp;number=&amp;sourceID=12","")</f>
        <v/>
      </c>
      <c r="P207" s="4" t="str">
        <f>HYPERLINK("http://141.218.60.56/~jnz1568/getInfo.php?workbook=04_01.xlsx&amp;sheet=A0&amp;row=207&amp;col=16&amp;number=&amp;sourceID=12","")</f>
        <v/>
      </c>
      <c r="Q207" s="4" t="str">
        <f>HYPERLINK("http://141.218.60.56/~jnz1568/getInfo.php?workbook=04_01.xlsx&amp;sheet=A0&amp;row=207&amp;col=17&amp;number=0.025629&amp;sourceID=12","0.025629")</f>
        <v>0.025629</v>
      </c>
      <c r="R207" s="4" t="str">
        <f>HYPERLINK("http://141.218.60.56/~jnz1568/getInfo.php?workbook=04_01.xlsx&amp;sheet=A0&amp;row=207&amp;col=18&amp;number=&amp;sourceID=12","")</f>
        <v/>
      </c>
      <c r="S207" s="4" t="str">
        <f>HYPERLINK("http://141.218.60.56/~jnz1568/getInfo.php?workbook=04_01.xlsx&amp;sheet=A0&amp;row=207&amp;col=19&amp;number=0.85989&amp;sourceID=12","0.85989")</f>
        <v>0.85989</v>
      </c>
      <c r="T207" s="4" t="str">
        <f>HYPERLINK("http://141.218.60.56/~jnz1568/getInfo.php?workbook=04_01.xlsx&amp;sheet=A0&amp;row=207&amp;col=20&amp;number=&amp;sourceID=12","")</f>
        <v/>
      </c>
      <c r="U207" s="4" t="str">
        <f>HYPERLINK("http://141.218.60.56/~jnz1568/getInfo.php?workbook=04_01.xlsx&amp;sheet=A0&amp;row=207&amp;col=21&amp;number=&amp;sourceID=20","")</f>
        <v/>
      </c>
    </row>
    <row r="208" spans="1:21">
      <c r="A208" s="3">
        <v>4</v>
      </c>
      <c r="B208" s="3">
        <v>1</v>
      </c>
      <c r="C208" s="3">
        <v>22</v>
      </c>
      <c r="D208" s="3">
        <v>3</v>
      </c>
      <c r="E208" s="3">
        <f>((1/(INDEX(E0!J$4:J$28,C208,1)-INDEX(E0!J$4:J$28,D208,1))))*100000000</f>
        <v>0</v>
      </c>
      <c r="F208" s="4" t="str">
        <f>HYPERLINK("http://141.218.60.56/~jnz1568/getInfo.php?workbook=04_01.xlsx&amp;sheet=A0&amp;row=208&amp;col=6&amp;number=&amp;sourceID=18","")</f>
        <v/>
      </c>
      <c r="G208" s="4" t="str">
        <f>HYPERLINK("http://141.218.60.56/~jnz1568/getInfo.php?workbook=04_01.xlsx&amp;sheet=A0&amp;row=208&amp;col=7&amp;number==&amp;sourceID=11","=")</f>
        <v>=</v>
      </c>
      <c r="H208" s="4" t="str">
        <f>HYPERLINK("http://141.218.60.56/~jnz1568/getInfo.php?workbook=04_01.xlsx&amp;sheet=A0&amp;row=208&amp;col=8&amp;number=&amp;sourceID=11","")</f>
        <v/>
      </c>
      <c r="I208" s="4" t="str">
        <f>HYPERLINK("http://141.218.60.56/~jnz1568/getInfo.php?workbook=04_01.xlsx&amp;sheet=A0&amp;row=208&amp;col=9&amp;number=3969.1&amp;sourceID=11","3969.1")</f>
        <v>3969.1</v>
      </c>
      <c r="J208" s="4" t="str">
        <f>HYPERLINK("http://141.218.60.56/~jnz1568/getInfo.php?workbook=04_01.xlsx&amp;sheet=A0&amp;row=208&amp;col=10&amp;number=&amp;sourceID=11","")</f>
        <v/>
      </c>
      <c r="K208" s="4" t="str">
        <f>HYPERLINK("http://141.218.60.56/~jnz1568/getInfo.php?workbook=04_01.xlsx&amp;sheet=A0&amp;row=208&amp;col=11&amp;number=&amp;sourceID=11","")</f>
        <v/>
      </c>
      <c r="L208" s="4" t="str">
        <f>HYPERLINK("http://141.218.60.56/~jnz1568/getInfo.php?workbook=04_01.xlsx&amp;sheet=A0&amp;row=208&amp;col=12&amp;number=&amp;sourceID=11","")</f>
        <v/>
      </c>
      <c r="M208" s="4" t="str">
        <f>HYPERLINK("http://141.218.60.56/~jnz1568/getInfo.php?workbook=04_01.xlsx&amp;sheet=A0&amp;row=208&amp;col=13&amp;number=7.0617e-06&amp;sourceID=11","7.0617e-06")</f>
        <v>7.0617e-06</v>
      </c>
      <c r="N208" s="4" t="str">
        <f>HYPERLINK("http://141.218.60.56/~jnz1568/getInfo.php?workbook=04_01.xlsx&amp;sheet=A0&amp;row=208&amp;col=14&amp;number=3969.4&amp;sourceID=12","3969.4")</f>
        <v>3969.4</v>
      </c>
      <c r="O208" s="4" t="str">
        <f>HYPERLINK("http://141.218.60.56/~jnz1568/getInfo.php?workbook=04_01.xlsx&amp;sheet=A0&amp;row=208&amp;col=15&amp;number=&amp;sourceID=12","")</f>
        <v/>
      </c>
      <c r="P208" s="4" t="str">
        <f>HYPERLINK("http://141.218.60.56/~jnz1568/getInfo.php?workbook=04_01.xlsx&amp;sheet=A0&amp;row=208&amp;col=16&amp;number=3969.4&amp;sourceID=12","3969.4")</f>
        <v>3969.4</v>
      </c>
      <c r="Q208" s="4" t="str">
        <f>HYPERLINK("http://141.218.60.56/~jnz1568/getInfo.php?workbook=04_01.xlsx&amp;sheet=A0&amp;row=208&amp;col=17&amp;number=&amp;sourceID=12","")</f>
        <v/>
      </c>
      <c r="R208" s="4" t="str">
        <f>HYPERLINK("http://141.218.60.56/~jnz1568/getInfo.php?workbook=04_01.xlsx&amp;sheet=A0&amp;row=208&amp;col=18&amp;number=&amp;sourceID=12","")</f>
        <v/>
      </c>
      <c r="S208" s="4" t="str">
        <f>HYPERLINK("http://141.218.60.56/~jnz1568/getInfo.php?workbook=04_01.xlsx&amp;sheet=A0&amp;row=208&amp;col=19&amp;number=&amp;sourceID=12","")</f>
        <v/>
      </c>
      <c r="T208" s="4" t="str">
        <f>HYPERLINK("http://141.218.60.56/~jnz1568/getInfo.php?workbook=04_01.xlsx&amp;sheet=A0&amp;row=208&amp;col=20&amp;number=7.062e-06&amp;sourceID=12","7.062e-06")</f>
        <v>7.062e-06</v>
      </c>
      <c r="U208" s="4" t="str">
        <f>HYPERLINK("http://141.218.60.56/~jnz1568/getInfo.php?workbook=04_01.xlsx&amp;sheet=A0&amp;row=208&amp;col=21&amp;number=&amp;sourceID=20","")</f>
        <v/>
      </c>
    </row>
    <row r="209" spans="1:21">
      <c r="A209" s="3">
        <v>4</v>
      </c>
      <c r="B209" s="3">
        <v>1</v>
      </c>
      <c r="C209" s="3">
        <v>22</v>
      </c>
      <c r="D209" s="3">
        <v>4</v>
      </c>
      <c r="E209" s="3">
        <f>((1/(INDEX(E0!J$4:J$28,C209,1)-INDEX(E0!J$4:J$28,D209,1))))*100000000</f>
        <v>0</v>
      </c>
      <c r="F209" s="4" t="str">
        <f>HYPERLINK("http://141.218.60.56/~jnz1568/getInfo.php?workbook=04_01.xlsx&amp;sheet=A0&amp;row=209&amp;col=6&amp;number=&amp;sourceID=18","")</f>
        <v/>
      </c>
      <c r="G209" s="4" t="str">
        <f>HYPERLINK("http://141.218.60.56/~jnz1568/getInfo.php?workbook=04_01.xlsx&amp;sheet=A0&amp;row=209&amp;col=7&amp;number==&amp;sourceID=11","=")</f>
        <v>=</v>
      </c>
      <c r="H209" s="4" t="str">
        <f>HYPERLINK("http://141.218.60.56/~jnz1568/getInfo.php?workbook=04_01.xlsx&amp;sheet=A0&amp;row=209&amp;col=8&amp;number=2414100000&amp;sourceID=11","2414100000")</f>
        <v>2414100000</v>
      </c>
      <c r="I209" s="4" t="str">
        <f>HYPERLINK("http://141.218.60.56/~jnz1568/getInfo.php?workbook=04_01.xlsx&amp;sheet=A0&amp;row=209&amp;col=9&amp;number=&amp;sourceID=11","")</f>
        <v/>
      </c>
      <c r="J209" s="4" t="str">
        <f>HYPERLINK("http://141.218.60.56/~jnz1568/getInfo.php?workbook=04_01.xlsx&amp;sheet=A0&amp;row=209&amp;col=10&amp;number=0.02059&amp;sourceID=11","0.02059")</f>
        <v>0.02059</v>
      </c>
      <c r="K209" s="4" t="str">
        <f>HYPERLINK("http://141.218.60.56/~jnz1568/getInfo.php?workbook=04_01.xlsx&amp;sheet=A0&amp;row=209&amp;col=11&amp;number=&amp;sourceID=11","")</f>
        <v/>
      </c>
      <c r="L209" s="4" t="str">
        <f>HYPERLINK("http://141.218.60.56/~jnz1568/getInfo.php?workbook=04_01.xlsx&amp;sheet=A0&amp;row=209&amp;col=12&amp;number=4.6959&amp;sourceID=11","4.6959")</f>
        <v>4.6959</v>
      </c>
      <c r="M209" s="4" t="str">
        <f>HYPERLINK("http://141.218.60.56/~jnz1568/getInfo.php?workbook=04_01.xlsx&amp;sheet=A0&amp;row=209&amp;col=13&amp;number=&amp;sourceID=11","")</f>
        <v/>
      </c>
      <c r="N209" s="4" t="str">
        <f>HYPERLINK("http://141.218.60.56/~jnz1568/getInfo.php?workbook=04_01.xlsx&amp;sheet=A0&amp;row=209&amp;col=14&amp;number=2414200000&amp;sourceID=12","2414200000")</f>
        <v>2414200000</v>
      </c>
      <c r="O209" s="4" t="str">
        <f>HYPERLINK("http://141.218.60.56/~jnz1568/getInfo.php?workbook=04_01.xlsx&amp;sheet=A0&amp;row=209&amp;col=15&amp;number=2414200000&amp;sourceID=12","2414200000")</f>
        <v>2414200000</v>
      </c>
      <c r="P209" s="4" t="str">
        <f>HYPERLINK("http://141.218.60.56/~jnz1568/getInfo.php?workbook=04_01.xlsx&amp;sheet=A0&amp;row=209&amp;col=16&amp;number=&amp;sourceID=12","")</f>
        <v/>
      </c>
      <c r="Q209" s="4" t="str">
        <f>HYPERLINK("http://141.218.60.56/~jnz1568/getInfo.php?workbook=04_01.xlsx&amp;sheet=A0&amp;row=209&amp;col=17&amp;number=0.020591&amp;sourceID=12","0.020591")</f>
        <v>0.020591</v>
      </c>
      <c r="R209" s="4" t="str">
        <f>HYPERLINK("http://141.218.60.56/~jnz1568/getInfo.php?workbook=04_01.xlsx&amp;sheet=A0&amp;row=209&amp;col=18&amp;number=&amp;sourceID=12","")</f>
        <v/>
      </c>
      <c r="S209" s="4" t="str">
        <f>HYPERLINK("http://141.218.60.56/~jnz1568/getInfo.php?workbook=04_01.xlsx&amp;sheet=A0&amp;row=209&amp;col=19&amp;number=4.6962&amp;sourceID=12","4.6962")</f>
        <v>4.6962</v>
      </c>
      <c r="T209" s="4" t="str">
        <f>HYPERLINK("http://141.218.60.56/~jnz1568/getInfo.php?workbook=04_01.xlsx&amp;sheet=A0&amp;row=209&amp;col=20&amp;number=&amp;sourceID=12","")</f>
        <v/>
      </c>
      <c r="U209" s="4" t="str">
        <f>HYPERLINK("http://141.218.60.56/~jnz1568/getInfo.php?workbook=04_01.xlsx&amp;sheet=A0&amp;row=209&amp;col=21&amp;number=&amp;sourceID=20","")</f>
        <v/>
      </c>
    </row>
    <row r="210" spans="1:21">
      <c r="A210" s="3">
        <v>4</v>
      </c>
      <c r="B210" s="3">
        <v>1</v>
      </c>
      <c r="C210" s="3">
        <v>22</v>
      </c>
      <c r="D210" s="3">
        <v>5</v>
      </c>
      <c r="E210" s="3">
        <f>((1/(INDEX(E0!J$4:J$28,C210,1)-INDEX(E0!J$4:J$28,D210,1))))*100000000</f>
        <v>0</v>
      </c>
      <c r="F210" s="4" t="str">
        <f>HYPERLINK("http://141.218.60.56/~jnz1568/getInfo.php?workbook=04_01.xlsx&amp;sheet=A0&amp;row=210&amp;col=6&amp;number=&amp;sourceID=18","")</f>
        <v/>
      </c>
      <c r="G210" s="4" t="str">
        <f>HYPERLINK("http://141.218.60.56/~jnz1568/getInfo.php?workbook=04_01.xlsx&amp;sheet=A0&amp;row=210&amp;col=7&amp;number==&amp;sourceID=11","=")</f>
        <v>=</v>
      </c>
      <c r="H210" s="4" t="str">
        <f>HYPERLINK("http://141.218.60.56/~jnz1568/getInfo.php?workbook=04_01.xlsx&amp;sheet=A0&amp;row=210&amp;col=8&amp;number=&amp;sourceID=11","")</f>
        <v/>
      </c>
      <c r="I210" s="4" t="str">
        <f>HYPERLINK("http://141.218.60.56/~jnz1568/getInfo.php?workbook=04_01.xlsx&amp;sheet=A0&amp;row=210&amp;col=9&amp;number=&amp;sourceID=11","")</f>
        <v/>
      </c>
      <c r="J210" s="4" t="str">
        <f>HYPERLINK("http://141.218.60.56/~jnz1568/getInfo.php?workbook=04_01.xlsx&amp;sheet=A0&amp;row=210&amp;col=10&amp;number=0.0027523&amp;sourceID=11","0.0027523")</f>
        <v>0.0027523</v>
      </c>
      <c r="K210" s="4" t="str">
        <f>HYPERLINK("http://141.218.60.56/~jnz1568/getInfo.php?workbook=04_01.xlsx&amp;sheet=A0&amp;row=210&amp;col=11&amp;number=&amp;sourceID=11","")</f>
        <v/>
      </c>
      <c r="L210" s="4" t="str">
        <f>HYPERLINK("http://141.218.60.56/~jnz1568/getInfo.php?workbook=04_01.xlsx&amp;sheet=A0&amp;row=210&amp;col=12&amp;number=0.035459&amp;sourceID=11","0.035459")</f>
        <v>0.035459</v>
      </c>
      <c r="M210" s="4" t="str">
        <f>HYPERLINK("http://141.218.60.56/~jnz1568/getInfo.php?workbook=04_01.xlsx&amp;sheet=A0&amp;row=210&amp;col=13&amp;number=&amp;sourceID=11","")</f>
        <v/>
      </c>
      <c r="N210" s="4" t="str">
        <f>HYPERLINK("http://141.218.60.56/~jnz1568/getInfo.php?workbook=04_01.xlsx&amp;sheet=A0&amp;row=210&amp;col=14&amp;number=0.038213&amp;sourceID=12","0.038213")</f>
        <v>0.038213</v>
      </c>
      <c r="O210" s="4" t="str">
        <f>HYPERLINK("http://141.218.60.56/~jnz1568/getInfo.php?workbook=04_01.xlsx&amp;sheet=A0&amp;row=210&amp;col=15&amp;number=&amp;sourceID=12","")</f>
        <v/>
      </c>
      <c r="P210" s="4" t="str">
        <f>HYPERLINK("http://141.218.60.56/~jnz1568/getInfo.php?workbook=04_01.xlsx&amp;sheet=A0&amp;row=210&amp;col=16&amp;number=&amp;sourceID=12","")</f>
        <v/>
      </c>
      <c r="Q210" s="4" t="str">
        <f>HYPERLINK("http://141.218.60.56/~jnz1568/getInfo.php?workbook=04_01.xlsx&amp;sheet=A0&amp;row=210&amp;col=17&amp;number=0.0027524&amp;sourceID=12","0.0027524")</f>
        <v>0.0027524</v>
      </c>
      <c r="R210" s="4" t="str">
        <f>HYPERLINK("http://141.218.60.56/~jnz1568/getInfo.php?workbook=04_01.xlsx&amp;sheet=A0&amp;row=210&amp;col=18&amp;number=&amp;sourceID=12","")</f>
        <v/>
      </c>
      <c r="S210" s="4" t="str">
        <f>HYPERLINK("http://141.218.60.56/~jnz1568/getInfo.php?workbook=04_01.xlsx&amp;sheet=A0&amp;row=210&amp;col=19&amp;number=0.035461&amp;sourceID=12","0.035461")</f>
        <v>0.035461</v>
      </c>
      <c r="T210" s="4" t="str">
        <f>HYPERLINK("http://141.218.60.56/~jnz1568/getInfo.php?workbook=04_01.xlsx&amp;sheet=A0&amp;row=210&amp;col=20&amp;number=&amp;sourceID=12","")</f>
        <v/>
      </c>
      <c r="U210" s="4" t="str">
        <f>HYPERLINK("http://141.218.60.56/~jnz1568/getInfo.php?workbook=04_01.xlsx&amp;sheet=A0&amp;row=210&amp;col=21&amp;number=&amp;sourceID=20","")</f>
        <v/>
      </c>
    </row>
    <row r="211" spans="1:21">
      <c r="A211" s="3">
        <v>4</v>
      </c>
      <c r="B211" s="3">
        <v>1</v>
      </c>
      <c r="C211" s="3">
        <v>22</v>
      </c>
      <c r="D211" s="3">
        <v>6</v>
      </c>
      <c r="E211" s="3">
        <f>((1/(INDEX(E0!J$4:J$28,C211,1)-INDEX(E0!J$4:J$28,D211,1))))*100000000</f>
        <v>0</v>
      </c>
      <c r="F211" s="4" t="str">
        <f>HYPERLINK("http://141.218.60.56/~jnz1568/getInfo.php?workbook=04_01.xlsx&amp;sheet=A0&amp;row=211&amp;col=6&amp;number=&amp;sourceID=18","")</f>
        <v/>
      </c>
      <c r="G211" s="4" t="str">
        <f>HYPERLINK("http://141.218.60.56/~jnz1568/getInfo.php?workbook=04_01.xlsx&amp;sheet=A0&amp;row=211&amp;col=7&amp;number==&amp;sourceID=11","=")</f>
        <v>=</v>
      </c>
      <c r="H211" s="4" t="str">
        <f>HYPERLINK("http://141.218.60.56/~jnz1568/getInfo.php?workbook=04_01.xlsx&amp;sheet=A0&amp;row=211&amp;col=8&amp;number=&amp;sourceID=11","")</f>
        <v/>
      </c>
      <c r="I211" s="4" t="str">
        <f>HYPERLINK("http://141.218.60.56/~jnz1568/getInfo.php?workbook=04_01.xlsx&amp;sheet=A0&amp;row=211&amp;col=9&amp;number=4455.9&amp;sourceID=11","4455.9")</f>
        <v>4455.9</v>
      </c>
      <c r="J211" s="4" t="str">
        <f>HYPERLINK("http://141.218.60.56/~jnz1568/getInfo.php?workbook=04_01.xlsx&amp;sheet=A0&amp;row=211&amp;col=10&amp;number=&amp;sourceID=11","")</f>
        <v/>
      </c>
      <c r="K211" s="4" t="str">
        <f>HYPERLINK("http://141.218.60.56/~jnz1568/getInfo.php?workbook=04_01.xlsx&amp;sheet=A0&amp;row=211&amp;col=11&amp;number=&amp;sourceID=11","")</f>
        <v/>
      </c>
      <c r="L211" s="4" t="str">
        <f>HYPERLINK("http://141.218.60.56/~jnz1568/getInfo.php?workbook=04_01.xlsx&amp;sheet=A0&amp;row=211&amp;col=12&amp;number=&amp;sourceID=11","")</f>
        <v/>
      </c>
      <c r="M211" s="4" t="str">
        <f>HYPERLINK("http://141.218.60.56/~jnz1568/getInfo.php?workbook=04_01.xlsx&amp;sheet=A0&amp;row=211&amp;col=13&amp;number=9.0928e-07&amp;sourceID=11","9.0928e-07")</f>
        <v>9.0928e-07</v>
      </c>
      <c r="N211" s="4" t="str">
        <f>HYPERLINK("http://141.218.60.56/~jnz1568/getInfo.php?workbook=04_01.xlsx&amp;sheet=A0&amp;row=211&amp;col=14&amp;number=4456.2&amp;sourceID=12","4456.2")</f>
        <v>4456.2</v>
      </c>
      <c r="O211" s="4" t="str">
        <f>HYPERLINK("http://141.218.60.56/~jnz1568/getInfo.php?workbook=04_01.xlsx&amp;sheet=A0&amp;row=211&amp;col=15&amp;number=&amp;sourceID=12","")</f>
        <v/>
      </c>
      <c r="P211" s="4" t="str">
        <f>HYPERLINK("http://141.218.60.56/~jnz1568/getInfo.php?workbook=04_01.xlsx&amp;sheet=A0&amp;row=211&amp;col=16&amp;number=4456.2&amp;sourceID=12","4456.2")</f>
        <v>4456.2</v>
      </c>
      <c r="Q211" s="4" t="str">
        <f>HYPERLINK("http://141.218.60.56/~jnz1568/getInfo.php?workbook=04_01.xlsx&amp;sheet=A0&amp;row=211&amp;col=17&amp;number=&amp;sourceID=12","")</f>
        <v/>
      </c>
      <c r="R211" s="4" t="str">
        <f>HYPERLINK("http://141.218.60.56/~jnz1568/getInfo.php?workbook=04_01.xlsx&amp;sheet=A0&amp;row=211&amp;col=18&amp;number=&amp;sourceID=12","")</f>
        <v/>
      </c>
      <c r="S211" s="4" t="str">
        <f>HYPERLINK("http://141.218.60.56/~jnz1568/getInfo.php?workbook=04_01.xlsx&amp;sheet=A0&amp;row=211&amp;col=19&amp;number=&amp;sourceID=12","")</f>
        <v/>
      </c>
      <c r="T211" s="4" t="str">
        <f>HYPERLINK("http://141.218.60.56/~jnz1568/getInfo.php?workbook=04_01.xlsx&amp;sheet=A0&amp;row=211&amp;col=20&amp;number=9.0933e-07&amp;sourceID=12","9.0933e-07")</f>
        <v>9.0933e-07</v>
      </c>
      <c r="U211" s="4" t="str">
        <f>HYPERLINK("http://141.218.60.56/~jnz1568/getInfo.php?workbook=04_01.xlsx&amp;sheet=A0&amp;row=211&amp;col=21&amp;number=&amp;sourceID=20","")</f>
        <v/>
      </c>
    </row>
    <row r="212" spans="1:21">
      <c r="A212" s="3">
        <v>4</v>
      </c>
      <c r="B212" s="3">
        <v>1</v>
      </c>
      <c r="C212" s="3">
        <v>22</v>
      </c>
      <c r="D212" s="3">
        <v>7</v>
      </c>
      <c r="E212" s="3">
        <f>((1/(INDEX(E0!J$4:J$28,C212,1)-INDEX(E0!J$4:J$28,D212,1))))*100000000</f>
        <v>0</v>
      </c>
      <c r="F212" s="4" t="str">
        <f>HYPERLINK("http://141.218.60.56/~jnz1568/getInfo.php?workbook=04_01.xlsx&amp;sheet=A0&amp;row=212&amp;col=6&amp;number=&amp;sourceID=18","")</f>
        <v/>
      </c>
      <c r="G212" s="4" t="str">
        <f>HYPERLINK("http://141.218.60.56/~jnz1568/getInfo.php?workbook=04_01.xlsx&amp;sheet=A0&amp;row=212&amp;col=7&amp;number==&amp;sourceID=11","=")</f>
        <v>=</v>
      </c>
      <c r="H212" s="4" t="str">
        <f>HYPERLINK("http://141.218.60.56/~jnz1568/getInfo.php?workbook=04_01.xlsx&amp;sheet=A0&amp;row=212&amp;col=8&amp;number=&amp;sourceID=11","")</f>
        <v/>
      </c>
      <c r="I212" s="4" t="str">
        <f>HYPERLINK("http://141.218.60.56/~jnz1568/getInfo.php?workbook=04_01.xlsx&amp;sheet=A0&amp;row=212&amp;col=9&amp;number=469.96&amp;sourceID=11","469.96")</f>
        <v>469.96</v>
      </c>
      <c r="J212" s="4" t="str">
        <f>HYPERLINK("http://141.218.60.56/~jnz1568/getInfo.php?workbook=04_01.xlsx&amp;sheet=A0&amp;row=212&amp;col=10&amp;number=&amp;sourceID=11","")</f>
        <v/>
      </c>
      <c r="K212" s="4" t="str">
        <f>HYPERLINK("http://141.218.60.56/~jnz1568/getInfo.php?workbook=04_01.xlsx&amp;sheet=A0&amp;row=212&amp;col=11&amp;number=8.9859e-06&amp;sourceID=11","8.9859e-06")</f>
        <v>8.9859e-06</v>
      </c>
      <c r="L212" s="4" t="str">
        <f>HYPERLINK("http://141.218.60.56/~jnz1568/getInfo.php?workbook=04_01.xlsx&amp;sheet=A0&amp;row=212&amp;col=12&amp;number=&amp;sourceID=11","")</f>
        <v/>
      </c>
      <c r="M212" s="4" t="str">
        <f>HYPERLINK("http://141.218.60.56/~jnz1568/getInfo.php?workbook=04_01.xlsx&amp;sheet=A0&amp;row=212&amp;col=13&amp;number=5.4777e-09&amp;sourceID=11","5.4777e-09")</f>
        <v>5.4777e-09</v>
      </c>
      <c r="N212" s="4" t="str">
        <f>HYPERLINK("http://141.218.60.56/~jnz1568/getInfo.php?workbook=04_01.xlsx&amp;sheet=A0&amp;row=212&amp;col=14&amp;number=469.99&amp;sourceID=12","469.99")</f>
        <v>469.99</v>
      </c>
      <c r="O212" s="4" t="str">
        <f>HYPERLINK("http://141.218.60.56/~jnz1568/getInfo.php?workbook=04_01.xlsx&amp;sheet=A0&amp;row=212&amp;col=15&amp;number=&amp;sourceID=12","")</f>
        <v/>
      </c>
      <c r="P212" s="4" t="str">
        <f>HYPERLINK("http://141.218.60.56/~jnz1568/getInfo.php?workbook=04_01.xlsx&amp;sheet=A0&amp;row=212&amp;col=16&amp;number=469.99&amp;sourceID=12","469.99")</f>
        <v>469.99</v>
      </c>
      <c r="Q212" s="4" t="str">
        <f>HYPERLINK("http://141.218.60.56/~jnz1568/getInfo.php?workbook=04_01.xlsx&amp;sheet=A0&amp;row=212&amp;col=17&amp;number=&amp;sourceID=12","")</f>
        <v/>
      </c>
      <c r="R212" s="4" t="str">
        <f>HYPERLINK("http://141.218.60.56/~jnz1568/getInfo.php?workbook=04_01.xlsx&amp;sheet=A0&amp;row=212&amp;col=18&amp;number=8.9862e-06&amp;sourceID=12","8.9862e-06")</f>
        <v>8.9862e-06</v>
      </c>
      <c r="S212" s="4" t="str">
        <f>HYPERLINK("http://141.218.60.56/~jnz1568/getInfo.php?workbook=04_01.xlsx&amp;sheet=A0&amp;row=212&amp;col=19&amp;number=&amp;sourceID=12","")</f>
        <v/>
      </c>
      <c r="T212" s="4" t="str">
        <f>HYPERLINK("http://141.218.60.56/~jnz1568/getInfo.php?workbook=04_01.xlsx&amp;sheet=A0&amp;row=212&amp;col=20&amp;number=5.4781e-09&amp;sourceID=12","5.4781e-09")</f>
        <v>5.4781e-09</v>
      </c>
      <c r="U212" s="4" t="str">
        <f>HYPERLINK("http://141.218.60.56/~jnz1568/getInfo.php?workbook=04_01.xlsx&amp;sheet=A0&amp;row=212&amp;col=21&amp;number=&amp;sourceID=20","")</f>
        <v/>
      </c>
    </row>
    <row r="213" spans="1:21">
      <c r="A213" s="3">
        <v>4</v>
      </c>
      <c r="B213" s="3">
        <v>1</v>
      </c>
      <c r="C213" s="3">
        <v>22</v>
      </c>
      <c r="D213" s="3">
        <v>8</v>
      </c>
      <c r="E213" s="3">
        <f>((1/(INDEX(E0!J$4:J$28,C213,1)-INDEX(E0!J$4:J$28,D213,1))))*100000000</f>
        <v>0</v>
      </c>
      <c r="F213" s="4" t="str">
        <f>HYPERLINK("http://141.218.60.56/~jnz1568/getInfo.php?workbook=04_01.xlsx&amp;sheet=A0&amp;row=213&amp;col=6&amp;number=&amp;sourceID=18","")</f>
        <v/>
      </c>
      <c r="G213" s="4" t="str">
        <f>HYPERLINK("http://141.218.60.56/~jnz1568/getInfo.php?workbook=04_01.xlsx&amp;sheet=A0&amp;row=213&amp;col=7&amp;number==&amp;sourceID=11","=")</f>
        <v>=</v>
      </c>
      <c r="H213" s="4" t="str">
        <f>HYPERLINK("http://141.218.60.56/~jnz1568/getInfo.php?workbook=04_01.xlsx&amp;sheet=A0&amp;row=213&amp;col=8&amp;number=868680000&amp;sourceID=11","868680000")</f>
        <v>868680000</v>
      </c>
      <c r="I213" s="4" t="str">
        <f>HYPERLINK("http://141.218.60.56/~jnz1568/getInfo.php?workbook=04_01.xlsx&amp;sheet=A0&amp;row=213&amp;col=9&amp;number=&amp;sourceID=11","")</f>
        <v/>
      </c>
      <c r="J213" s="4" t="str">
        <f>HYPERLINK("http://141.218.60.56/~jnz1568/getInfo.php?workbook=04_01.xlsx&amp;sheet=A0&amp;row=213&amp;col=10&amp;number=0.0021897&amp;sourceID=11","0.0021897")</f>
        <v>0.0021897</v>
      </c>
      <c r="K213" s="4" t="str">
        <f>HYPERLINK("http://141.218.60.56/~jnz1568/getInfo.php?workbook=04_01.xlsx&amp;sheet=A0&amp;row=213&amp;col=11&amp;number=&amp;sourceID=11","")</f>
        <v/>
      </c>
      <c r="L213" s="4" t="str">
        <f>HYPERLINK("http://141.218.60.56/~jnz1568/getInfo.php?workbook=04_01.xlsx&amp;sheet=A0&amp;row=213&amp;col=12&amp;number=0.1938&amp;sourceID=11","0.1938")</f>
        <v>0.1938</v>
      </c>
      <c r="M213" s="4" t="str">
        <f>HYPERLINK("http://141.218.60.56/~jnz1568/getInfo.php?workbook=04_01.xlsx&amp;sheet=A0&amp;row=213&amp;col=13&amp;number=&amp;sourceID=11","")</f>
        <v/>
      </c>
      <c r="N213" s="4" t="str">
        <f>HYPERLINK("http://141.218.60.56/~jnz1568/getInfo.php?workbook=04_01.xlsx&amp;sheet=A0&amp;row=213&amp;col=14&amp;number=868730000&amp;sourceID=12","868730000")</f>
        <v>868730000</v>
      </c>
      <c r="O213" s="4" t="str">
        <f>HYPERLINK("http://141.218.60.56/~jnz1568/getInfo.php?workbook=04_01.xlsx&amp;sheet=A0&amp;row=213&amp;col=15&amp;number=868730000&amp;sourceID=12","868730000")</f>
        <v>868730000</v>
      </c>
      <c r="P213" s="4" t="str">
        <f>HYPERLINK("http://141.218.60.56/~jnz1568/getInfo.php?workbook=04_01.xlsx&amp;sheet=A0&amp;row=213&amp;col=16&amp;number=&amp;sourceID=12","")</f>
        <v/>
      </c>
      <c r="Q213" s="4" t="str">
        <f>HYPERLINK("http://141.218.60.56/~jnz1568/getInfo.php?workbook=04_01.xlsx&amp;sheet=A0&amp;row=213&amp;col=17&amp;number=0.0021898&amp;sourceID=12","0.0021898")</f>
        <v>0.0021898</v>
      </c>
      <c r="R213" s="4" t="str">
        <f>HYPERLINK("http://141.218.60.56/~jnz1568/getInfo.php?workbook=04_01.xlsx&amp;sheet=A0&amp;row=213&amp;col=18&amp;number=&amp;sourceID=12","")</f>
        <v/>
      </c>
      <c r="S213" s="4" t="str">
        <f>HYPERLINK("http://141.218.60.56/~jnz1568/getInfo.php?workbook=04_01.xlsx&amp;sheet=A0&amp;row=213&amp;col=19&amp;number=0.19381&amp;sourceID=12","0.19381")</f>
        <v>0.19381</v>
      </c>
      <c r="T213" s="4" t="str">
        <f>HYPERLINK("http://141.218.60.56/~jnz1568/getInfo.php?workbook=04_01.xlsx&amp;sheet=A0&amp;row=213&amp;col=20&amp;number=&amp;sourceID=12","")</f>
        <v/>
      </c>
      <c r="U213" s="4" t="str">
        <f>HYPERLINK("http://141.218.60.56/~jnz1568/getInfo.php?workbook=04_01.xlsx&amp;sheet=A0&amp;row=213&amp;col=21&amp;number=&amp;sourceID=20","")</f>
        <v/>
      </c>
    </row>
    <row r="214" spans="1:21">
      <c r="A214" s="3">
        <v>4</v>
      </c>
      <c r="B214" s="3">
        <v>1</v>
      </c>
      <c r="C214" s="3">
        <v>22</v>
      </c>
      <c r="D214" s="3">
        <v>9</v>
      </c>
      <c r="E214" s="3">
        <f>((1/(INDEX(E0!J$4:J$28,C214,1)-INDEX(E0!J$4:J$28,D214,1))))*100000000</f>
        <v>0</v>
      </c>
      <c r="F214" s="4" t="str">
        <f>HYPERLINK("http://141.218.60.56/~jnz1568/getInfo.php?workbook=04_01.xlsx&amp;sheet=A0&amp;row=214&amp;col=6&amp;number=&amp;sourceID=18","")</f>
        <v/>
      </c>
      <c r="G214" s="4" t="str">
        <f>HYPERLINK("http://141.218.60.56/~jnz1568/getInfo.php?workbook=04_01.xlsx&amp;sheet=A0&amp;row=214&amp;col=7&amp;number==&amp;sourceID=11","=")</f>
        <v>=</v>
      </c>
      <c r="H214" s="4" t="str">
        <f>HYPERLINK("http://141.218.60.56/~jnz1568/getInfo.php?workbook=04_01.xlsx&amp;sheet=A0&amp;row=214&amp;col=8&amp;number=&amp;sourceID=11","")</f>
        <v/>
      </c>
      <c r="I214" s="4" t="str">
        <f>HYPERLINK("http://141.218.60.56/~jnz1568/getInfo.php?workbook=04_01.xlsx&amp;sheet=A0&amp;row=214&amp;col=9&amp;number=1879.4&amp;sourceID=11","1879.4")</f>
        <v>1879.4</v>
      </c>
      <c r="J214" s="4" t="str">
        <f>HYPERLINK("http://141.218.60.56/~jnz1568/getInfo.php?workbook=04_01.xlsx&amp;sheet=A0&amp;row=214&amp;col=10&amp;number=&amp;sourceID=11","")</f>
        <v/>
      </c>
      <c r="K214" s="4" t="str">
        <f>HYPERLINK("http://141.218.60.56/~jnz1568/getInfo.php?workbook=04_01.xlsx&amp;sheet=A0&amp;row=214&amp;col=11&amp;number=6.5595e-05&amp;sourceID=11","6.5595e-05")</f>
        <v>6.5595e-05</v>
      </c>
      <c r="L214" s="4" t="str">
        <f>HYPERLINK("http://141.218.60.56/~jnz1568/getInfo.php?workbook=04_01.xlsx&amp;sheet=A0&amp;row=214&amp;col=12&amp;number=&amp;sourceID=11","")</f>
        <v/>
      </c>
      <c r="M214" s="4" t="str">
        <f>HYPERLINK("http://141.218.60.56/~jnz1568/getInfo.php?workbook=04_01.xlsx&amp;sheet=A0&amp;row=214&amp;col=13&amp;number=6.6528e-07&amp;sourceID=11","6.6528e-07")</f>
        <v>6.6528e-07</v>
      </c>
      <c r="N214" s="4" t="str">
        <f>HYPERLINK("http://141.218.60.56/~jnz1568/getInfo.php?workbook=04_01.xlsx&amp;sheet=A0&amp;row=214&amp;col=14&amp;number=1879.5&amp;sourceID=12","1879.5")</f>
        <v>1879.5</v>
      </c>
      <c r="O214" s="4" t="str">
        <f>HYPERLINK("http://141.218.60.56/~jnz1568/getInfo.php?workbook=04_01.xlsx&amp;sheet=A0&amp;row=214&amp;col=15&amp;number=&amp;sourceID=12","")</f>
        <v/>
      </c>
      <c r="P214" s="4" t="str">
        <f>HYPERLINK("http://141.218.60.56/~jnz1568/getInfo.php?workbook=04_01.xlsx&amp;sheet=A0&amp;row=214&amp;col=16&amp;number=1879.5&amp;sourceID=12","1879.5")</f>
        <v>1879.5</v>
      </c>
      <c r="Q214" s="4" t="str">
        <f>HYPERLINK("http://141.218.60.56/~jnz1568/getInfo.php?workbook=04_01.xlsx&amp;sheet=A0&amp;row=214&amp;col=17&amp;number=&amp;sourceID=12","")</f>
        <v/>
      </c>
      <c r="R214" s="4" t="str">
        <f>HYPERLINK("http://141.218.60.56/~jnz1568/getInfo.php?workbook=04_01.xlsx&amp;sheet=A0&amp;row=214&amp;col=18&amp;number=6.5613e-05&amp;sourceID=12","6.5613e-05")</f>
        <v>6.5613e-05</v>
      </c>
      <c r="S214" s="4" t="str">
        <f>HYPERLINK("http://141.218.60.56/~jnz1568/getInfo.php?workbook=04_01.xlsx&amp;sheet=A0&amp;row=214&amp;col=19&amp;number=&amp;sourceID=12","")</f>
        <v/>
      </c>
      <c r="T214" s="4" t="str">
        <f>HYPERLINK("http://141.218.60.56/~jnz1568/getInfo.php?workbook=04_01.xlsx&amp;sheet=A0&amp;row=214&amp;col=20&amp;number=6.6532e-07&amp;sourceID=12","6.6532e-07")</f>
        <v>6.6532e-07</v>
      </c>
      <c r="U214" s="4" t="str">
        <f>HYPERLINK("http://141.218.60.56/~jnz1568/getInfo.php?workbook=04_01.xlsx&amp;sheet=A0&amp;row=214&amp;col=21&amp;number=&amp;sourceID=20","")</f>
        <v/>
      </c>
    </row>
    <row r="215" spans="1:21">
      <c r="A215" s="3">
        <v>4</v>
      </c>
      <c r="B215" s="3">
        <v>1</v>
      </c>
      <c r="C215" s="3">
        <v>22</v>
      </c>
      <c r="D215" s="3">
        <v>10</v>
      </c>
      <c r="E215" s="3">
        <f>((1/(INDEX(E0!J$4:J$28,C215,1)-INDEX(E0!J$4:J$28,D215,1))))*100000000</f>
        <v>0</v>
      </c>
      <c r="F215" s="4" t="str">
        <f>HYPERLINK("http://141.218.60.56/~jnz1568/getInfo.php?workbook=04_01.xlsx&amp;sheet=A0&amp;row=215&amp;col=6&amp;number=&amp;sourceID=18","")</f>
        <v/>
      </c>
      <c r="G215" s="4" t="str">
        <f>HYPERLINK("http://141.218.60.56/~jnz1568/getInfo.php?workbook=04_01.xlsx&amp;sheet=A0&amp;row=215&amp;col=7&amp;number==&amp;sourceID=11","=")</f>
        <v>=</v>
      </c>
      <c r="H215" s="4" t="str">
        <f>HYPERLINK("http://141.218.60.56/~jnz1568/getInfo.php?workbook=04_01.xlsx&amp;sheet=A0&amp;row=215&amp;col=8&amp;number=&amp;sourceID=11","")</f>
        <v/>
      </c>
      <c r="I215" s="4" t="str">
        <f>HYPERLINK("http://141.218.60.56/~jnz1568/getInfo.php?workbook=04_01.xlsx&amp;sheet=A0&amp;row=215&amp;col=9&amp;number=&amp;sourceID=11","")</f>
        <v/>
      </c>
      <c r="J215" s="4" t="str">
        <f>HYPERLINK("http://141.218.60.56/~jnz1568/getInfo.php?workbook=04_01.xlsx&amp;sheet=A0&amp;row=215&amp;col=10&amp;number=0.0047712&amp;sourceID=11","0.0047712")</f>
        <v>0.0047712</v>
      </c>
      <c r="K215" s="4" t="str">
        <f>HYPERLINK("http://141.218.60.56/~jnz1568/getInfo.php?workbook=04_01.xlsx&amp;sheet=A0&amp;row=215&amp;col=11&amp;number=&amp;sourceID=11","")</f>
        <v/>
      </c>
      <c r="L215" s="4" t="str">
        <f>HYPERLINK("http://141.218.60.56/~jnz1568/getInfo.php?workbook=04_01.xlsx&amp;sheet=A0&amp;row=215&amp;col=12&amp;number=0.0015546&amp;sourceID=11","0.0015546")</f>
        <v>0.0015546</v>
      </c>
      <c r="M215" s="4" t="str">
        <f>HYPERLINK("http://141.218.60.56/~jnz1568/getInfo.php?workbook=04_01.xlsx&amp;sheet=A0&amp;row=215&amp;col=13&amp;number=&amp;sourceID=11","")</f>
        <v/>
      </c>
      <c r="N215" s="4" t="str">
        <f>HYPERLINK("http://141.218.60.56/~jnz1568/getInfo.php?workbook=04_01.xlsx&amp;sheet=A0&amp;row=215&amp;col=14&amp;number=0.0063262&amp;sourceID=12","0.0063262")</f>
        <v>0.0063262</v>
      </c>
      <c r="O215" s="4" t="str">
        <f>HYPERLINK("http://141.218.60.56/~jnz1568/getInfo.php?workbook=04_01.xlsx&amp;sheet=A0&amp;row=215&amp;col=15&amp;number=&amp;sourceID=12","")</f>
        <v/>
      </c>
      <c r="P215" s="4" t="str">
        <f>HYPERLINK("http://141.218.60.56/~jnz1568/getInfo.php?workbook=04_01.xlsx&amp;sheet=A0&amp;row=215&amp;col=16&amp;number=&amp;sourceID=12","")</f>
        <v/>
      </c>
      <c r="Q215" s="4" t="str">
        <f>HYPERLINK("http://141.218.60.56/~jnz1568/getInfo.php?workbook=04_01.xlsx&amp;sheet=A0&amp;row=215&amp;col=17&amp;number=0.0047715&amp;sourceID=12","0.0047715")</f>
        <v>0.0047715</v>
      </c>
      <c r="R215" s="4" t="str">
        <f>HYPERLINK("http://141.218.60.56/~jnz1568/getInfo.php?workbook=04_01.xlsx&amp;sheet=A0&amp;row=215&amp;col=18&amp;number=&amp;sourceID=12","")</f>
        <v/>
      </c>
      <c r="S215" s="4" t="str">
        <f>HYPERLINK("http://141.218.60.56/~jnz1568/getInfo.php?workbook=04_01.xlsx&amp;sheet=A0&amp;row=215&amp;col=19&amp;number=0.0015547&amp;sourceID=12","0.0015547")</f>
        <v>0.0015547</v>
      </c>
      <c r="T215" s="4" t="str">
        <f>HYPERLINK("http://141.218.60.56/~jnz1568/getInfo.php?workbook=04_01.xlsx&amp;sheet=A0&amp;row=215&amp;col=20&amp;number=&amp;sourceID=12","")</f>
        <v/>
      </c>
      <c r="U215" s="4" t="str">
        <f>HYPERLINK("http://141.218.60.56/~jnz1568/getInfo.php?workbook=04_01.xlsx&amp;sheet=A0&amp;row=215&amp;col=21&amp;number=&amp;sourceID=20","")</f>
        <v/>
      </c>
    </row>
    <row r="216" spans="1:21">
      <c r="A216" s="3">
        <v>4</v>
      </c>
      <c r="B216" s="3">
        <v>1</v>
      </c>
      <c r="C216" s="3">
        <v>22</v>
      </c>
      <c r="D216" s="3">
        <v>11</v>
      </c>
      <c r="E216" s="3">
        <f>((1/(INDEX(E0!J$4:J$28,C216,1)-INDEX(E0!J$4:J$28,D216,1))))*100000000</f>
        <v>0</v>
      </c>
      <c r="F216" s="4" t="str">
        <f>HYPERLINK("http://141.218.60.56/~jnz1568/getInfo.php?workbook=04_01.xlsx&amp;sheet=A0&amp;row=216&amp;col=6&amp;number=&amp;sourceID=18","")</f>
        <v/>
      </c>
      <c r="G216" s="4" t="str">
        <f>HYPERLINK("http://141.218.60.56/~jnz1568/getInfo.php?workbook=04_01.xlsx&amp;sheet=A0&amp;row=216&amp;col=7&amp;number==&amp;sourceID=11","=")</f>
        <v>=</v>
      </c>
      <c r="H216" s="4" t="str">
        <f>HYPERLINK("http://141.218.60.56/~jnz1568/getInfo.php?workbook=04_01.xlsx&amp;sheet=A0&amp;row=216&amp;col=8&amp;number=&amp;sourceID=11","")</f>
        <v/>
      </c>
      <c r="I216" s="4" t="str">
        <f>HYPERLINK("http://141.218.60.56/~jnz1568/getInfo.php?workbook=04_01.xlsx&amp;sheet=A0&amp;row=216&amp;col=9&amp;number=2211.2&amp;sourceID=11","2211.2")</f>
        <v>2211.2</v>
      </c>
      <c r="J216" s="4" t="str">
        <f>HYPERLINK("http://141.218.60.56/~jnz1568/getInfo.php?workbook=04_01.xlsx&amp;sheet=A0&amp;row=216&amp;col=10&amp;number=&amp;sourceID=11","")</f>
        <v/>
      </c>
      <c r="K216" s="4" t="str">
        <f>HYPERLINK("http://141.218.60.56/~jnz1568/getInfo.php?workbook=04_01.xlsx&amp;sheet=A0&amp;row=216&amp;col=11&amp;number=&amp;sourceID=11","")</f>
        <v/>
      </c>
      <c r="L216" s="4" t="str">
        <f>HYPERLINK("http://141.218.60.56/~jnz1568/getInfo.php?workbook=04_01.xlsx&amp;sheet=A0&amp;row=216&amp;col=12&amp;number=&amp;sourceID=11","")</f>
        <v/>
      </c>
      <c r="M216" s="4" t="str">
        <f>HYPERLINK("http://141.218.60.56/~jnz1568/getInfo.php?workbook=04_01.xlsx&amp;sheet=A0&amp;row=216&amp;col=13&amp;number=4.5186e-08&amp;sourceID=11","4.5186e-08")</f>
        <v>4.5186e-08</v>
      </c>
      <c r="N216" s="4" t="str">
        <f>HYPERLINK("http://141.218.60.56/~jnz1568/getInfo.php?workbook=04_01.xlsx&amp;sheet=A0&amp;row=216&amp;col=14&amp;number=2211.4&amp;sourceID=12","2211.4")</f>
        <v>2211.4</v>
      </c>
      <c r="O216" s="4" t="str">
        <f>HYPERLINK("http://141.218.60.56/~jnz1568/getInfo.php?workbook=04_01.xlsx&amp;sheet=A0&amp;row=216&amp;col=15&amp;number=&amp;sourceID=12","")</f>
        <v/>
      </c>
      <c r="P216" s="4" t="str">
        <f>HYPERLINK("http://141.218.60.56/~jnz1568/getInfo.php?workbook=04_01.xlsx&amp;sheet=A0&amp;row=216&amp;col=16&amp;number=2211.4&amp;sourceID=12","2211.4")</f>
        <v>2211.4</v>
      </c>
      <c r="Q216" s="4" t="str">
        <f>HYPERLINK("http://141.218.60.56/~jnz1568/getInfo.php?workbook=04_01.xlsx&amp;sheet=A0&amp;row=216&amp;col=17&amp;number=&amp;sourceID=12","")</f>
        <v/>
      </c>
      <c r="R216" s="4" t="str">
        <f>HYPERLINK("http://141.218.60.56/~jnz1568/getInfo.php?workbook=04_01.xlsx&amp;sheet=A0&amp;row=216&amp;col=18&amp;number=&amp;sourceID=12","")</f>
        <v/>
      </c>
      <c r="S216" s="4" t="str">
        <f>HYPERLINK("http://141.218.60.56/~jnz1568/getInfo.php?workbook=04_01.xlsx&amp;sheet=A0&amp;row=216&amp;col=19&amp;number=&amp;sourceID=12","")</f>
        <v/>
      </c>
      <c r="T216" s="4" t="str">
        <f>HYPERLINK("http://141.218.60.56/~jnz1568/getInfo.php?workbook=04_01.xlsx&amp;sheet=A0&amp;row=216&amp;col=20&amp;number=4.5188e-08&amp;sourceID=12","4.5188e-08")</f>
        <v>4.5188e-08</v>
      </c>
      <c r="U216" s="4" t="str">
        <f>HYPERLINK("http://141.218.60.56/~jnz1568/getInfo.php?workbook=04_01.xlsx&amp;sheet=A0&amp;row=216&amp;col=21&amp;number=&amp;sourceID=20","")</f>
        <v/>
      </c>
    </row>
    <row r="217" spans="1:21">
      <c r="A217" s="3">
        <v>4</v>
      </c>
      <c r="B217" s="3">
        <v>1</v>
      </c>
      <c r="C217" s="3">
        <v>22</v>
      </c>
      <c r="D217" s="3">
        <v>12</v>
      </c>
      <c r="E217" s="3">
        <f>((1/(INDEX(E0!J$4:J$28,C217,1)-INDEX(E0!J$4:J$28,D217,1))))*100000000</f>
        <v>0</v>
      </c>
      <c r="F217" s="4" t="str">
        <f>HYPERLINK("http://141.218.60.56/~jnz1568/getInfo.php?workbook=04_01.xlsx&amp;sheet=A0&amp;row=217&amp;col=6&amp;number=&amp;sourceID=18","")</f>
        <v/>
      </c>
      <c r="G217" s="4" t="str">
        <f>HYPERLINK("http://141.218.60.56/~jnz1568/getInfo.php?workbook=04_01.xlsx&amp;sheet=A0&amp;row=217&amp;col=7&amp;number==&amp;sourceID=11","=")</f>
        <v>=</v>
      </c>
      <c r="H217" s="4" t="str">
        <f>HYPERLINK("http://141.218.60.56/~jnz1568/getInfo.php?workbook=04_01.xlsx&amp;sheet=A0&amp;row=217&amp;col=8&amp;number=&amp;sourceID=11","")</f>
        <v/>
      </c>
      <c r="I217" s="4" t="str">
        <f>HYPERLINK("http://141.218.60.56/~jnz1568/getInfo.php?workbook=04_01.xlsx&amp;sheet=A0&amp;row=217&amp;col=9&amp;number=217.72&amp;sourceID=11","217.72")</f>
        <v>217.72</v>
      </c>
      <c r="J217" s="4" t="str">
        <f>HYPERLINK("http://141.218.60.56/~jnz1568/getInfo.php?workbook=04_01.xlsx&amp;sheet=A0&amp;row=217&amp;col=10&amp;number=&amp;sourceID=11","")</f>
        <v/>
      </c>
      <c r="K217" s="4" t="str">
        <f>HYPERLINK("http://141.218.60.56/~jnz1568/getInfo.php?workbook=04_01.xlsx&amp;sheet=A0&amp;row=217&amp;col=11&amp;number=2.198e-06&amp;sourceID=11","2.198e-06")</f>
        <v>2.198e-06</v>
      </c>
      <c r="L217" s="4" t="str">
        <f>HYPERLINK("http://141.218.60.56/~jnz1568/getInfo.php?workbook=04_01.xlsx&amp;sheet=A0&amp;row=217&amp;col=12&amp;number=&amp;sourceID=11","")</f>
        <v/>
      </c>
      <c r="M217" s="4" t="str">
        <f>HYPERLINK("http://141.218.60.56/~jnz1568/getInfo.php?workbook=04_01.xlsx&amp;sheet=A0&amp;row=217&amp;col=13&amp;number=2.5408e-10&amp;sourceID=11","2.5408e-10")</f>
        <v>2.5408e-10</v>
      </c>
      <c r="N217" s="4" t="str">
        <f>HYPERLINK("http://141.218.60.56/~jnz1568/getInfo.php?workbook=04_01.xlsx&amp;sheet=A0&amp;row=217&amp;col=14&amp;number=217.74&amp;sourceID=12","217.74")</f>
        <v>217.74</v>
      </c>
      <c r="O217" s="4" t="str">
        <f>HYPERLINK("http://141.218.60.56/~jnz1568/getInfo.php?workbook=04_01.xlsx&amp;sheet=A0&amp;row=217&amp;col=15&amp;number=&amp;sourceID=12","")</f>
        <v/>
      </c>
      <c r="P217" s="4" t="str">
        <f>HYPERLINK("http://141.218.60.56/~jnz1568/getInfo.php?workbook=04_01.xlsx&amp;sheet=A0&amp;row=217&amp;col=16&amp;number=217.74&amp;sourceID=12","217.74")</f>
        <v>217.74</v>
      </c>
      <c r="Q217" s="4" t="str">
        <f>HYPERLINK("http://141.218.60.56/~jnz1568/getInfo.php?workbook=04_01.xlsx&amp;sheet=A0&amp;row=217&amp;col=17&amp;number=&amp;sourceID=12","")</f>
        <v/>
      </c>
      <c r="R217" s="4" t="str">
        <f>HYPERLINK("http://141.218.60.56/~jnz1568/getInfo.php?workbook=04_01.xlsx&amp;sheet=A0&amp;row=217&amp;col=18&amp;number=2.1987e-06&amp;sourceID=12","2.1987e-06")</f>
        <v>2.1987e-06</v>
      </c>
      <c r="S217" s="4" t="str">
        <f>HYPERLINK("http://141.218.60.56/~jnz1568/getInfo.php?workbook=04_01.xlsx&amp;sheet=A0&amp;row=217&amp;col=19&amp;number=&amp;sourceID=12","")</f>
        <v/>
      </c>
      <c r="T217" s="4" t="str">
        <f>HYPERLINK("http://141.218.60.56/~jnz1568/getInfo.php?workbook=04_01.xlsx&amp;sheet=A0&amp;row=217&amp;col=20&amp;number=2.541e-10&amp;sourceID=12","2.541e-10")</f>
        <v>2.541e-10</v>
      </c>
      <c r="U217" s="4" t="str">
        <f>HYPERLINK("http://141.218.60.56/~jnz1568/getInfo.php?workbook=04_01.xlsx&amp;sheet=A0&amp;row=217&amp;col=21&amp;number=&amp;sourceID=20","")</f>
        <v/>
      </c>
    </row>
    <row r="218" spans="1:21">
      <c r="A218" s="3">
        <v>4</v>
      </c>
      <c r="B218" s="3">
        <v>1</v>
      </c>
      <c r="C218" s="3">
        <v>22</v>
      </c>
      <c r="D218" s="3">
        <v>13</v>
      </c>
      <c r="E218" s="3">
        <f>((1/(INDEX(E0!J$4:J$28,C218,1)-INDEX(E0!J$4:J$28,D218,1))))*100000000</f>
        <v>0</v>
      </c>
      <c r="F218" s="4" t="str">
        <f>HYPERLINK("http://141.218.60.56/~jnz1568/getInfo.php?workbook=04_01.xlsx&amp;sheet=A0&amp;row=218&amp;col=6&amp;number=&amp;sourceID=18","")</f>
        <v/>
      </c>
      <c r="G218" s="4" t="str">
        <f>HYPERLINK("http://141.218.60.56/~jnz1568/getInfo.php?workbook=04_01.xlsx&amp;sheet=A0&amp;row=218&amp;col=7&amp;number==&amp;sourceID=11","=")</f>
        <v>=</v>
      </c>
      <c r="H218" s="4" t="str">
        <f>HYPERLINK("http://141.218.60.56/~jnz1568/getInfo.php?workbook=04_01.xlsx&amp;sheet=A0&amp;row=218&amp;col=8&amp;number=380520000&amp;sourceID=11","380520000")</f>
        <v>380520000</v>
      </c>
      <c r="I218" s="4" t="str">
        <f>HYPERLINK("http://141.218.60.56/~jnz1568/getInfo.php?workbook=04_01.xlsx&amp;sheet=A0&amp;row=218&amp;col=9&amp;number=&amp;sourceID=11","")</f>
        <v/>
      </c>
      <c r="J218" s="4" t="str">
        <f>HYPERLINK("http://141.218.60.56/~jnz1568/getInfo.php?workbook=04_01.xlsx&amp;sheet=A0&amp;row=218&amp;col=10&amp;number=0.0038127&amp;sourceID=11","0.0038127")</f>
        <v>0.0038127</v>
      </c>
      <c r="K218" s="4" t="str">
        <f>HYPERLINK("http://141.218.60.56/~jnz1568/getInfo.php?workbook=04_01.xlsx&amp;sheet=A0&amp;row=218&amp;col=11&amp;number=&amp;sourceID=11","")</f>
        <v/>
      </c>
      <c r="L218" s="4" t="str">
        <f>HYPERLINK("http://141.218.60.56/~jnz1568/getInfo.php?workbook=04_01.xlsx&amp;sheet=A0&amp;row=218&amp;col=12&amp;number=0.0084997&amp;sourceID=11","0.0084997")</f>
        <v>0.0084997</v>
      </c>
      <c r="M218" s="4" t="str">
        <f>HYPERLINK("http://141.218.60.56/~jnz1568/getInfo.php?workbook=04_01.xlsx&amp;sheet=A0&amp;row=218&amp;col=13&amp;number=&amp;sourceID=11","")</f>
        <v/>
      </c>
      <c r="N218" s="4" t="str">
        <f>HYPERLINK("http://141.218.60.56/~jnz1568/getInfo.php?workbook=04_01.xlsx&amp;sheet=A0&amp;row=218&amp;col=14&amp;number=380540000&amp;sourceID=12","380540000")</f>
        <v>380540000</v>
      </c>
      <c r="O218" s="4" t="str">
        <f>HYPERLINK("http://141.218.60.56/~jnz1568/getInfo.php?workbook=04_01.xlsx&amp;sheet=A0&amp;row=218&amp;col=15&amp;number=380540000&amp;sourceID=12","380540000")</f>
        <v>380540000</v>
      </c>
      <c r="P218" s="4" t="str">
        <f>HYPERLINK("http://141.218.60.56/~jnz1568/getInfo.php?workbook=04_01.xlsx&amp;sheet=A0&amp;row=218&amp;col=16&amp;number=&amp;sourceID=12","")</f>
        <v/>
      </c>
      <c r="Q218" s="4" t="str">
        <f>HYPERLINK("http://141.218.60.56/~jnz1568/getInfo.php?workbook=04_01.xlsx&amp;sheet=A0&amp;row=218&amp;col=17&amp;number=0.0038129&amp;sourceID=12","0.0038129")</f>
        <v>0.0038129</v>
      </c>
      <c r="R218" s="4" t="str">
        <f>HYPERLINK("http://141.218.60.56/~jnz1568/getInfo.php?workbook=04_01.xlsx&amp;sheet=A0&amp;row=218&amp;col=18&amp;number=&amp;sourceID=12","")</f>
        <v/>
      </c>
      <c r="S218" s="4" t="str">
        <f>HYPERLINK("http://141.218.60.56/~jnz1568/getInfo.php?workbook=04_01.xlsx&amp;sheet=A0&amp;row=218&amp;col=19&amp;number=0.0085002&amp;sourceID=12","0.0085002")</f>
        <v>0.0085002</v>
      </c>
      <c r="T218" s="4" t="str">
        <f>HYPERLINK("http://141.218.60.56/~jnz1568/getInfo.php?workbook=04_01.xlsx&amp;sheet=A0&amp;row=218&amp;col=20&amp;number=&amp;sourceID=12","")</f>
        <v/>
      </c>
      <c r="U218" s="4" t="str">
        <f>HYPERLINK("http://141.218.60.56/~jnz1568/getInfo.php?workbook=04_01.xlsx&amp;sheet=A0&amp;row=218&amp;col=21&amp;number=&amp;sourceID=20","")</f>
        <v/>
      </c>
    </row>
    <row r="219" spans="1:21">
      <c r="A219" s="3">
        <v>4</v>
      </c>
      <c r="B219" s="3">
        <v>1</v>
      </c>
      <c r="C219" s="3">
        <v>22</v>
      </c>
      <c r="D219" s="3">
        <v>14</v>
      </c>
      <c r="E219" s="3">
        <f>((1/(INDEX(E0!J$4:J$28,C219,1)-INDEX(E0!J$4:J$28,D219,1))))*100000000</f>
        <v>0</v>
      </c>
      <c r="F219" s="4" t="str">
        <f>HYPERLINK("http://141.218.60.56/~jnz1568/getInfo.php?workbook=04_01.xlsx&amp;sheet=A0&amp;row=219&amp;col=6&amp;number=&amp;sourceID=18","")</f>
        <v/>
      </c>
      <c r="G219" s="4" t="str">
        <f>HYPERLINK("http://141.218.60.56/~jnz1568/getInfo.php?workbook=04_01.xlsx&amp;sheet=A0&amp;row=219&amp;col=7&amp;number==&amp;sourceID=11","=")</f>
        <v>=</v>
      </c>
      <c r="H219" s="4" t="str">
        <f>HYPERLINK("http://141.218.60.56/~jnz1568/getInfo.php?workbook=04_01.xlsx&amp;sheet=A0&amp;row=219&amp;col=8&amp;number=615690&amp;sourceID=11","615690")</f>
        <v>615690</v>
      </c>
      <c r="I219" s="4" t="str">
        <f>HYPERLINK("http://141.218.60.56/~jnz1568/getInfo.php?workbook=04_01.xlsx&amp;sheet=A0&amp;row=219&amp;col=9&amp;number=&amp;sourceID=11","")</f>
        <v/>
      </c>
      <c r="J219" s="4" t="str">
        <f>HYPERLINK("http://141.218.60.56/~jnz1568/getInfo.php?workbook=04_01.xlsx&amp;sheet=A0&amp;row=219&amp;col=10&amp;number=0.00034325&amp;sourceID=11","0.00034325")</f>
        <v>0.00034325</v>
      </c>
      <c r="K219" s="4" t="str">
        <f>HYPERLINK("http://141.218.60.56/~jnz1568/getInfo.php?workbook=04_01.xlsx&amp;sheet=A0&amp;row=219&amp;col=11&amp;number=&amp;sourceID=11","")</f>
        <v/>
      </c>
      <c r="L219" s="4" t="str">
        <f>HYPERLINK("http://141.218.60.56/~jnz1568/getInfo.php?workbook=04_01.xlsx&amp;sheet=A0&amp;row=219&amp;col=12&amp;number=&amp;sourceID=11","")</f>
        <v/>
      </c>
      <c r="M219" s="4" t="str">
        <f>HYPERLINK("http://141.218.60.56/~jnz1568/getInfo.php?workbook=04_01.xlsx&amp;sheet=A0&amp;row=219&amp;col=13&amp;number=&amp;sourceID=11","")</f>
        <v/>
      </c>
      <c r="N219" s="4" t="str">
        <f>HYPERLINK("http://141.218.60.56/~jnz1568/getInfo.php?workbook=04_01.xlsx&amp;sheet=A0&amp;row=219&amp;col=14&amp;number=615730&amp;sourceID=12","615730")</f>
        <v>615730</v>
      </c>
      <c r="O219" s="4" t="str">
        <f>HYPERLINK("http://141.218.60.56/~jnz1568/getInfo.php?workbook=04_01.xlsx&amp;sheet=A0&amp;row=219&amp;col=15&amp;number=615730&amp;sourceID=12","615730")</f>
        <v>615730</v>
      </c>
      <c r="P219" s="4" t="str">
        <f>HYPERLINK("http://141.218.60.56/~jnz1568/getInfo.php?workbook=04_01.xlsx&amp;sheet=A0&amp;row=219&amp;col=16&amp;number=&amp;sourceID=12","")</f>
        <v/>
      </c>
      <c r="Q219" s="4" t="str">
        <f>HYPERLINK("http://141.218.60.56/~jnz1568/getInfo.php?workbook=04_01.xlsx&amp;sheet=A0&amp;row=219&amp;col=17&amp;number=0.00034327&amp;sourceID=12","0.00034327")</f>
        <v>0.00034327</v>
      </c>
      <c r="R219" s="4" t="str">
        <f>HYPERLINK("http://141.218.60.56/~jnz1568/getInfo.php?workbook=04_01.xlsx&amp;sheet=A0&amp;row=219&amp;col=18&amp;number=&amp;sourceID=12","")</f>
        <v/>
      </c>
      <c r="S219" s="4" t="str">
        <f>HYPERLINK("http://141.218.60.56/~jnz1568/getInfo.php?workbook=04_01.xlsx&amp;sheet=A0&amp;row=219&amp;col=19&amp;number=&amp;sourceID=12","")</f>
        <v/>
      </c>
      <c r="T219" s="4" t="str">
        <f>HYPERLINK("http://141.218.60.56/~jnz1568/getInfo.php?workbook=04_01.xlsx&amp;sheet=A0&amp;row=219&amp;col=20&amp;number=&amp;sourceID=12","")</f>
        <v/>
      </c>
      <c r="U219" s="4" t="str">
        <f>HYPERLINK("http://141.218.60.56/~jnz1568/getInfo.php?workbook=04_01.xlsx&amp;sheet=A0&amp;row=219&amp;col=21&amp;number=&amp;sourceID=20","")</f>
        <v/>
      </c>
    </row>
    <row r="220" spans="1:21">
      <c r="A220" s="3">
        <v>4</v>
      </c>
      <c r="B220" s="3">
        <v>1</v>
      </c>
      <c r="C220" s="3">
        <v>22</v>
      </c>
      <c r="D220" s="3">
        <v>15</v>
      </c>
      <c r="E220" s="3">
        <f>((1/(INDEX(E0!J$4:J$28,C220,1)-INDEX(E0!J$4:J$28,D220,1))))*100000000</f>
        <v>0</v>
      </c>
      <c r="F220" s="4" t="str">
        <f>HYPERLINK("http://141.218.60.56/~jnz1568/getInfo.php?workbook=04_01.xlsx&amp;sheet=A0&amp;row=220&amp;col=6&amp;number=&amp;sourceID=18","")</f>
        <v/>
      </c>
      <c r="G220" s="4" t="str">
        <f>HYPERLINK("http://141.218.60.56/~jnz1568/getInfo.php?workbook=04_01.xlsx&amp;sheet=A0&amp;row=220&amp;col=7&amp;number==&amp;sourceID=11","=")</f>
        <v>=</v>
      </c>
      <c r="H220" s="4" t="str">
        <f>HYPERLINK("http://141.218.60.56/~jnz1568/getInfo.php?workbook=04_01.xlsx&amp;sheet=A0&amp;row=220&amp;col=8&amp;number=&amp;sourceID=11","")</f>
        <v/>
      </c>
      <c r="I220" s="4" t="str">
        <f>HYPERLINK("http://141.218.60.56/~jnz1568/getInfo.php?workbook=04_01.xlsx&amp;sheet=A0&amp;row=220&amp;col=9&amp;number=870.81&amp;sourceID=11","870.81")</f>
        <v>870.81</v>
      </c>
      <c r="J220" s="4" t="str">
        <f>HYPERLINK("http://141.218.60.56/~jnz1568/getInfo.php?workbook=04_01.xlsx&amp;sheet=A0&amp;row=220&amp;col=10&amp;number=&amp;sourceID=11","")</f>
        <v/>
      </c>
      <c r="K220" s="4" t="str">
        <f>HYPERLINK("http://141.218.60.56/~jnz1568/getInfo.php?workbook=04_01.xlsx&amp;sheet=A0&amp;row=220&amp;col=11&amp;number=3.0426e-06&amp;sourceID=11","3.0426e-06")</f>
        <v>3.0426e-06</v>
      </c>
      <c r="L220" s="4" t="str">
        <f>HYPERLINK("http://141.218.60.56/~jnz1568/getInfo.php?workbook=04_01.xlsx&amp;sheet=A0&amp;row=220&amp;col=12&amp;number=&amp;sourceID=11","")</f>
        <v/>
      </c>
      <c r="M220" s="4" t="str">
        <f>HYPERLINK("http://141.218.60.56/~jnz1568/getInfo.php?workbook=04_01.xlsx&amp;sheet=A0&amp;row=220&amp;col=13&amp;number=3.0862e-08&amp;sourceID=11","3.0862e-08")</f>
        <v>3.0862e-08</v>
      </c>
      <c r="N220" s="4" t="str">
        <f>HYPERLINK("http://141.218.60.56/~jnz1568/getInfo.php?workbook=04_01.xlsx&amp;sheet=A0&amp;row=220&amp;col=14&amp;number=870.87&amp;sourceID=12","870.87")</f>
        <v>870.87</v>
      </c>
      <c r="O220" s="4" t="str">
        <f>HYPERLINK("http://141.218.60.56/~jnz1568/getInfo.php?workbook=04_01.xlsx&amp;sheet=A0&amp;row=220&amp;col=15&amp;number=&amp;sourceID=12","")</f>
        <v/>
      </c>
      <c r="P220" s="4" t="str">
        <f>HYPERLINK("http://141.218.60.56/~jnz1568/getInfo.php?workbook=04_01.xlsx&amp;sheet=A0&amp;row=220&amp;col=16&amp;number=870.87&amp;sourceID=12","870.87")</f>
        <v>870.87</v>
      </c>
      <c r="Q220" s="4" t="str">
        <f>HYPERLINK("http://141.218.60.56/~jnz1568/getInfo.php?workbook=04_01.xlsx&amp;sheet=A0&amp;row=220&amp;col=17&amp;number=&amp;sourceID=12","")</f>
        <v/>
      </c>
      <c r="R220" s="4" t="str">
        <f>HYPERLINK("http://141.218.60.56/~jnz1568/getInfo.php?workbook=04_01.xlsx&amp;sheet=A0&amp;row=220&amp;col=18&amp;number=3.0428e-06&amp;sourceID=12","3.0428e-06")</f>
        <v>3.0428e-06</v>
      </c>
      <c r="S220" s="4" t="str">
        <f>HYPERLINK("http://141.218.60.56/~jnz1568/getInfo.php?workbook=04_01.xlsx&amp;sheet=A0&amp;row=220&amp;col=19&amp;number=&amp;sourceID=12","")</f>
        <v/>
      </c>
      <c r="T220" s="4" t="str">
        <f>HYPERLINK("http://141.218.60.56/~jnz1568/getInfo.php?workbook=04_01.xlsx&amp;sheet=A0&amp;row=220&amp;col=20&amp;number=3.0864e-08&amp;sourceID=12","3.0864e-08")</f>
        <v>3.0864e-08</v>
      </c>
      <c r="U220" s="4" t="str">
        <f>HYPERLINK("http://141.218.60.56/~jnz1568/getInfo.php?workbook=04_01.xlsx&amp;sheet=A0&amp;row=220&amp;col=21&amp;number=&amp;sourceID=20","")</f>
        <v/>
      </c>
    </row>
    <row r="221" spans="1:21">
      <c r="A221" s="3">
        <v>4</v>
      </c>
      <c r="B221" s="3">
        <v>1</v>
      </c>
      <c r="C221" s="3">
        <v>22</v>
      </c>
      <c r="D221" s="3">
        <v>16</v>
      </c>
      <c r="E221" s="3">
        <f>((1/(INDEX(E0!J$4:J$28,C221,1)-INDEX(E0!J$4:J$28,D221,1))))*100000000</f>
        <v>0</v>
      </c>
      <c r="F221" s="4" t="str">
        <f>HYPERLINK("http://141.218.60.56/~jnz1568/getInfo.php?workbook=04_01.xlsx&amp;sheet=A0&amp;row=221&amp;col=6&amp;number=&amp;sourceID=18","")</f>
        <v/>
      </c>
      <c r="G221" s="4" t="str">
        <f>HYPERLINK("http://141.218.60.56/~jnz1568/getInfo.php?workbook=04_01.xlsx&amp;sheet=A0&amp;row=221&amp;col=7&amp;number==&amp;sourceID=11","=")</f>
        <v>=</v>
      </c>
      <c r="H221" s="4" t="str">
        <f>HYPERLINK("http://141.218.60.56/~jnz1568/getInfo.php?workbook=04_01.xlsx&amp;sheet=A0&amp;row=221&amp;col=8&amp;number=12319000&amp;sourceID=11","12319000")</f>
        <v>12319000</v>
      </c>
      <c r="I221" s="4" t="str">
        <f>HYPERLINK("http://141.218.60.56/~jnz1568/getInfo.php?workbook=04_01.xlsx&amp;sheet=A0&amp;row=221&amp;col=9&amp;number=&amp;sourceID=11","")</f>
        <v/>
      </c>
      <c r="J221" s="4" t="str">
        <f>HYPERLINK("http://141.218.60.56/~jnz1568/getInfo.php?workbook=04_01.xlsx&amp;sheet=A0&amp;row=221&amp;col=10&amp;number=0.00085802&amp;sourceID=11","0.00085802")</f>
        <v>0.00085802</v>
      </c>
      <c r="K221" s="4" t="str">
        <f>HYPERLINK("http://141.218.60.56/~jnz1568/getInfo.php?workbook=04_01.xlsx&amp;sheet=A0&amp;row=221&amp;col=11&amp;number=&amp;sourceID=11","")</f>
        <v/>
      </c>
      <c r="L221" s="4" t="str">
        <f>HYPERLINK("http://141.218.60.56/~jnz1568/getInfo.php?workbook=04_01.xlsx&amp;sheet=A0&amp;row=221&amp;col=12&amp;number=0.00041595&amp;sourceID=11","0.00041595")</f>
        <v>0.00041595</v>
      </c>
      <c r="M221" s="4" t="str">
        <f>HYPERLINK("http://141.218.60.56/~jnz1568/getInfo.php?workbook=04_01.xlsx&amp;sheet=A0&amp;row=221&amp;col=13&amp;number=&amp;sourceID=11","")</f>
        <v/>
      </c>
      <c r="N221" s="4" t="str">
        <f>HYPERLINK("http://141.218.60.56/~jnz1568/getInfo.php?workbook=04_01.xlsx&amp;sheet=A0&amp;row=221&amp;col=14&amp;number=12319000&amp;sourceID=12","12319000")</f>
        <v>12319000</v>
      </c>
      <c r="O221" s="4" t="str">
        <f>HYPERLINK("http://141.218.60.56/~jnz1568/getInfo.php?workbook=04_01.xlsx&amp;sheet=A0&amp;row=221&amp;col=15&amp;number=12319000&amp;sourceID=12","12319000")</f>
        <v>12319000</v>
      </c>
      <c r="P221" s="4" t="str">
        <f>HYPERLINK("http://141.218.60.56/~jnz1568/getInfo.php?workbook=04_01.xlsx&amp;sheet=A0&amp;row=221&amp;col=16&amp;number=&amp;sourceID=12","")</f>
        <v/>
      </c>
      <c r="Q221" s="4" t="str">
        <f>HYPERLINK("http://141.218.60.56/~jnz1568/getInfo.php?workbook=04_01.xlsx&amp;sheet=A0&amp;row=221&amp;col=17&amp;number=0.00085807&amp;sourceID=12","0.00085807")</f>
        <v>0.00085807</v>
      </c>
      <c r="R221" s="4" t="str">
        <f>HYPERLINK("http://141.218.60.56/~jnz1568/getInfo.php?workbook=04_01.xlsx&amp;sheet=A0&amp;row=221&amp;col=18&amp;number=&amp;sourceID=12","")</f>
        <v/>
      </c>
      <c r="S221" s="4" t="str">
        <f>HYPERLINK("http://141.218.60.56/~jnz1568/getInfo.php?workbook=04_01.xlsx&amp;sheet=A0&amp;row=221&amp;col=19&amp;number=0.00041597&amp;sourceID=12","0.00041597")</f>
        <v>0.00041597</v>
      </c>
      <c r="T221" s="4" t="str">
        <f>HYPERLINK("http://141.218.60.56/~jnz1568/getInfo.php?workbook=04_01.xlsx&amp;sheet=A0&amp;row=221&amp;col=20&amp;number=&amp;sourceID=12","")</f>
        <v/>
      </c>
      <c r="U221" s="4" t="str">
        <f>HYPERLINK("http://141.218.60.56/~jnz1568/getInfo.php?workbook=04_01.xlsx&amp;sheet=A0&amp;row=221&amp;col=21&amp;number=&amp;sourceID=20","")</f>
        <v/>
      </c>
    </row>
    <row r="222" spans="1:21">
      <c r="A222" s="3">
        <v>4</v>
      </c>
      <c r="B222" s="3">
        <v>1</v>
      </c>
      <c r="C222" s="3">
        <v>22</v>
      </c>
      <c r="D222" s="3">
        <v>17</v>
      </c>
      <c r="E222" s="3">
        <f>((1/(INDEX(E0!J$4:J$28,C222,1)-INDEX(E0!J$4:J$28,D222,1))))*100000000</f>
        <v>0</v>
      </c>
      <c r="F222" s="4" t="str">
        <f>HYPERLINK("http://141.218.60.56/~jnz1568/getInfo.php?workbook=04_01.xlsx&amp;sheet=A0&amp;row=222&amp;col=6&amp;number=&amp;sourceID=18","")</f>
        <v/>
      </c>
      <c r="G222" s="4" t="str">
        <f>HYPERLINK("http://141.218.60.56/~jnz1568/getInfo.php?workbook=04_01.xlsx&amp;sheet=A0&amp;row=222&amp;col=7&amp;number==&amp;sourceID=11","=")</f>
        <v>=</v>
      </c>
      <c r="H222" s="4" t="str">
        <f>HYPERLINK("http://141.218.60.56/~jnz1568/getInfo.php?workbook=04_01.xlsx&amp;sheet=A0&amp;row=222&amp;col=8&amp;number=&amp;sourceID=11","")</f>
        <v/>
      </c>
      <c r="I222" s="4" t="str">
        <f>HYPERLINK("http://141.218.60.56/~jnz1568/getInfo.php?workbook=04_01.xlsx&amp;sheet=A0&amp;row=222&amp;col=9&amp;number=&amp;sourceID=11","")</f>
        <v/>
      </c>
      <c r="J222" s="4" t="str">
        <f>HYPERLINK("http://141.218.60.56/~jnz1568/getInfo.php?workbook=04_01.xlsx&amp;sheet=A0&amp;row=222&amp;col=10&amp;number=0&amp;sourceID=11","0")</f>
        <v>0</v>
      </c>
      <c r="K222" s="4" t="str">
        <f>HYPERLINK("http://141.218.60.56/~jnz1568/getInfo.php?workbook=04_01.xlsx&amp;sheet=A0&amp;row=222&amp;col=11&amp;number=&amp;sourceID=11","")</f>
        <v/>
      </c>
      <c r="L222" s="4" t="str">
        <f>HYPERLINK("http://141.218.60.56/~jnz1568/getInfo.php?workbook=04_01.xlsx&amp;sheet=A0&amp;row=222&amp;col=12&amp;number=0&amp;sourceID=11","0")</f>
        <v>0</v>
      </c>
      <c r="M222" s="4" t="str">
        <f>HYPERLINK("http://141.218.60.56/~jnz1568/getInfo.php?workbook=04_01.xlsx&amp;sheet=A0&amp;row=222&amp;col=13&amp;number=&amp;sourceID=11","")</f>
        <v/>
      </c>
      <c r="N222" s="4" t="str">
        <f>HYPERLINK("http://141.218.60.56/~jnz1568/getInfo.php?workbook=04_01.xlsx&amp;sheet=A0&amp;row=222&amp;col=14&amp;number=0&amp;sourceID=12","0")</f>
        <v>0</v>
      </c>
      <c r="O222" s="4" t="str">
        <f>HYPERLINK("http://141.218.60.56/~jnz1568/getInfo.php?workbook=04_01.xlsx&amp;sheet=A0&amp;row=222&amp;col=15&amp;number=&amp;sourceID=12","")</f>
        <v/>
      </c>
      <c r="P222" s="4" t="str">
        <f>HYPERLINK("http://141.218.60.56/~jnz1568/getInfo.php?workbook=04_01.xlsx&amp;sheet=A0&amp;row=222&amp;col=16&amp;number=&amp;sourceID=12","")</f>
        <v/>
      </c>
      <c r="Q222" s="4" t="str">
        <f>HYPERLINK("http://141.218.60.56/~jnz1568/getInfo.php?workbook=04_01.xlsx&amp;sheet=A0&amp;row=222&amp;col=17&amp;number=0&amp;sourceID=12","0")</f>
        <v>0</v>
      </c>
      <c r="R222" s="4" t="str">
        <f>HYPERLINK("http://141.218.60.56/~jnz1568/getInfo.php?workbook=04_01.xlsx&amp;sheet=A0&amp;row=222&amp;col=18&amp;number=&amp;sourceID=12","")</f>
        <v/>
      </c>
      <c r="S222" s="4" t="str">
        <f>HYPERLINK("http://141.218.60.56/~jnz1568/getInfo.php?workbook=04_01.xlsx&amp;sheet=A0&amp;row=222&amp;col=19&amp;number=0&amp;sourceID=12","0")</f>
        <v>0</v>
      </c>
      <c r="T222" s="4" t="str">
        <f>HYPERLINK("http://141.218.60.56/~jnz1568/getInfo.php?workbook=04_01.xlsx&amp;sheet=A0&amp;row=222&amp;col=20&amp;number=&amp;sourceID=12","")</f>
        <v/>
      </c>
      <c r="U222" s="4" t="str">
        <f>HYPERLINK("http://141.218.60.56/~jnz1568/getInfo.php?workbook=04_01.xlsx&amp;sheet=A0&amp;row=222&amp;col=21&amp;number=&amp;sourceID=20","")</f>
        <v/>
      </c>
    </row>
    <row r="223" spans="1:21">
      <c r="A223" s="3">
        <v>4</v>
      </c>
      <c r="B223" s="3">
        <v>1</v>
      </c>
      <c r="C223" s="3">
        <v>22</v>
      </c>
      <c r="D223" s="3">
        <v>18</v>
      </c>
      <c r="E223" s="3">
        <f>((1/(INDEX(E0!J$4:J$28,C223,1)-INDEX(E0!J$4:J$28,D223,1))))*100000000</f>
        <v>0</v>
      </c>
      <c r="F223" s="4" t="str">
        <f>HYPERLINK("http://141.218.60.56/~jnz1568/getInfo.php?workbook=04_01.xlsx&amp;sheet=A0&amp;row=223&amp;col=6&amp;number=&amp;sourceID=18","")</f>
        <v/>
      </c>
      <c r="G223" s="4" t="str">
        <f>HYPERLINK("http://141.218.60.56/~jnz1568/getInfo.php?workbook=04_01.xlsx&amp;sheet=A0&amp;row=223&amp;col=7&amp;number==&amp;sourceID=11","=")</f>
        <v>=</v>
      </c>
      <c r="H223" s="4" t="str">
        <f>HYPERLINK("http://141.218.60.56/~jnz1568/getInfo.php?workbook=04_01.xlsx&amp;sheet=A0&amp;row=223&amp;col=8&amp;number=&amp;sourceID=11","")</f>
        <v/>
      </c>
      <c r="I223" s="4" t="str">
        <f>HYPERLINK("http://141.218.60.56/~jnz1568/getInfo.php?workbook=04_01.xlsx&amp;sheet=A0&amp;row=223&amp;col=9&amp;number=6e-15&amp;sourceID=11","6e-15")</f>
        <v>6e-15</v>
      </c>
      <c r="J223" s="4" t="str">
        <f>HYPERLINK("http://141.218.60.56/~jnz1568/getInfo.php?workbook=04_01.xlsx&amp;sheet=A0&amp;row=223&amp;col=10&amp;number=&amp;sourceID=11","")</f>
        <v/>
      </c>
      <c r="K223" s="4" t="str">
        <f>HYPERLINK("http://141.218.60.56/~jnz1568/getInfo.php?workbook=04_01.xlsx&amp;sheet=A0&amp;row=223&amp;col=11&amp;number=&amp;sourceID=11","")</f>
        <v/>
      </c>
      <c r="L223" s="4" t="str">
        <f>HYPERLINK("http://141.218.60.56/~jnz1568/getInfo.php?workbook=04_01.xlsx&amp;sheet=A0&amp;row=223&amp;col=12&amp;number=&amp;sourceID=11","")</f>
        <v/>
      </c>
      <c r="M223" s="4" t="str">
        <f>HYPERLINK("http://141.218.60.56/~jnz1568/getInfo.php?workbook=04_01.xlsx&amp;sheet=A0&amp;row=223&amp;col=13&amp;number=0&amp;sourceID=11","0")</f>
        <v>0</v>
      </c>
      <c r="N223" s="4" t="str">
        <f>HYPERLINK("http://141.218.60.56/~jnz1568/getInfo.php?workbook=04_01.xlsx&amp;sheet=A0&amp;row=223&amp;col=14&amp;number=6e-15&amp;sourceID=12","6e-15")</f>
        <v>6e-15</v>
      </c>
      <c r="O223" s="4" t="str">
        <f>HYPERLINK("http://141.218.60.56/~jnz1568/getInfo.php?workbook=04_01.xlsx&amp;sheet=A0&amp;row=223&amp;col=15&amp;number=&amp;sourceID=12","")</f>
        <v/>
      </c>
      <c r="P223" s="4" t="str">
        <f>HYPERLINK("http://141.218.60.56/~jnz1568/getInfo.php?workbook=04_01.xlsx&amp;sheet=A0&amp;row=223&amp;col=16&amp;number=6e-15&amp;sourceID=12","6e-15")</f>
        <v>6e-15</v>
      </c>
      <c r="Q223" s="4" t="str">
        <f>HYPERLINK("http://141.218.60.56/~jnz1568/getInfo.php?workbook=04_01.xlsx&amp;sheet=A0&amp;row=223&amp;col=17&amp;number=&amp;sourceID=12","")</f>
        <v/>
      </c>
      <c r="R223" s="4" t="str">
        <f>HYPERLINK("http://141.218.60.56/~jnz1568/getInfo.php?workbook=04_01.xlsx&amp;sheet=A0&amp;row=223&amp;col=18&amp;number=&amp;sourceID=12","")</f>
        <v/>
      </c>
      <c r="S223" s="4" t="str">
        <f>HYPERLINK("http://141.218.60.56/~jnz1568/getInfo.php?workbook=04_01.xlsx&amp;sheet=A0&amp;row=223&amp;col=19&amp;number=&amp;sourceID=12","")</f>
        <v/>
      </c>
      <c r="T223" s="4" t="str">
        <f>HYPERLINK("http://141.218.60.56/~jnz1568/getInfo.php?workbook=04_01.xlsx&amp;sheet=A0&amp;row=223&amp;col=20&amp;number=0&amp;sourceID=12","0")</f>
        <v>0</v>
      </c>
      <c r="U223" s="4" t="str">
        <f>HYPERLINK("http://141.218.60.56/~jnz1568/getInfo.php?workbook=04_01.xlsx&amp;sheet=A0&amp;row=223&amp;col=21&amp;number=&amp;sourceID=20","")</f>
        <v/>
      </c>
    </row>
    <row r="224" spans="1:21">
      <c r="A224" s="3">
        <v>4</v>
      </c>
      <c r="B224" s="3">
        <v>1</v>
      </c>
      <c r="C224" s="3">
        <v>22</v>
      </c>
      <c r="D224" s="3">
        <v>19</v>
      </c>
      <c r="E224" s="3">
        <f>((1/(INDEX(E0!J$4:J$28,C224,1)-INDEX(E0!J$4:J$28,D224,1))))*100000000</f>
        <v>0</v>
      </c>
      <c r="F224" s="4" t="str">
        <f>HYPERLINK("http://141.218.60.56/~jnz1568/getInfo.php?workbook=04_01.xlsx&amp;sheet=A0&amp;row=224&amp;col=6&amp;number=&amp;sourceID=18","")</f>
        <v/>
      </c>
      <c r="G224" s="4" t="str">
        <f>HYPERLINK("http://141.218.60.56/~jnz1568/getInfo.php?workbook=04_01.xlsx&amp;sheet=A0&amp;row=224&amp;col=7&amp;number==&amp;sourceID=11","=")</f>
        <v>=</v>
      </c>
      <c r="H224" s="4" t="str">
        <f>HYPERLINK("http://141.218.60.56/~jnz1568/getInfo.php?workbook=04_01.xlsx&amp;sheet=A0&amp;row=224&amp;col=8&amp;number=&amp;sourceID=11","")</f>
        <v/>
      </c>
      <c r="I224" s="4" t="str">
        <f>HYPERLINK("http://141.218.60.56/~jnz1568/getInfo.php?workbook=04_01.xlsx&amp;sheet=A0&amp;row=224&amp;col=9&amp;number=0&amp;sourceID=11","0")</f>
        <v>0</v>
      </c>
      <c r="J224" s="4" t="str">
        <f>HYPERLINK("http://141.218.60.56/~jnz1568/getInfo.php?workbook=04_01.xlsx&amp;sheet=A0&amp;row=224&amp;col=10&amp;number=&amp;sourceID=11","")</f>
        <v/>
      </c>
      <c r="K224" s="4" t="str">
        <f>HYPERLINK("http://141.218.60.56/~jnz1568/getInfo.php?workbook=04_01.xlsx&amp;sheet=A0&amp;row=224&amp;col=11&amp;number=8.5659e-11&amp;sourceID=11","8.5659e-11")</f>
        <v>8.5659e-11</v>
      </c>
      <c r="L224" s="4" t="str">
        <f>HYPERLINK("http://141.218.60.56/~jnz1568/getInfo.php?workbook=04_01.xlsx&amp;sheet=A0&amp;row=224&amp;col=12&amp;number=&amp;sourceID=11","")</f>
        <v/>
      </c>
      <c r="M224" s="4" t="str">
        <f>HYPERLINK("http://141.218.60.56/~jnz1568/getInfo.php?workbook=04_01.xlsx&amp;sheet=A0&amp;row=224&amp;col=13&amp;number=0&amp;sourceID=11","0")</f>
        <v>0</v>
      </c>
      <c r="N224" s="4" t="str">
        <f>HYPERLINK("http://141.218.60.56/~jnz1568/getInfo.php?workbook=04_01.xlsx&amp;sheet=A0&amp;row=224&amp;col=14&amp;number=8.5731e-11&amp;sourceID=12","8.5731e-11")</f>
        <v>8.5731e-11</v>
      </c>
      <c r="O224" s="4" t="str">
        <f>HYPERLINK("http://141.218.60.56/~jnz1568/getInfo.php?workbook=04_01.xlsx&amp;sheet=A0&amp;row=224&amp;col=15&amp;number=&amp;sourceID=12","")</f>
        <v/>
      </c>
      <c r="P224" s="4" t="str">
        <f>HYPERLINK("http://141.218.60.56/~jnz1568/getInfo.php?workbook=04_01.xlsx&amp;sheet=A0&amp;row=224&amp;col=16&amp;number=0&amp;sourceID=12","0")</f>
        <v>0</v>
      </c>
      <c r="Q224" s="4" t="str">
        <f>HYPERLINK("http://141.218.60.56/~jnz1568/getInfo.php?workbook=04_01.xlsx&amp;sheet=A0&amp;row=224&amp;col=17&amp;number=&amp;sourceID=12","")</f>
        <v/>
      </c>
      <c r="R224" s="4" t="str">
        <f>HYPERLINK("http://141.218.60.56/~jnz1568/getInfo.php?workbook=04_01.xlsx&amp;sheet=A0&amp;row=224&amp;col=18&amp;number=8.5731e-11&amp;sourceID=12","8.5731e-11")</f>
        <v>8.5731e-11</v>
      </c>
      <c r="S224" s="4" t="str">
        <f>HYPERLINK("http://141.218.60.56/~jnz1568/getInfo.php?workbook=04_01.xlsx&amp;sheet=A0&amp;row=224&amp;col=19&amp;number=&amp;sourceID=12","")</f>
        <v/>
      </c>
      <c r="T224" s="4" t="str">
        <f>HYPERLINK("http://141.218.60.56/~jnz1568/getInfo.php?workbook=04_01.xlsx&amp;sheet=A0&amp;row=224&amp;col=20&amp;number=0&amp;sourceID=12","0")</f>
        <v>0</v>
      </c>
      <c r="U224" s="4" t="str">
        <f>HYPERLINK("http://141.218.60.56/~jnz1568/getInfo.php?workbook=04_01.xlsx&amp;sheet=A0&amp;row=224&amp;col=21&amp;number=&amp;sourceID=20","")</f>
        <v/>
      </c>
    </row>
    <row r="225" spans="1:21">
      <c r="A225" s="3">
        <v>4</v>
      </c>
      <c r="B225" s="3">
        <v>1</v>
      </c>
      <c r="C225" s="3">
        <v>22</v>
      </c>
      <c r="D225" s="3">
        <v>20</v>
      </c>
      <c r="E225" s="3">
        <f>((1/(INDEX(E0!J$4:J$28,C225,1)-INDEX(E0!J$4:J$28,D225,1))))*100000000</f>
        <v>0</v>
      </c>
      <c r="F225" s="4" t="str">
        <f>HYPERLINK("http://141.218.60.56/~jnz1568/getInfo.php?workbook=04_01.xlsx&amp;sheet=A0&amp;row=225&amp;col=6&amp;number=&amp;sourceID=18","")</f>
        <v/>
      </c>
      <c r="G225" s="4" t="str">
        <f>HYPERLINK("http://141.218.60.56/~jnz1568/getInfo.php?workbook=04_01.xlsx&amp;sheet=A0&amp;row=225&amp;col=7&amp;number==&amp;sourceID=11","=")</f>
        <v>=</v>
      </c>
      <c r="H225" s="4" t="str">
        <f>HYPERLINK("http://141.218.60.56/~jnz1568/getInfo.php?workbook=04_01.xlsx&amp;sheet=A0&amp;row=225&amp;col=8&amp;number=0.00047501&amp;sourceID=11","0.00047501")</f>
        <v>0.00047501</v>
      </c>
      <c r="I225" s="4" t="str">
        <f>HYPERLINK("http://141.218.60.56/~jnz1568/getInfo.php?workbook=04_01.xlsx&amp;sheet=A0&amp;row=225&amp;col=9&amp;number=&amp;sourceID=11","")</f>
        <v/>
      </c>
      <c r="J225" s="4" t="str">
        <f>HYPERLINK("http://141.218.60.56/~jnz1568/getInfo.php?workbook=04_01.xlsx&amp;sheet=A0&amp;row=225&amp;col=10&amp;number=0&amp;sourceID=11","0")</f>
        <v>0</v>
      </c>
      <c r="K225" s="4" t="str">
        <f>HYPERLINK("http://141.218.60.56/~jnz1568/getInfo.php?workbook=04_01.xlsx&amp;sheet=A0&amp;row=225&amp;col=11&amp;number=&amp;sourceID=11","")</f>
        <v/>
      </c>
      <c r="L225" s="4" t="str">
        <f>HYPERLINK("http://141.218.60.56/~jnz1568/getInfo.php?workbook=04_01.xlsx&amp;sheet=A0&amp;row=225&amp;col=12&amp;number=0&amp;sourceID=11","0")</f>
        <v>0</v>
      </c>
      <c r="M225" s="4" t="str">
        <f>HYPERLINK("http://141.218.60.56/~jnz1568/getInfo.php?workbook=04_01.xlsx&amp;sheet=A0&amp;row=225&amp;col=13&amp;number=&amp;sourceID=11","")</f>
        <v/>
      </c>
      <c r="N225" s="4" t="str">
        <f>HYPERLINK("http://141.218.60.56/~jnz1568/getInfo.php?workbook=04_01.xlsx&amp;sheet=A0&amp;row=225&amp;col=14&amp;number=0.00047541&amp;sourceID=12","0.00047541")</f>
        <v>0.00047541</v>
      </c>
      <c r="O225" s="4" t="str">
        <f>HYPERLINK("http://141.218.60.56/~jnz1568/getInfo.php?workbook=04_01.xlsx&amp;sheet=A0&amp;row=225&amp;col=15&amp;number=0.00047541&amp;sourceID=12","0.00047541")</f>
        <v>0.00047541</v>
      </c>
      <c r="P225" s="4" t="str">
        <f>HYPERLINK("http://141.218.60.56/~jnz1568/getInfo.php?workbook=04_01.xlsx&amp;sheet=A0&amp;row=225&amp;col=16&amp;number=&amp;sourceID=12","")</f>
        <v/>
      </c>
      <c r="Q225" s="4" t="str">
        <f>HYPERLINK("http://141.218.60.56/~jnz1568/getInfo.php?workbook=04_01.xlsx&amp;sheet=A0&amp;row=225&amp;col=17&amp;number=0&amp;sourceID=12","0")</f>
        <v>0</v>
      </c>
      <c r="R225" s="4" t="str">
        <f>HYPERLINK("http://141.218.60.56/~jnz1568/getInfo.php?workbook=04_01.xlsx&amp;sheet=A0&amp;row=225&amp;col=18&amp;number=&amp;sourceID=12","")</f>
        <v/>
      </c>
      <c r="S225" s="4" t="str">
        <f>HYPERLINK("http://141.218.60.56/~jnz1568/getInfo.php?workbook=04_01.xlsx&amp;sheet=A0&amp;row=225&amp;col=19&amp;number=0&amp;sourceID=12","0")</f>
        <v>0</v>
      </c>
      <c r="T225" s="4" t="str">
        <f>HYPERLINK("http://141.218.60.56/~jnz1568/getInfo.php?workbook=04_01.xlsx&amp;sheet=A0&amp;row=225&amp;col=20&amp;number=&amp;sourceID=12","")</f>
        <v/>
      </c>
      <c r="U225" s="4" t="str">
        <f>HYPERLINK("http://141.218.60.56/~jnz1568/getInfo.php?workbook=04_01.xlsx&amp;sheet=A0&amp;row=225&amp;col=21&amp;number=&amp;sourceID=20","")</f>
        <v/>
      </c>
    </row>
    <row r="226" spans="1:21">
      <c r="A226" s="3">
        <v>4</v>
      </c>
      <c r="B226" s="3">
        <v>1</v>
      </c>
      <c r="C226" s="3">
        <v>23</v>
      </c>
      <c r="D226" s="3">
        <v>1</v>
      </c>
      <c r="E226" s="3">
        <f>((1/(INDEX(E0!J$4:J$28,C226,1)-INDEX(E0!J$4:J$28,D226,1))))*100000000</f>
        <v>0</v>
      </c>
      <c r="F226" s="4" t="str">
        <f>HYPERLINK("http://141.218.60.56/~jnz1568/getInfo.php?workbook=04_01.xlsx&amp;sheet=A0&amp;row=226&amp;col=6&amp;number=&amp;sourceID=18","")</f>
        <v/>
      </c>
      <c r="G226" s="4" t="str">
        <f>HYPERLINK("http://141.218.60.56/~jnz1568/getInfo.php?workbook=04_01.xlsx&amp;sheet=A0&amp;row=226&amp;col=7&amp;number==&amp;sourceID=11","=")</f>
        <v>=</v>
      </c>
      <c r="H226" s="4" t="str">
        <f>HYPERLINK("http://141.218.60.56/~jnz1568/getInfo.php?workbook=04_01.xlsx&amp;sheet=A0&amp;row=226&amp;col=8&amp;number=&amp;sourceID=11","")</f>
        <v/>
      </c>
      <c r="I226" s="4" t="str">
        <f>HYPERLINK("http://141.218.60.56/~jnz1568/getInfo.php?workbook=04_01.xlsx&amp;sheet=A0&amp;row=226&amp;col=9&amp;number=&amp;sourceID=11","")</f>
        <v/>
      </c>
      <c r="J226" s="4" t="str">
        <f>HYPERLINK("http://141.218.60.56/~jnz1568/getInfo.php?workbook=04_01.xlsx&amp;sheet=A0&amp;row=226&amp;col=10&amp;number=&amp;sourceID=11","")</f>
        <v/>
      </c>
      <c r="K226" s="4" t="str">
        <f>HYPERLINK("http://141.218.60.56/~jnz1568/getInfo.php?workbook=04_01.xlsx&amp;sheet=A0&amp;row=226&amp;col=11&amp;number=&amp;sourceID=11","")</f>
        <v/>
      </c>
      <c r="L226" s="4" t="str">
        <f>HYPERLINK("http://141.218.60.56/~jnz1568/getInfo.php?workbook=04_01.xlsx&amp;sheet=A0&amp;row=226&amp;col=12&amp;number=&amp;sourceID=11","")</f>
        <v/>
      </c>
      <c r="M226" s="4" t="str">
        <f>HYPERLINK("http://141.218.60.56/~jnz1568/getInfo.php?workbook=04_01.xlsx&amp;sheet=A0&amp;row=226&amp;col=13&amp;number=7.9e-14&amp;sourceID=11","7.9e-14")</f>
        <v>7.9e-14</v>
      </c>
      <c r="N226" s="4" t="str">
        <f>HYPERLINK("http://141.218.60.56/~jnz1568/getInfo.php?workbook=04_01.xlsx&amp;sheet=A0&amp;row=226&amp;col=14&amp;number=1e-14&amp;sourceID=12","1e-14")</f>
        <v>1e-14</v>
      </c>
      <c r="O226" s="4" t="str">
        <f>HYPERLINK("http://141.218.60.56/~jnz1568/getInfo.php?workbook=04_01.xlsx&amp;sheet=A0&amp;row=226&amp;col=15&amp;number=&amp;sourceID=12","")</f>
        <v/>
      </c>
      <c r="P226" s="4" t="str">
        <f>HYPERLINK("http://141.218.60.56/~jnz1568/getInfo.php?workbook=04_01.xlsx&amp;sheet=A0&amp;row=226&amp;col=16&amp;number=&amp;sourceID=12","")</f>
        <v/>
      </c>
      <c r="Q226" s="4" t="str">
        <f>HYPERLINK("http://141.218.60.56/~jnz1568/getInfo.php?workbook=04_01.xlsx&amp;sheet=A0&amp;row=226&amp;col=17&amp;number=&amp;sourceID=12","")</f>
        <v/>
      </c>
      <c r="R226" s="4" t="str">
        <f>HYPERLINK("http://141.218.60.56/~jnz1568/getInfo.php?workbook=04_01.xlsx&amp;sheet=A0&amp;row=226&amp;col=18&amp;number=&amp;sourceID=12","")</f>
        <v/>
      </c>
      <c r="S226" s="4" t="str">
        <f>HYPERLINK("http://141.218.60.56/~jnz1568/getInfo.php?workbook=04_01.xlsx&amp;sheet=A0&amp;row=226&amp;col=19&amp;number=&amp;sourceID=12","")</f>
        <v/>
      </c>
      <c r="T226" s="4" t="str">
        <f>HYPERLINK("http://141.218.60.56/~jnz1568/getInfo.php?workbook=04_01.xlsx&amp;sheet=A0&amp;row=226&amp;col=20&amp;number=1e-14&amp;sourceID=12","1e-14")</f>
        <v>1e-14</v>
      </c>
      <c r="U226" s="4" t="str">
        <f>HYPERLINK("http://141.218.60.56/~jnz1568/getInfo.php?workbook=04_01.xlsx&amp;sheet=A0&amp;row=226&amp;col=21&amp;number=&amp;sourceID=20","")</f>
        <v/>
      </c>
    </row>
    <row r="227" spans="1:21">
      <c r="A227" s="3">
        <v>4</v>
      </c>
      <c r="B227" s="3">
        <v>1</v>
      </c>
      <c r="C227" s="3">
        <v>23</v>
      </c>
      <c r="D227" s="3">
        <v>2</v>
      </c>
      <c r="E227" s="3">
        <f>((1/(INDEX(E0!J$4:J$28,C227,1)-INDEX(E0!J$4:J$28,D227,1))))*100000000</f>
        <v>0</v>
      </c>
      <c r="F227" s="4" t="str">
        <f>HYPERLINK("http://141.218.60.56/~jnz1568/getInfo.php?workbook=04_01.xlsx&amp;sheet=A0&amp;row=227&amp;col=6&amp;number=&amp;sourceID=18","")</f>
        <v/>
      </c>
      <c r="G227" s="4" t="str">
        <f>HYPERLINK("http://141.218.60.56/~jnz1568/getInfo.php?workbook=04_01.xlsx&amp;sheet=A0&amp;row=227&amp;col=7&amp;number==&amp;sourceID=11","=")</f>
        <v>=</v>
      </c>
      <c r="H227" s="4" t="str">
        <f>HYPERLINK("http://141.218.60.56/~jnz1568/getInfo.php?workbook=04_01.xlsx&amp;sheet=A0&amp;row=227&amp;col=8&amp;number=&amp;sourceID=11","")</f>
        <v/>
      </c>
      <c r="I227" s="4" t="str">
        <f>HYPERLINK("http://141.218.60.56/~jnz1568/getInfo.php?workbook=04_01.xlsx&amp;sheet=A0&amp;row=227&amp;col=9&amp;number=&amp;sourceID=11","")</f>
        <v/>
      </c>
      <c r="J227" s="4" t="str">
        <f>HYPERLINK("http://141.218.60.56/~jnz1568/getInfo.php?workbook=04_01.xlsx&amp;sheet=A0&amp;row=227&amp;col=10&amp;number=1.6475&amp;sourceID=11","1.6475")</f>
        <v>1.6475</v>
      </c>
      <c r="K227" s="4" t="str">
        <f>HYPERLINK("http://141.218.60.56/~jnz1568/getInfo.php?workbook=04_01.xlsx&amp;sheet=A0&amp;row=227&amp;col=11&amp;number=&amp;sourceID=11","")</f>
        <v/>
      </c>
      <c r="L227" s="4" t="str">
        <f>HYPERLINK("http://141.218.60.56/~jnz1568/getInfo.php?workbook=04_01.xlsx&amp;sheet=A0&amp;row=227&amp;col=12&amp;number=&amp;sourceID=11","")</f>
        <v/>
      </c>
      <c r="M227" s="4" t="str">
        <f>HYPERLINK("http://141.218.60.56/~jnz1568/getInfo.php?workbook=04_01.xlsx&amp;sheet=A0&amp;row=227&amp;col=13&amp;number=&amp;sourceID=11","")</f>
        <v/>
      </c>
      <c r="N227" s="4" t="str">
        <f>HYPERLINK("http://141.218.60.56/~jnz1568/getInfo.php?workbook=04_01.xlsx&amp;sheet=A0&amp;row=227&amp;col=14&amp;number=1.6476&amp;sourceID=12","1.6476")</f>
        <v>1.6476</v>
      </c>
      <c r="O227" s="4" t="str">
        <f>HYPERLINK("http://141.218.60.56/~jnz1568/getInfo.php?workbook=04_01.xlsx&amp;sheet=A0&amp;row=227&amp;col=15&amp;number=&amp;sourceID=12","")</f>
        <v/>
      </c>
      <c r="P227" s="4" t="str">
        <f>HYPERLINK("http://141.218.60.56/~jnz1568/getInfo.php?workbook=04_01.xlsx&amp;sheet=A0&amp;row=227&amp;col=16&amp;number=&amp;sourceID=12","")</f>
        <v/>
      </c>
      <c r="Q227" s="4" t="str">
        <f>HYPERLINK("http://141.218.60.56/~jnz1568/getInfo.php?workbook=04_01.xlsx&amp;sheet=A0&amp;row=227&amp;col=17&amp;number=1.6476&amp;sourceID=12","1.6476")</f>
        <v>1.6476</v>
      </c>
      <c r="R227" s="4" t="str">
        <f>HYPERLINK("http://141.218.60.56/~jnz1568/getInfo.php?workbook=04_01.xlsx&amp;sheet=A0&amp;row=227&amp;col=18&amp;number=&amp;sourceID=12","")</f>
        <v/>
      </c>
      <c r="S227" s="4" t="str">
        <f>HYPERLINK("http://141.218.60.56/~jnz1568/getInfo.php?workbook=04_01.xlsx&amp;sheet=A0&amp;row=227&amp;col=19&amp;number=&amp;sourceID=12","")</f>
        <v/>
      </c>
      <c r="T227" s="4" t="str">
        <f>HYPERLINK("http://141.218.60.56/~jnz1568/getInfo.php?workbook=04_01.xlsx&amp;sheet=A0&amp;row=227&amp;col=20&amp;number=&amp;sourceID=12","")</f>
        <v/>
      </c>
      <c r="U227" s="4" t="str">
        <f>HYPERLINK("http://141.218.60.56/~jnz1568/getInfo.php?workbook=04_01.xlsx&amp;sheet=A0&amp;row=227&amp;col=21&amp;number=&amp;sourceID=20","")</f>
        <v/>
      </c>
    </row>
    <row r="228" spans="1:21">
      <c r="A228" s="3">
        <v>4</v>
      </c>
      <c r="B228" s="3">
        <v>1</v>
      </c>
      <c r="C228" s="3">
        <v>23</v>
      </c>
      <c r="D228" s="3">
        <v>3</v>
      </c>
      <c r="E228" s="3">
        <f>((1/(INDEX(E0!J$4:J$28,C228,1)-INDEX(E0!J$4:J$28,D228,1))))*100000000</f>
        <v>0</v>
      </c>
      <c r="F228" s="4" t="str">
        <f>HYPERLINK("http://141.218.60.56/~jnz1568/getInfo.php?workbook=04_01.xlsx&amp;sheet=A0&amp;row=228&amp;col=6&amp;number=&amp;sourceID=18","")</f>
        <v/>
      </c>
      <c r="G228" s="4" t="str">
        <f>HYPERLINK("http://141.218.60.56/~jnz1568/getInfo.php?workbook=04_01.xlsx&amp;sheet=A0&amp;row=228&amp;col=7&amp;number==&amp;sourceID=11","=")</f>
        <v>=</v>
      </c>
      <c r="H228" s="4" t="str">
        <f>HYPERLINK("http://141.218.60.56/~jnz1568/getInfo.php?workbook=04_01.xlsx&amp;sheet=A0&amp;row=228&amp;col=8&amp;number=&amp;sourceID=11","")</f>
        <v/>
      </c>
      <c r="I228" s="4" t="str">
        <f>HYPERLINK("http://141.218.60.56/~jnz1568/getInfo.php?workbook=04_01.xlsx&amp;sheet=A0&amp;row=228&amp;col=9&amp;number=&amp;sourceID=11","")</f>
        <v/>
      </c>
      <c r="J228" s="4" t="str">
        <f>HYPERLINK("http://141.218.60.56/~jnz1568/getInfo.php?workbook=04_01.xlsx&amp;sheet=A0&amp;row=228&amp;col=10&amp;number=&amp;sourceID=11","")</f>
        <v/>
      </c>
      <c r="K228" s="4" t="str">
        <f>HYPERLINK("http://141.218.60.56/~jnz1568/getInfo.php?workbook=04_01.xlsx&amp;sheet=A0&amp;row=228&amp;col=11&amp;number=&amp;sourceID=11","")</f>
        <v/>
      </c>
      <c r="L228" s="4" t="str">
        <f>HYPERLINK("http://141.218.60.56/~jnz1568/getInfo.php?workbook=04_01.xlsx&amp;sheet=A0&amp;row=228&amp;col=12&amp;number=&amp;sourceID=11","")</f>
        <v/>
      </c>
      <c r="M228" s="4" t="str">
        <f>HYPERLINK("http://141.218.60.56/~jnz1568/getInfo.php?workbook=04_01.xlsx&amp;sheet=A0&amp;row=228&amp;col=13&amp;number=8e-15&amp;sourceID=11","8e-15")</f>
        <v>8e-15</v>
      </c>
      <c r="N228" s="4" t="str">
        <f>HYPERLINK("http://141.218.60.56/~jnz1568/getInfo.php?workbook=04_01.xlsx&amp;sheet=A0&amp;row=228&amp;col=14&amp;number=8e-15&amp;sourceID=12","8e-15")</f>
        <v>8e-15</v>
      </c>
      <c r="O228" s="4" t="str">
        <f>HYPERLINK("http://141.218.60.56/~jnz1568/getInfo.php?workbook=04_01.xlsx&amp;sheet=A0&amp;row=228&amp;col=15&amp;number=&amp;sourceID=12","")</f>
        <v/>
      </c>
      <c r="P228" s="4" t="str">
        <f>HYPERLINK("http://141.218.60.56/~jnz1568/getInfo.php?workbook=04_01.xlsx&amp;sheet=A0&amp;row=228&amp;col=16&amp;number=&amp;sourceID=12","")</f>
        <v/>
      </c>
      <c r="Q228" s="4" t="str">
        <f>HYPERLINK("http://141.218.60.56/~jnz1568/getInfo.php?workbook=04_01.xlsx&amp;sheet=A0&amp;row=228&amp;col=17&amp;number=&amp;sourceID=12","")</f>
        <v/>
      </c>
      <c r="R228" s="4" t="str">
        <f>HYPERLINK("http://141.218.60.56/~jnz1568/getInfo.php?workbook=04_01.xlsx&amp;sheet=A0&amp;row=228&amp;col=18&amp;number=&amp;sourceID=12","")</f>
        <v/>
      </c>
      <c r="S228" s="4" t="str">
        <f>HYPERLINK("http://141.218.60.56/~jnz1568/getInfo.php?workbook=04_01.xlsx&amp;sheet=A0&amp;row=228&amp;col=19&amp;number=&amp;sourceID=12","")</f>
        <v/>
      </c>
      <c r="T228" s="4" t="str">
        <f>HYPERLINK("http://141.218.60.56/~jnz1568/getInfo.php?workbook=04_01.xlsx&amp;sheet=A0&amp;row=228&amp;col=20&amp;number=8e-15&amp;sourceID=12","8e-15")</f>
        <v>8e-15</v>
      </c>
      <c r="U228" s="4" t="str">
        <f>HYPERLINK("http://141.218.60.56/~jnz1568/getInfo.php?workbook=04_01.xlsx&amp;sheet=A0&amp;row=228&amp;col=21&amp;number=&amp;sourceID=20","")</f>
        <v/>
      </c>
    </row>
    <row r="229" spans="1:21">
      <c r="A229" s="3">
        <v>4</v>
      </c>
      <c r="B229" s="3">
        <v>1</v>
      </c>
      <c r="C229" s="3">
        <v>23</v>
      </c>
      <c r="D229" s="3">
        <v>4</v>
      </c>
      <c r="E229" s="3">
        <f>((1/(INDEX(E0!J$4:J$28,C229,1)-INDEX(E0!J$4:J$28,D229,1))))*100000000</f>
        <v>0</v>
      </c>
      <c r="F229" s="4" t="str">
        <f>HYPERLINK("http://141.218.60.56/~jnz1568/getInfo.php?workbook=04_01.xlsx&amp;sheet=A0&amp;row=229&amp;col=6&amp;number=&amp;sourceID=18","")</f>
        <v/>
      </c>
      <c r="G229" s="4" t="str">
        <f>HYPERLINK("http://141.218.60.56/~jnz1568/getInfo.php?workbook=04_01.xlsx&amp;sheet=A0&amp;row=229&amp;col=7&amp;number==&amp;sourceID=11","=")</f>
        <v>=</v>
      </c>
      <c r="H229" s="4" t="str">
        <f>HYPERLINK("http://141.218.60.56/~jnz1568/getInfo.php?workbook=04_01.xlsx&amp;sheet=A0&amp;row=229&amp;col=8&amp;number=&amp;sourceID=11","")</f>
        <v/>
      </c>
      <c r="I229" s="4" t="str">
        <f>HYPERLINK("http://141.218.60.56/~jnz1568/getInfo.php?workbook=04_01.xlsx&amp;sheet=A0&amp;row=229&amp;col=9&amp;number=&amp;sourceID=11","")</f>
        <v/>
      </c>
      <c r="J229" s="4" t="str">
        <f>HYPERLINK("http://141.218.60.56/~jnz1568/getInfo.php?workbook=04_01.xlsx&amp;sheet=A0&amp;row=229&amp;col=10&amp;number=0.54924&amp;sourceID=11","0.54924")</f>
        <v>0.54924</v>
      </c>
      <c r="K229" s="4" t="str">
        <f>HYPERLINK("http://141.218.60.56/~jnz1568/getInfo.php?workbook=04_01.xlsx&amp;sheet=A0&amp;row=229&amp;col=11&amp;number=&amp;sourceID=11","")</f>
        <v/>
      </c>
      <c r="L229" s="4" t="str">
        <f>HYPERLINK("http://141.218.60.56/~jnz1568/getInfo.php?workbook=04_01.xlsx&amp;sheet=A0&amp;row=229&amp;col=12&amp;number=2.1425e-10&amp;sourceID=11","2.1425e-10")</f>
        <v>2.1425e-10</v>
      </c>
      <c r="M229" s="4" t="str">
        <f>HYPERLINK("http://141.218.60.56/~jnz1568/getInfo.php?workbook=04_01.xlsx&amp;sheet=A0&amp;row=229&amp;col=13&amp;number=&amp;sourceID=11","")</f>
        <v/>
      </c>
      <c r="N229" s="4" t="str">
        <f>HYPERLINK("http://141.218.60.56/~jnz1568/getInfo.php?workbook=04_01.xlsx&amp;sheet=A0&amp;row=229&amp;col=14&amp;number=0.54927&amp;sourceID=12","0.54927")</f>
        <v>0.54927</v>
      </c>
      <c r="O229" s="4" t="str">
        <f>HYPERLINK("http://141.218.60.56/~jnz1568/getInfo.php?workbook=04_01.xlsx&amp;sheet=A0&amp;row=229&amp;col=15&amp;number=&amp;sourceID=12","")</f>
        <v/>
      </c>
      <c r="P229" s="4" t="str">
        <f>HYPERLINK("http://141.218.60.56/~jnz1568/getInfo.php?workbook=04_01.xlsx&amp;sheet=A0&amp;row=229&amp;col=16&amp;number=&amp;sourceID=12","")</f>
        <v/>
      </c>
      <c r="Q229" s="4" t="str">
        <f>HYPERLINK("http://141.218.60.56/~jnz1568/getInfo.php?workbook=04_01.xlsx&amp;sheet=A0&amp;row=229&amp;col=17&amp;number=0.54927&amp;sourceID=12","0.54927")</f>
        <v>0.54927</v>
      </c>
      <c r="R229" s="4" t="str">
        <f>HYPERLINK("http://141.218.60.56/~jnz1568/getInfo.php?workbook=04_01.xlsx&amp;sheet=A0&amp;row=229&amp;col=18&amp;number=&amp;sourceID=12","")</f>
        <v/>
      </c>
      <c r="S229" s="4" t="str">
        <f>HYPERLINK("http://141.218.60.56/~jnz1568/getInfo.php?workbook=04_01.xlsx&amp;sheet=A0&amp;row=229&amp;col=19&amp;number=2.1234e-10&amp;sourceID=12","2.1234e-10")</f>
        <v>2.1234e-10</v>
      </c>
      <c r="T229" s="4" t="str">
        <f>HYPERLINK("http://141.218.60.56/~jnz1568/getInfo.php?workbook=04_01.xlsx&amp;sheet=A0&amp;row=229&amp;col=20&amp;number=&amp;sourceID=12","")</f>
        <v/>
      </c>
      <c r="U229" s="4" t="str">
        <f>HYPERLINK("http://141.218.60.56/~jnz1568/getInfo.php?workbook=04_01.xlsx&amp;sheet=A0&amp;row=229&amp;col=21&amp;number=&amp;sourceID=20","")</f>
        <v/>
      </c>
    </row>
    <row r="230" spans="1:21">
      <c r="A230" s="3">
        <v>4</v>
      </c>
      <c r="B230" s="3">
        <v>1</v>
      </c>
      <c r="C230" s="3">
        <v>23</v>
      </c>
      <c r="D230" s="3">
        <v>5</v>
      </c>
      <c r="E230" s="3">
        <f>((1/(INDEX(E0!J$4:J$28,C230,1)-INDEX(E0!J$4:J$28,D230,1))))*100000000</f>
        <v>0</v>
      </c>
      <c r="F230" s="4" t="str">
        <f>HYPERLINK("http://141.218.60.56/~jnz1568/getInfo.php?workbook=04_01.xlsx&amp;sheet=A0&amp;row=230&amp;col=6&amp;number=&amp;sourceID=18","")</f>
        <v/>
      </c>
      <c r="G230" s="4" t="str">
        <f>HYPERLINK("http://141.218.60.56/~jnz1568/getInfo.php?workbook=04_01.xlsx&amp;sheet=A0&amp;row=230&amp;col=7&amp;number==&amp;sourceID=11","=")</f>
        <v>=</v>
      </c>
      <c r="H230" s="4" t="str">
        <f>HYPERLINK("http://141.218.60.56/~jnz1568/getInfo.php?workbook=04_01.xlsx&amp;sheet=A0&amp;row=230&amp;col=8&amp;number=&amp;sourceID=11","")</f>
        <v/>
      </c>
      <c r="I230" s="4" t="str">
        <f>HYPERLINK("http://141.218.60.56/~jnz1568/getInfo.php?workbook=04_01.xlsx&amp;sheet=A0&amp;row=230&amp;col=9&amp;number=&amp;sourceID=11","")</f>
        <v/>
      </c>
      <c r="J230" s="4" t="str">
        <f>HYPERLINK("http://141.218.60.56/~jnz1568/getInfo.php?workbook=04_01.xlsx&amp;sheet=A0&amp;row=230&amp;col=10&amp;number=0.69643&amp;sourceID=11","0.69643")</f>
        <v>0.69643</v>
      </c>
      <c r="K230" s="4" t="str">
        <f>HYPERLINK("http://141.218.60.56/~jnz1568/getInfo.php?workbook=04_01.xlsx&amp;sheet=A0&amp;row=230&amp;col=11&amp;number=&amp;sourceID=11","")</f>
        <v/>
      </c>
      <c r="L230" s="4" t="str">
        <f>HYPERLINK("http://141.218.60.56/~jnz1568/getInfo.php?workbook=04_01.xlsx&amp;sheet=A0&amp;row=230&amp;col=12&amp;number=&amp;sourceID=11","")</f>
        <v/>
      </c>
      <c r="M230" s="4" t="str">
        <f>HYPERLINK("http://141.218.60.56/~jnz1568/getInfo.php?workbook=04_01.xlsx&amp;sheet=A0&amp;row=230&amp;col=13&amp;number=&amp;sourceID=11","")</f>
        <v/>
      </c>
      <c r="N230" s="4" t="str">
        <f>HYPERLINK("http://141.218.60.56/~jnz1568/getInfo.php?workbook=04_01.xlsx&amp;sheet=A0&amp;row=230&amp;col=14&amp;number=0.69648&amp;sourceID=12","0.69648")</f>
        <v>0.69648</v>
      </c>
      <c r="O230" s="4" t="str">
        <f>HYPERLINK("http://141.218.60.56/~jnz1568/getInfo.php?workbook=04_01.xlsx&amp;sheet=A0&amp;row=230&amp;col=15&amp;number=&amp;sourceID=12","")</f>
        <v/>
      </c>
      <c r="P230" s="4" t="str">
        <f>HYPERLINK("http://141.218.60.56/~jnz1568/getInfo.php?workbook=04_01.xlsx&amp;sheet=A0&amp;row=230&amp;col=16&amp;number=&amp;sourceID=12","")</f>
        <v/>
      </c>
      <c r="Q230" s="4" t="str">
        <f>HYPERLINK("http://141.218.60.56/~jnz1568/getInfo.php?workbook=04_01.xlsx&amp;sheet=A0&amp;row=230&amp;col=17&amp;number=0.69648&amp;sourceID=12","0.69648")</f>
        <v>0.69648</v>
      </c>
      <c r="R230" s="4" t="str">
        <f>HYPERLINK("http://141.218.60.56/~jnz1568/getInfo.php?workbook=04_01.xlsx&amp;sheet=A0&amp;row=230&amp;col=18&amp;number=&amp;sourceID=12","")</f>
        <v/>
      </c>
      <c r="S230" s="4" t="str">
        <f>HYPERLINK("http://141.218.60.56/~jnz1568/getInfo.php?workbook=04_01.xlsx&amp;sheet=A0&amp;row=230&amp;col=19&amp;number=&amp;sourceID=12","")</f>
        <v/>
      </c>
      <c r="T230" s="4" t="str">
        <f>HYPERLINK("http://141.218.60.56/~jnz1568/getInfo.php?workbook=04_01.xlsx&amp;sheet=A0&amp;row=230&amp;col=20&amp;number=&amp;sourceID=12","")</f>
        <v/>
      </c>
      <c r="U230" s="4" t="str">
        <f>HYPERLINK("http://141.218.60.56/~jnz1568/getInfo.php?workbook=04_01.xlsx&amp;sheet=A0&amp;row=230&amp;col=21&amp;number=&amp;sourceID=20","")</f>
        <v/>
      </c>
    </row>
    <row r="231" spans="1:21">
      <c r="A231" s="3">
        <v>4</v>
      </c>
      <c r="B231" s="3">
        <v>1</v>
      </c>
      <c r="C231" s="3">
        <v>23</v>
      </c>
      <c r="D231" s="3">
        <v>6</v>
      </c>
      <c r="E231" s="3">
        <f>((1/(INDEX(E0!J$4:J$28,C231,1)-INDEX(E0!J$4:J$28,D231,1))))*100000000</f>
        <v>0</v>
      </c>
      <c r="F231" s="4" t="str">
        <f>HYPERLINK("http://141.218.60.56/~jnz1568/getInfo.php?workbook=04_01.xlsx&amp;sheet=A0&amp;row=231&amp;col=6&amp;number=&amp;sourceID=18","")</f>
        <v/>
      </c>
      <c r="G231" s="4" t="str">
        <f>HYPERLINK("http://141.218.60.56/~jnz1568/getInfo.php?workbook=04_01.xlsx&amp;sheet=A0&amp;row=231&amp;col=7&amp;number==&amp;sourceID=11","=")</f>
        <v>=</v>
      </c>
      <c r="H231" s="4" t="str">
        <f>HYPERLINK("http://141.218.60.56/~jnz1568/getInfo.php?workbook=04_01.xlsx&amp;sheet=A0&amp;row=231&amp;col=8&amp;number=&amp;sourceID=11","")</f>
        <v/>
      </c>
      <c r="I231" s="4" t="str">
        <f>HYPERLINK("http://141.218.60.56/~jnz1568/getInfo.php?workbook=04_01.xlsx&amp;sheet=A0&amp;row=231&amp;col=9&amp;number=&amp;sourceID=11","")</f>
        <v/>
      </c>
      <c r="J231" s="4" t="str">
        <f>HYPERLINK("http://141.218.60.56/~jnz1568/getInfo.php?workbook=04_01.xlsx&amp;sheet=A0&amp;row=231&amp;col=10&amp;number=&amp;sourceID=11","")</f>
        <v/>
      </c>
      <c r="K231" s="4" t="str">
        <f>HYPERLINK("http://141.218.60.56/~jnz1568/getInfo.php?workbook=04_01.xlsx&amp;sheet=A0&amp;row=231&amp;col=11&amp;number=&amp;sourceID=11","")</f>
        <v/>
      </c>
      <c r="L231" s="4" t="str">
        <f>HYPERLINK("http://141.218.60.56/~jnz1568/getInfo.php?workbook=04_01.xlsx&amp;sheet=A0&amp;row=231&amp;col=12&amp;number=&amp;sourceID=11","")</f>
        <v/>
      </c>
      <c r="M231" s="4" t="str">
        <f>HYPERLINK("http://141.218.60.56/~jnz1568/getInfo.php?workbook=04_01.xlsx&amp;sheet=A0&amp;row=231&amp;col=13&amp;number=0&amp;sourceID=11","0")</f>
        <v>0</v>
      </c>
      <c r="N231" s="4" t="str">
        <f>HYPERLINK("http://141.218.60.56/~jnz1568/getInfo.php?workbook=04_01.xlsx&amp;sheet=A0&amp;row=231&amp;col=14&amp;number=0&amp;sourceID=12","0")</f>
        <v>0</v>
      </c>
      <c r="O231" s="4" t="str">
        <f>HYPERLINK("http://141.218.60.56/~jnz1568/getInfo.php?workbook=04_01.xlsx&amp;sheet=A0&amp;row=231&amp;col=15&amp;number=&amp;sourceID=12","")</f>
        <v/>
      </c>
      <c r="P231" s="4" t="str">
        <f>HYPERLINK("http://141.218.60.56/~jnz1568/getInfo.php?workbook=04_01.xlsx&amp;sheet=A0&amp;row=231&amp;col=16&amp;number=&amp;sourceID=12","")</f>
        <v/>
      </c>
      <c r="Q231" s="4" t="str">
        <f>HYPERLINK("http://141.218.60.56/~jnz1568/getInfo.php?workbook=04_01.xlsx&amp;sheet=A0&amp;row=231&amp;col=17&amp;number=&amp;sourceID=12","")</f>
        <v/>
      </c>
      <c r="R231" s="4" t="str">
        <f>HYPERLINK("http://141.218.60.56/~jnz1568/getInfo.php?workbook=04_01.xlsx&amp;sheet=A0&amp;row=231&amp;col=18&amp;number=&amp;sourceID=12","")</f>
        <v/>
      </c>
      <c r="S231" s="4" t="str">
        <f>HYPERLINK("http://141.218.60.56/~jnz1568/getInfo.php?workbook=04_01.xlsx&amp;sheet=A0&amp;row=231&amp;col=19&amp;number=&amp;sourceID=12","")</f>
        <v/>
      </c>
      <c r="T231" s="4" t="str">
        <f>HYPERLINK("http://141.218.60.56/~jnz1568/getInfo.php?workbook=04_01.xlsx&amp;sheet=A0&amp;row=231&amp;col=20&amp;number=0&amp;sourceID=12","0")</f>
        <v>0</v>
      </c>
      <c r="U231" s="4" t="str">
        <f>HYPERLINK("http://141.218.60.56/~jnz1568/getInfo.php?workbook=04_01.xlsx&amp;sheet=A0&amp;row=231&amp;col=21&amp;number=&amp;sourceID=20","")</f>
        <v/>
      </c>
    </row>
    <row r="232" spans="1:21">
      <c r="A232" s="3">
        <v>4</v>
      </c>
      <c r="B232" s="3">
        <v>1</v>
      </c>
      <c r="C232" s="3">
        <v>23</v>
      </c>
      <c r="D232" s="3">
        <v>7</v>
      </c>
      <c r="E232" s="3">
        <f>((1/(INDEX(E0!J$4:J$28,C232,1)-INDEX(E0!J$4:J$28,D232,1))))*100000000</f>
        <v>0</v>
      </c>
      <c r="F232" s="4" t="str">
        <f>HYPERLINK("http://141.218.60.56/~jnz1568/getInfo.php?workbook=04_01.xlsx&amp;sheet=A0&amp;row=232&amp;col=6&amp;number=&amp;sourceID=18","")</f>
        <v/>
      </c>
      <c r="G232" s="4" t="str">
        <f>HYPERLINK("http://141.218.60.56/~jnz1568/getInfo.php?workbook=04_01.xlsx&amp;sheet=A0&amp;row=232&amp;col=7&amp;number==&amp;sourceID=11","=")</f>
        <v>=</v>
      </c>
      <c r="H232" s="4" t="str">
        <f>HYPERLINK("http://141.218.60.56/~jnz1568/getInfo.php?workbook=04_01.xlsx&amp;sheet=A0&amp;row=232&amp;col=8&amp;number=&amp;sourceID=11","")</f>
        <v/>
      </c>
      <c r="I232" s="4" t="str">
        <f>HYPERLINK("http://141.218.60.56/~jnz1568/getInfo.php?workbook=04_01.xlsx&amp;sheet=A0&amp;row=232&amp;col=9&amp;number=42819&amp;sourceID=11","42819")</f>
        <v>42819</v>
      </c>
      <c r="J232" s="4" t="str">
        <f>HYPERLINK("http://141.218.60.56/~jnz1568/getInfo.php?workbook=04_01.xlsx&amp;sheet=A0&amp;row=232&amp;col=10&amp;number=&amp;sourceID=11","")</f>
        <v/>
      </c>
      <c r="K232" s="4" t="str">
        <f>HYPERLINK("http://141.218.60.56/~jnz1568/getInfo.php?workbook=04_01.xlsx&amp;sheet=A0&amp;row=232&amp;col=11&amp;number=&amp;sourceID=11","")</f>
        <v/>
      </c>
      <c r="L232" s="4" t="str">
        <f>HYPERLINK("http://141.218.60.56/~jnz1568/getInfo.php?workbook=04_01.xlsx&amp;sheet=A0&amp;row=232&amp;col=12&amp;number=&amp;sourceID=11","")</f>
        <v/>
      </c>
      <c r="M232" s="4" t="str">
        <f>HYPERLINK("http://141.218.60.56/~jnz1568/getInfo.php?workbook=04_01.xlsx&amp;sheet=A0&amp;row=232&amp;col=13&amp;number=9.358e-07&amp;sourceID=11","9.358e-07")</f>
        <v>9.358e-07</v>
      </c>
      <c r="N232" s="4" t="str">
        <f>HYPERLINK("http://141.218.60.56/~jnz1568/getInfo.php?workbook=04_01.xlsx&amp;sheet=A0&amp;row=232&amp;col=14&amp;number=42822&amp;sourceID=12","42822")</f>
        <v>42822</v>
      </c>
      <c r="O232" s="4" t="str">
        <f>HYPERLINK("http://141.218.60.56/~jnz1568/getInfo.php?workbook=04_01.xlsx&amp;sheet=A0&amp;row=232&amp;col=15&amp;number=&amp;sourceID=12","")</f>
        <v/>
      </c>
      <c r="P232" s="4" t="str">
        <f>HYPERLINK("http://141.218.60.56/~jnz1568/getInfo.php?workbook=04_01.xlsx&amp;sheet=A0&amp;row=232&amp;col=16&amp;number=42822&amp;sourceID=12","42822")</f>
        <v>42822</v>
      </c>
      <c r="Q232" s="4" t="str">
        <f>HYPERLINK("http://141.218.60.56/~jnz1568/getInfo.php?workbook=04_01.xlsx&amp;sheet=A0&amp;row=232&amp;col=17&amp;number=&amp;sourceID=12","")</f>
        <v/>
      </c>
      <c r="R232" s="4" t="str">
        <f>HYPERLINK("http://141.218.60.56/~jnz1568/getInfo.php?workbook=04_01.xlsx&amp;sheet=A0&amp;row=232&amp;col=18&amp;number=&amp;sourceID=12","")</f>
        <v/>
      </c>
      <c r="S232" s="4" t="str">
        <f>HYPERLINK("http://141.218.60.56/~jnz1568/getInfo.php?workbook=04_01.xlsx&amp;sheet=A0&amp;row=232&amp;col=19&amp;number=&amp;sourceID=12","")</f>
        <v/>
      </c>
      <c r="T232" s="4" t="str">
        <f>HYPERLINK("http://141.218.60.56/~jnz1568/getInfo.php?workbook=04_01.xlsx&amp;sheet=A0&amp;row=232&amp;col=20&amp;number=9.3586e-07&amp;sourceID=12","9.3586e-07")</f>
        <v>9.3586e-07</v>
      </c>
      <c r="U232" s="4" t="str">
        <f>HYPERLINK("http://141.218.60.56/~jnz1568/getInfo.php?workbook=04_01.xlsx&amp;sheet=A0&amp;row=232&amp;col=21&amp;number=&amp;sourceID=20","")</f>
        <v/>
      </c>
    </row>
    <row r="233" spans="1:21">
      <c r="A233" s="3">
        <v>4</v>
      </c>
      <c r="B233" s="3">
        <v>1</v>
      </c>
      <c r="C233" s="3">
        <v>23</v>
      </c>
      <c r="D233" s="3">
        <v>8</v>
      </c>
      <c r="E233" s="3">
        <f>((1/(INDEX(E0!J$4:J$28,C233,1)-INDEX(E0!J$4:J$28,D233,1))))*100000000</f>
        <v>0</v>
      </c>
      <c r="F233" s="4" t="str">
        <f>HYPERLINK("http://141.218.60.56/~jnz1568/getInfo.php?workbook=04_01.xlsx&amp;sheet=A0&amp;row=233&amp;col=6&amp;number=&amp;sourceID=18","")</f>
        <v/>
      </c>
      <c r="G233" s="4" t="str">
        <f>HYPERLINK("http://141.218.60.56/~jnz1568/getInfo.php?workbook=04_01.xlsx&amp;sheet=A0&amp;row=233&amp;col=7&amp;number==&amp;sourceID=11","=")</f>
        <v>=</v>
      </c>
      <c r="H233" s="4" t="str">
        <f>HYPERLINK("http://141.218.60.56/~jnz1568/getInfo.php?workbook=04_01.xlsx&amp;sheet=A0&amp;row=233&amp;col=8&amp;number=&amp;sourceID=11","")</f>
        <v/>
      </c>
      <c r="I233" s="4" t="str">
        <f>HYPERLINK("http://141.218.60.56/~jnz1568/getInfo.php?workbook=04_01.xlsx&amp;sheet=A0&amp;row=233&amp;col=9&amp;number=&amp;sourceID=11","")</f>
        <v/>
      </c>
      <c r="J233" s="4" t="str">
        <f>HYPERLINK("http://141.218.60.56/~jnz1568/getInfo.php?workbook=04_01.xlsx&amp;sheet=A0&amp;row=233&amp;col=10&amp;number=0.23202&amp;sourceID=11","0.23202")</f>
        <v>0.23202</v>
      </c>
      <c r="K233" s="4" t="str">
        <f>HYPERLINK("http://141.218.60.56/~jnz1568/getInfo.php?workbook=04_01.xlsx&amp;sheet=A0&amp;row=233&amp;col=11&amp;number=&amp;sourceID=11","")</f>
        <v/>
      </c>
      <c r="L233" s="4" t="str">
        <f>HYPERLINK("http://141.218.60.56/~jnz1568/getInfo.php?workbook=04_01.xlsx&amp;sheet=A0&amp;row=233&amp;col=12&amp;number=2.8375e-11&amp;sourceID=11","2.8375e-11")</f>
        <v>2.8375e-11</v>
      </c>
      <c r="M233" s="4" t="str">
        <f>HYPERLINK("http://141.218.60.56/~jnz1568/getInfo.php?workbook=04_01.xlsx&amp;sheet=A0&amp;row=233&amp;col=13&amp;number=&amp;sourceID=11","")</f>
        <v/>
      </c>
      <c r="N233" s="4" t="str">
        <f>HYPERLINK("http://141.218.60.56/~jnz1568/getInfo.php?workbook=04_01.xlsx&amp;sheet=A0&amp;row=233&amp;col=14&amp;number=0.23203&amp;sourceID=12","0.23203")</f>
        <v>0.23203</v>
      </c>
      <c r="O233" s="4" t="str">
        <f>HYPERLINK("http://141.218.60.56/~jnz1568/getInfo.php?workbook=04_01.xlsx&amp;sheet=A0&amp;row=233&amp;col=15&amp;number=&amp;sourceID=12","")</f>
        <v/>
      </c>
      <c r="P233" s="4" t="str">
        <f>HYPERLINK("http://141.218.60.56/~jnz1568/getInfo.php?workbook=04_01.xlsx&amp;sheet=A0&amp;row=233&amp;col=16&amp;number=&amp;sourceID=12","")</f>
        <v/>
      </c>
      <c r="Q233" s="4" t="str">
        <f>HYPERLINK("http://141.218.60.56/~jnz1568/getInfo.php?workbook=04_01.xlsx&amp;sheet=A0&amp;row=233&amp;col=17&amp;number=0.23203&amp;sourceID=12","0.23203")</f>
        <v>0.23203</v>
      </c>
      <c r="R233" s="4" t="str">
        <f>HYPERLINK("http://141.218.60.56/~jnz1568/getInfo.php?workbook=04_01.xlsx&amp;sheet=A0&amp;row=233&amp;col=18&amp;number=&amp;sourceID=12","")</f>
        <v/>
      </c>
      <c r="S233" s="4" t="str">
        <f>HYPERLINK("http://141.218.60.56/~jnz1568/getInfo.php?workbook=04_01.xlsx&amp;sheet=A0&amp;row=233&amp;col=19&amp;number=2.8369e-11&amp;sourceID=12","2.8369e-11")</f>
        <v>2.8369e-11</v>
      </c>
      <c r="T233" s="4" t="str">
        <f>HYPERLINK("http://141.218.60.56/~jnz1568/getInfo.php?workbook=04_01.xlsx&amp;sheet=A0&amp;row=233&amp;col=20&amp;number=&amp;sourceID=12","")</f>
        <v/>
      </c>
      <c r="U233" s="4" t="str">
        <f>HYPERLINK("http://141.218.60.56/~jnz1568/getInfo.php?workbook=04_01.xlsx&amp;sheet=A0&amp;row=233&amp;col=21&amp;number=&amp;sourceID=20","")</f>
        <v/>
      </c>
    </row>
    <row r="234" spans="1:21">
      <c r="A234" s="3">
        <v>4</v>
      </c>
      <c r="B234" s="3">
        <v>1</v>
      </c>
      <c r="C234" s="3">
        <v>23</v>
      </c>
      <c r="D234" s="3">
        <v>9</v>
      </c>
      <c r="E234" s="3">
        <f>((1/(INDEX(E0!J$4:J$28,C234,1)-INDEX(E0!J$4:J$28,D234,1))))*100000000</f>
        <v>0</v>
      </c>
      <c r="F234" s="4" t="str">
        <f>HYPERLINK("http://141.218.60.56/~jnz1568/getInfo.php?workbook=04_01.xlsx&amp;sheet=A0&amp;row=234&amp;col=6&amp;number=&amp;sourceID=18","")</f>
        <v/>
      </c>
      <c r="G234" s="4" t="str">
        <f>HYPERLINK("http://141.218.60.56/~jnz1568/getInfo.php?workbook=04_01.xlsx&amp;sheet=A0&amp;row=234&amp;col=7&amp;number==&amp;sourceID=11","=")</f>
        <v>=</v>
      </c>
      <c r="H234" s="4" t="str">
        <f>HYPERLINK("http://141.218.60.56/~jnz1568/getInfo.php?workbook=04_01.xlsx&amp;sheet=A0&amp;row=234&amp;col=8&amp;number=&amp;sourceID=11","")</f>
        <v/>
      </c>
      <c r="I234" s="4" t="str">
        <f>HYPERLINK("http://141.218.60.56/~jnz1568/getInfo.php?workbook=04_01.xlsx&amp;sheet=A0&amp;row=234&amp;col=9&amp;number=4757.5&amp;sourceID=11","4757.5")</f>
        <v>4757.5</v>
      </c>
      <c r="J234" s="4" t="str">
        <f>HYPERLINK("http://141.218.60.56/~jnz1568/getInfo.php?workbook=04_01.xlsx&amp;sheet=A0&amp;row=234&amp;col=10&amp;number=&amp;sourceID=11","")</f>
        <v/>
      </c>
      <c r="K234" s="4" t="str">
        <f>HYPERLINK("http://141.218.60.56/~jnz1568/getInfo.php?workbook=04_01.xlsx&amp;sheet=A0&amp;row=234&amp;col=11&amp;number=1.4558e-06&amp;sourceID=11","1.4558e-06")</f>
        <v>1.4558e-06</v>
      </c>
      <c r="L234" s="4" t="str">
        <f>HYPERLINK("http://141.218.60.56/~jnz1568/getInfo.php?workbook=04_01.xlsx&amp;sheet=A0&amp;row=234&amp;col=12&amp;number=&amp;sourceID=11","")</f>
        <v/>
      </c>
      <c r="M234" s="4" t="str">
        <f>HYPERLINK("http://141.218.60.56/~jnz1568/getInfo.php?workbook=04_01.xlsx&amp;sheet=A0&amp;row=234&amp;col=13&amp;number=3.4655e-08&amp;sourceID=11","3.4655e-08")</f>
        <v>3.4655e-08</v>
      </c>
      <c r="N234" s="4" t="str">
        <f>HYPERLINK("http://141.218.60.56/~jnz1568/getInfo.php?workbook=04_01.xlsx&amp;sheet=A0&amp;row=234&amp;col=14&amp;number=4757.8&amp;sourceID=12","4757.8")</f>
        <v>4757.8</v>
      </c>
      <c r="O234" s="4" t="str">
        <f>HYPERLINK("http://141.218.60.56/~jnz1568/getInfo.php?workbook=04_01.xlsx&amp;sheet=A0&amp;row=234&amp;col=15&amp;number=&amp;sourceID=12","")</f>
        <v/>
      </c>
      <c r="P234" s="4" t="str">
        <f>HYPERLINK("http://141.218.60.56/~jnz1568/getInfo.php?workbook=04_01.xlsx&amp;sheet=A0&amp;row=234&amp;col=16&amp;number=4757.8&amp;sourceID=12","4757.8")</f>
        <v>4757.8</v>
      </c>
      <c r="Q234" s="4" t="str">
        <f>HYPERLINK("http://141.218.60.56/~jnz1568/getInfo.php?workbook=04_01.xlsx&amp;sheet=A0&amp;row=234&amp;col=17&amp;number=&amp;sourceID=12","")</f>
        <v/>
      </c>
      <c r="R234" s="4" t="str">
        <f>HYPERLINK("http://141.218.60.56/~jnz1568/getInfo.php?workbook=04_01.xlsx&amp;sheet=A0&amp;row=234&amp;col=18&amp;number=1.4555e-06&amp;sourceID=12","1.4555e-06")</f>
        <v>1.4555e-06</v>
      </c>
      <c r="S234" s="4" t="str">
        <f>HYPERLINK("http://141.218.60.56/~jnz1568/getInfo.php?workbook=04_01.xlsx&amp;sheet=A0&amp;row=234&amp;col=19&amp;number=&amp;sourceID=12","")</f>
        <v/>
      </c>
      <c r="T234" s="4" t="str">
        <f>HYPERLINK("http://141.218.60.56/~jnz1568/getInfo.php?workbook=04_01.xlsx&amp;sheet=A0&amp;row=234&amp;col=20&amp;number=3.4657e-08&amp;sourceID=12","3.4657e-08")</f>
        <v>3.4657e-08</v>
      </c>
      <c r="U234" s="4" t="str">
        <f>HYPERLINK("http://141.218.60.56/~jnz1568/getInfo.php?workbook=04_01.xlsx&amp;sheet=A0&amp;row=234&amp;col=21&amp;number=&amp;sourceID=20","")</f>
        <v/>
      </c>
    </row>
    <row r="235" spans="1:21">
      <c r="A235" s="3">
        <v>4</v>
      </c>
      <c r="B235" s="3">
        <v>1</v>
      </c>
      <c r="C235" s="3">
        <v>23</v>
      </c>
      <c r="D235" s="3">
        <v>10</v>
      </c>
      <c r="E235" s="3">
        <f>((1/(INDEX(E0!J$4:J$28,C235,1)-INDEX(E0!J$4:J$28,D235,1))))*100000000</f>
        <v>0</v>
      </c>
      <c r="F235" s="4" t="str">
        <f>HYPERLINK("http://141.218.60.56/~jnz1568/getInfo.php?workbook=04_01.xlsx&amp;sheet=A0&amp;row=235&amp;col=6&amp;number=&amp;sourceID=18","")</f>
        <v/>
      </c>
      <c r="G235" s="4" t="str">
        <f>HYPERLINK("http://141.218.60.56/~jnz1568/getInfo.php?workbook=04_01.xlsx&amp;sheet=A0&amp;row=235&amp;col=7&amp;number==&amp;sourceID=11","=")</f>
        <v>=</v>
      </c>
      <c r="H235" s="4" t="str">
        <f>HYPERLINK("http://141.218.60.56/~jnz1568/getInfo.php?workbook=04_01.xlsx&amp;sheet=A0&amp;row=235&amp;col=8&amp;number=&amp;sourceID=11","")</f>
        <v/>
      </c>
      <c r="I235" s="4" t="str">
        <f>HYPERLINK("http://141.218.60.56/~jnz1568/getInfo.php?workbook=04_01.xlsx&amp;sheet=A0&amp;row=235&amp;col=9&amp;number=&amp;sourceID=11","")</f>
        <v/>
      </c>
      <c r="J235" s="4" t="str">
        <f>HYPERLINK("http://141.218.60.56/~jnz1568/getInfo.php?workbook=04_01.xlsx&amp;sheet=A0&amp;row=235&amp;col=10&amp;number=0.0064259&amp;sourceID=11","0.0064259")</f>
        <v>0.0064259</v>
      </c>
      <c r="K235" s="4" t="str">
        <f>HYPERLINK("http://141.218.60.56/~jnz1568/getInfo.php?workbook=04_01.xlsx&amp;sheet=A0&amp;row=235&amp;col=11&amp;number=&amp;sourceID=11","")</f>
        <v/>
      </c>
      <c r="L235" s="4" t="str">
        <f>HYPERLINK("http://141.218.60.56/~jnz1568/getInfo.php?workbook=04_01.xlsx&amp;sheet=A0&amp;row=235&amp;col=12&amp;number=&amp;sourceID=11","")</f>
        <v/>
      </c>
      <c r="M235" s="4" t="str">
        <f>HYPERLINK("http://141.218.60.56/~jnz1568/getInfo.php?workbook=04_01.xlsx&amp;sheet=A0&amp;row=235&amp;col=13&amp;number=&amp;sourceID=11","")</f>
        <v/>
      </c>
      <c r="N235" s="4" t="str">
        <f>HYPERLINK("http://141.218.60.56/~jnz1568/getInfo.php?workbook=04_01.xlsx&amp;sheet=A0&amp;row=235&amp;col=14&amp;number=0.0064263&amp;sourceID=12","0.0064263")</f>
        <v>0.0064263</v>
      </c>
      <c r="O235" s="4" t="str">
        <f>HYPERLINK("http://141.218.60.56/~jnz1568/getInfo.php?workbook=04_01.xlsx&amp;sheet=A0&amp;row=235&amp;col=15&amp;number=&amp;sourceID=12","")</f>
        <v/>
      </c>
      <c r="P235" s="4" t="str">
        <f>HYPERLINK("http://141.218.60.56/~jnz1568/getInfo.php?workbook=04_01.xlsx&amp;sheet=A0&amp;row=235&amp;col=16&amp;number=&amp;sourceID=12","")</f>
        <v/>
      </c>
      <c r="Q235" s="4" t="str">
        <f>HYPERLINK("http://141.218.60.56/~jnz1568/getInfo.php?workbook=04_01.xlsx&amp;sheet=A0&amp;row=235&amp;col=17&amp;number=0.0064263&amp;sourceID=12","0.0064263")</f>
        <v>0.0064263</v>
      </c>
      <c r="R235" s="4" t="str">
        <f>HYPERLINK("http://141.218.60.56/~jnz1568/getInfo.php?workbook=04_01.xlsx&amp;sheet=A0&amp;row=235&amp;col=18&amp;number=&amp;sourceID=12","")</f>
        <v/>
      </c>
      <c r="S235" s="4" t="str">
        <f>HYPERLINK("http://141.218.60.56/~jnz1568/getInfo.php?workbook=04_01.xlsx&amp;sheet=A0&amp;row=235&amp;col=19&amp;number=&amp;sourceID=12","")</f>
        <v/>
      </c>
      <c r="T235" s="4" t="str">
        <f>HYPERLINK("http://141.218.60.56/~jnz1568/getInfo.php?workbook=04_01.xlsx&amp;sheet=A0&amp;row=235&amp;col=20&amp;number=&amp;sourceID=12","")</f>
        <v/>
      </c>
      <c r="U235" s="4" t="str">
        <f>HYPERLINK("http://141.218.60.56/~jnz1568/getInfo.php?workbook=04_01.xlsx&amp;sheet=A0&amp;row=235&amp;col=21&amp;number=&amp;sourceID=20","")</f>
        <v/>
      </c>
    </row>
    <row r="236" spans="1:21">
      <c r="A236" s="3">
        <v>4</v>
      </c>
      <c r="B236" s="3">
        <v>1</v>
      </c>
      <c r="C236" s="3">
        <v>23</v>
      </c>
      <c r="D236" s="3">
        <v>11</v>
      </c>
      <c r="E236" s="3">
        <f>((1/(INDEX(E0!J$4:J$28,C236,1)-INDEX(E0!J$4:J$28,D236,1))))*100000000</f>
        <v>0</v>
      </c>
      <c r="F236" s="4" t="str">
        <f>HYPERLINK("http://141.218.60.56/~jnz1568/getInfo.php?workbook=04_01.xlsx&amp;sheet=A0&amp;row=236&amp;col=6&amp;number=&amp;sourceID=18","")</f>
        <v/>
      </c>
      <c r="G236" s="4" t="str">
        <f>HYPERLINK("http://141.218.60.56/~jnz1568/getInfo.php?workbook=04_01.xlsx&amp;sheet=A0&amp;row=236&amp;col=7&amp;number==&amp;sourceID=11","=")</f>
        <v>=</v>
      </c>
      <c r="H236" s="4" t="str">
        <f>HYPERLINK("http://141.218.60.56/~jnz1568/getInfo.php?workbook=04_01.xlsx&amp;sheet=A0&amp;row=236&amp;col=8&amp;number=&amp;sourceID=11","")</f>
        <v/>
      </c>
      <c r="I236" s="4" t="str">
        <f>HYPERLINK("http://141.218.60.56/~jnz1568/getInfo.php?workbook=04_01.xlsx&amp;sheet=A0&amp;row=236&amp;col=9&amp;number=&amp;sourceID=11","")</f>
        <v/>
      </c>
      <c r="J236" s="4" t="str">
        <f>HYPERLINK("http://141.218.60.56/~jnz1568/getInfo.php?workbook=04_01.xlsx&amp;sheet=A0&amp;row=236&amp;col=10&amp;number=&amp;sourceID=11","")</f>
        <v/>
      </c>
      <c r="K236" s="4" t="str">
        <f>HYPERLINK("http://141.218.60.56/~jnz1568/getInfo.php?workbook=04_01.xlsx&amp;sheet=A0&amp;row=236&amp;col=11&amp;number=&amp;sourceID=11","")</f>
        <v/>
      </c>
      <c r="L236" s="4" t="str">
        <f>HYPERLINK("http://141.218.60.56/~jnz1568/getInfo.php?workbook=04_01.xlsx&amp;sheet=A0&amp;row=236&amp;col=12&amp;number=&amp;sourceID=11","")</f>
        <v/>
      </c>
      <c r="M236" s="4" t="str">
        <f>HYPERLINK("http://141.218.60.56/~jnz1568/getInfo.php?workbook=04_01.xlsx&amp;sheet=A0&amp;row=236&amp;col=13&amp;number=0&amp;sourceID=11","0")</f>
        <v>0</v>
      </c>
      <c r="N236" s="4" t="str">
        <f>HYPERLINK("http://141.218.60.56/~jnz1568/getInfo.php?workbook=04_01.xlsx&amp;sheet=A0&amp;row=236&amp;col=14&amp;number=0&amp;sourceID=12","0")</f>
        <v>0</v>
      </c>
      <c r="O236" s="4" t="str">
        <f>HYPERLINK("http://141.218.60.56/~jnz1568/getInfo.php?workbook=04_01.xlsx&amp;sheet=A0&amp;row=236&amp;col=15&amp;number=&amp;sourceID=12","")</f>
        <v/>
      </c>
      <c r="P236" s="4" t="str">
        <f>HYPERLINK("http://141.218.60.56/~jnz1568/getInfo.php?workbook=04_01.xlsx&amp;sheet=A0&amp;row=236&amp;col=16&amp;number=&amp;sourceID=12","")</f>
        <v/>
      </c>
      <c r="Q236" s="4" t="str">
        <f>HYPERLINK("http://141.218.60.56/~jnz1568/getInfo.php?workbook=04_01.xlsx&amp;sheet=A0&amp;row=236&amp;col=17&amp;number=&amp;sourceID=12","")</f>
        <v/>
      </c>
      <c r="R236" s="4" t="str">
        <f>HYPERLINK("http://141.218.60.56/~jnz1568/getInfo.php?workbook=04_01.xlsx&amp;sheet=A0&amp;row=236&amp;col=18&amp;number=&amp;sourceID=12","")</f>
        <v/>
      </c>
      <c r="S236" s="4" t="str">
        <f>HYPERLINK("http://141.218.60.56/~jnz1568/getInfo.php?workbook=04_01.xlsx&amp;sheet=A0&amp;row=236&amp;col=19&amp;number=&amp;sourceID=12","")</f>
        <v/>
      </c>
      <c r="T236" s="4" t="str">
        <f>HYPERLINK("http://141.218.60.56/~jnz1568/getInfo.php?workbook=04_01.xlsx&amp;sheet=A0&amp;row=236&amp;col=20&amp;number=0&amp;sourceID=12","0")</f>
        <v>0</v>
      </c>
      <c r="U236" s="4" t="str">
        <f>HYPERLINK("http://141.218.60.56/~jnz1568/getInfo.php?workbook=04_01.xlsx&amp;sheet=A0&amp;row=236&amp;col=21&amp;number=&amp;sourceID=20","")</f>
        <v/>
      </c>
    </row>
    <row r="237" spans="1:21">
      <c r="A237" s="3">
        <v>4</v>
      </c>
      <c r="B237" s="3">
        <v>1</v>
      </c>
      <c r="C237" s="3">
        <v>23</v>
      </c>
      <c r="D237" s="3">
        <v>12</v>
      </c>
      <c r="E237" s="3">
        <f>((1/(INDEX(E0!J$4:J$28,C237,1)-INDEX(E0!J$4:J$28,D237,1))))*100000000</f>
        <v>0</v>
      </c>
      <c r="F237" s="4" t="str">
        <f>HYPERLINK("http://141.218.60.56/~jnz1568/getInfo.php?workbook=04_01.xlsx&amp;sheet=A0&amp;row=237&amp;col=6&amp;number=&amp;sourceID=18","")</f>
        <v/>
      </c>
      <c r="G237" s="4" t="str">
        <f>HYPERLINK("http://141.218.60.56/~jnz1568/getInfo.php?workbook=04_01.xlsx&amp;sheet=A0&amp;row=237&amp;col=7&amp;number==&amp;sourceID=11","=")</f>
        <v>=</v>
      </c>
      <c r="H237" s="4" t="str">
        <f>HYPERLINK("http://141.218.60.56/~jnz1568/getInfo.php?workbook=04_01.xlsx&amp;sheet=A0&amp;row=237&amp;col=8&amp;number=&amp;sourceID=11","")</f>
        <v/>
      </c>
      <c r="I237" s="4" t="str">
        <f>HYPERLINK("http://141.218.60.56/~jnz1568/getInfo.php?workbook=04_01.xlsx&amp;sheet=A0&amp;row=237&amp;col=9&amp;number=3686.4&amp;sourceID=11","3686.4")</f>
        <v>3686.4</v>
      </c>
      <c r="J237" s="4" t="str">
        <f>HYPERLINK("http://141.218.60.56/~jnz1568/getInfo.php?workbook=04_01.xlsx&amp;sheet=A0&amp;row=237&amp;col=10&amp;number=&amp;sourceID=11","")</f>
        <v/>
      </c>
      <c r="K237" s="4" t="str">
        <f>HYPERLINK("http://141.218.60.56/~jnz1568/getInfo.php?workbook=04_01.xlsx&amp;sheet=A0&amp;row=237&amp;col=11&amp;number=&amp;sourceID=11","")</f>
        <v/>
      </c>
      <c r="L237" s="4" t="str">
        <f>HYPERLINK("http://141.218.60.56/~jnz1568/getInfo.php?workbook=04_01.xlsx&amp;sheet=A0&amp;row=237&amp;col=12&amp;number=&amp;sourceID=11","")</f>
        <v/>
      </c>
      <c r="M237" s="4" t="str">
        <f>HYPERLINK("http://141.218.60.56/~jnz1568/getInfo.php?workbook=04_01.xlsx&amp;sheet=A0&amp;row=237&amp;col=13&amp;number=8.0665e-09&amp;sourceID=11","8.0665e-09")</f>
        <v>8.0665e-09</v>
      </c>
      <c r="N237" s="4" t="str">
        <f>HYPERLINK("http://141.218.60.56/~jnz1568/getInfo.php?workbook=04_01.xlsx&amp;sheet=A0&amp;row=237&amp;col=14&amp;number=3686.6&amp;sourceID=12","3686.6")</f>
        <v>3686.6</v>
      </c>
      <c r="O237" s="4" t="str">
        <f>HYPERLINK("http://141.218.60.56/~jnz1568/getInfo.php?workbook=04_01.xlsx&amp;sheet=A0&amp;row=237&amp;col=15&amp;number=&amp;sourceID=12","")</f>
        <v/>
      </c>
      <c r="P237" s="4" t="str">
        <f>HYPERLINK("http://141.218.60.56/~jnz1568/getInfo.php?workbook=04_01.xlsx&amp;sheet=A0&amp;row=237&amp;col=16&amp;number=3686.6&amp;sourceID=12","3686.6")</f>
        <v>3686.6</v>
      </c>
      <c r="Q237" s="4" t="str">
        <f>HYPERLINK("http://141.218.60.56/~jnz1568/getInfo.php?workbook=04_01.xlsx&amp;sheet=A0&amp;row=237&amp;col=17&amp;number=&amp;sourceID=12","")</f>
        <v/>
      </c>
      <c r="R237" s="4" t="str">
        <f>HYPERLINK("http://141.218.60.56/~jnz1568/getInfo.php?workbook=04_01.xlsx&amp;sheet=A0&amp;row=237&amp;col=18&amp;number=&amp;sourceID=12","")</f>
        <v/>
      </c>
      <c r="S237" s="4" t="str">
        <f>HYPERLINK("http://141.218.60.56/~jnz1568/getInfo.php?workbook=04_01.xlsx&amp;sheet=A0&amp;row=237&amp;col=19&amp;number=&amp;sourceID=12","")</f>
        <v/>
      </c>
      <c r="T237" s="4" t="str">
        <f>HYPERLINK("http://141.218.60.56/~jnz1568/getInfo.php?workbook=04_01.xlsx&amp;sheet=A0&amp;row=237&amp;col=20&amp;number=8.067e-09&amp;sourceID=12","8.067e-09")</f>
        <v>8.067e-09</v>
      </c>
      <c r="U237" s="4" t="str">
        <f>HYPERLINK("http://141.218.60.56/~jnz1568/getInfo.php?workbook=04_01.xlsx&amp;sheet=A0&amp;row=237&amp;col=21&amp;number=&amp;sourceID=20","")</f>
        <v/>
      </c>
    </row>
    <row r="238" spans="1:21">
      <c r="A238" s="3">
        <v>4</v>
      </c>
      <c r="B238" s="3">
        <v>1</v>
      </c>
      <c r="C238" s="3">
        <v>23</v>
      </c>
      <c r="D238" s="3">
        <v>13</v>
      </c>
      <c r="E238" s="3">
        <f>((1/(INDEX(E0!J$4:J$28,C238,1)-INDEX(E0!J$4:J$28,D238,1))))*100000000</f>
        <v>0</v>
      </c>
      <c r="F238" s="4" t="str">
        <f>HYPERLINK("http://141.218.60.56/~jnz1568/getInfo.php?workbook=04_01.xlsx&amp;sheet=A0&amp;row=238&amp;col=6&amp;number=&amp;sourceID=18","")</f>
        <v/>
      </c>
      <c r="G238" s="4" t="str">
        <f>HYPERLINK("http://141.218.60.56/~jnz1568/getInfo.php?workbook=04_01.xlsx&amp;sheet=A0&amp;row=238&amp;col=7&amp;number==&amp;sourceID=11","=")</f>
        <v>=</v>
      </c>
      <c r="H238" s="4" t="str">
        <f>HYPERLINK("http://141.218.60.56/~jnz1568/getInfo.php?workbook=04_01.xlsx&amp;sheet=A0&amp;row=238&amp;col=8&amp;number=&amp;sourceID=11","")</f>
        <v/>
      </c>
      <c r="I238" s="4" t="str">
        <f>HYPERLINK("http://141.218.60.56/~jnz1568/getInfo.php?workbook=04_01.xlsx&amp;sheet=A0&amp;row=238&amp;col=9&amp;number=&amp;sourceID=11","")</f>
        <v/>
      </c>
      <c r="J238" s="4" t="str">
        <f>HYPERLINK("http://141.218.60.56/~jnz1568/getInfo.php?workbook=04_01.xlsx&amp;sheet=A0&amp;row=238&amp;col=10&amp;number=0.0021385&amp;sourceID=11","0.0021385")</f>
        <v>0.0021385</v>
      </c>
      <c r="K238" s="4" t="str">
        <f>HYPERLINK("http://141.218.60.56/~jnz1568/getInfo.php?workbook=04_01.xlsx&amp;sheet=A0&amp;row=238&amp;col=11&amp;number=&amp;sourceID=11","")</f>
        <v/>
      </c>
      <c r="L238" s="4" t="str">
        <f>HYPERLINK("http://141.218.60.56/~jnz1568/getInfo.php?workbook=04_01.xlsx&amp;sheet=A0&amp;row=238&amp;col=12&amp;number=1.65e-13&amp;sourceID=11","1.65e-13")</f>
        <v>1.65e-13</v>
      </c>
      <c r="M238" s="4" t="str">
        <f>HYPERLINK("http://141.218.60.56/~jnz1568/getInfo.php?workbook=04_01.xlsx&amp;sheet=A0&amp;row=238&amp;col=13&amp;number=&amp;sourceID=11","")</f>
        <v/>
      </c>
      <c r="N238" s="4" t="str">
        <f>HYPERLINK("http://141.218.60.56/~jnz1568/getInfo.php?workbook=04_01.xlsx&amp;sheet=A0&amp;row=238&amp;col=14&amp;number=0.0021386&amp;sourceID=12","0.0021386")</f>
        <v>0.0021386</v>
      </c>
      <c r="O238" s="4" t="str">
        <f>HYPERLINK("http://141.218.60.56/~jnz1568/getInfo.php?workbook=04_01.xlsx&amp;sheet=A0&amp;row=238&amp;col=15&amp;number=&amp;sourceID=12","")</f>
        <v/>
      </c>
      <c r="P238" s="4" t="str">
        <f>HYPERLINK("http://141.218.60.56/~jnz1568/getInfo.php?workbook=04_01.xlsx&amp;sheet=A0&amp;row=238&amp;col=16&amp;number=&amp;sourceID=12","")</f>
        <v/>
      </c>
      <c r="Q238" s="4" t="str">
        <f>HYPERLINK("http://141.218.60.56/~jnz1568/getInfo.php?workbook=04_01.xlsx&amp;sheet=A0&amp;row=238&amp;col=17&amp;number=0.0021386&amp;sourceID=12","0.0021386")</f>
        <v>0.0021386</v>
      </c>
      <c r="R238" s="4" t="str">
        <f>HYPERLINK("http://141.218.60.56/~jnz1568/getInfo.php?workbook=04_01.xlsx&amp;sheet=A0&amp;row=238&amp;col=18&amp;number=&amp;sourceID=12","")</f>
        <v/>
      </c>
      <c r="S238" s="4" t="str">
        <f>HYPERLINK("http://141.218.60.56/~jnz1568/getInfo.php?workbook=04_01.xlsx&amp;sheet=A0&amp;row=238&amp;col=19&amp;number=1.65e-13&amp;sourceID=12","1.65e-13")</f>
        <v>1.65e-13</v>
      </c>
      <c r="T238" s="4" t="str">
        <f>HYPERLINK("http://141.218.60.56/~jnz1568/getInfo.php?workbook=04_01.xlsx&amp;sheet=A0&amp;row=238&amp;col=20&amp;number=&amp;sourceID=12","")</f>
        <v/>
      </c>
      <c r="U238" s="4" t="str">
        <f>HYPERLINK("http://141.218.60.56/~jnz1568/getInfo.php?workbook=04_01.xlsx&amp;sheet=A0&amp;row=238&amp;col=21&amp;number=&amp;sourceID=20","")</f>
        <v/>
      </c>
    </row>
    <row r="239" spans="1:21">
      <c r="A239" s="3">
        <v>4</v>
      </c>
      <c r="B239" s="3">
        <v>1</v>
      </c>
      <c r="C239" s="3">
        <v>23</v>
      </c>
      <c r="D239" s="3">
        <v>14</v>
      </c>
      <c r="E239" s="3">
        <f>((1/(INDEX(E0!J$4:J$28,C239,1)-INDEX(E0!J$4:J$28,D239,1))))*100000000</f>
        <v>0</v>
      </c>
      <c r="F239" s="4" t="str">
        <f>HYPERLINK("http://141.218.60.56/~jnz1568/getInfo.php?workbook=04_01.xlsx&amp;sheet=A0&amp;row=239&amp;col=6&amp;number=&amp;sourceID=18","")</f>
        <v/>
      </c>
      <c r="G239" s="4" t="str">
        <f>HYPERLINK("http://141.218.60.56/~jnz1568/getInfo.php?workbook=04_01.xlsx&amp;sheet=A0&amp;row=239&amp;col=7&amp;number==&amp;sourceID=11","=")</f>
        <v>=</v>
      </c>
      <c r="H239" s="4" t="str">
        <f>HYPERLINK("http://141.218.60.56/~jnz1568/getInfo.php?workbook=04_01.xlsx&amp;sheet=A0&amp;row=239&amp;col=8&amp;number=1050700000&amp;sourceID=11","1050700000")</f>
        <v>1050700000</v>
      </c>
      <c r="I239" s="4" t="str">
        <f>HYPERLINK("http://141.218.60.56/~jnz1568/getInfo.php?workbook=04_01.xlsx&amp;sheet=A0&amp;row=239&amp;col=9&amp;number=&amp;sourceID=11","")</f>
        <v/>
      </c>
      <c r="J239" s="4" t="str">
        <f>HYPERLINK("http://141.218.60.56/~jnz1568/getInfo.php?workbook=04_01.xlsx&amp;sheet=A0&amp;row=239&amp;col=10&amp;number=0.0021977&amp;sourceID=11","0.0021977")</f>
        <v>0.0021977</v>
      </c>
      <c r="K239" s="4" t="str">
        <f>HYPERLINK("http://141.218.60.56/~jnz1568/getInfo.php?workbook=04_01.xlsx&amp;sheet=A0&amp;row=239&amp;col=11&amp;number=&amp;sourceID=11","")</f>
        <v/>
      </c>
      <c r="L239" s="4" t="str">
        <f>HYPERLINK("http://141.218.60.56/~jnz1568/getInfo.php?workbook=04_01.xlsx&amp;sheet=A0&amp;row=239&amp;col=12&amp;number=0.010951&amp;sourceID=11","0.010951")</f>
        <v>0.010951</v>
      </c>
      <c r="M239" s="4" t="str">
        <f>HYPERLINK("http://141.218.60.56/~jnz1568/getInfo.php?workbook=04_01.xlsx&amp;sheet=A0&amp;row=239&amp;col=13&amp;number=&amp;sourceID=11","")</f>
        <v/>
      </c>
      <c r="N239" s="4" t="str">
        <f>HYPERLINK("http://141.218.60.56/~jnz1568/getInfo.php?workbook=04_01.xlsx&amp;sheet=A0&amp;row=239&amp;col=14&amp;number=1050800000&amp;sourceID=12","1050800000")</f>
        <v>1050800000</v>
      </c>
      <c r="O239" s="4" t="str">
        <f>HYPERLINK("http://141.218.60.56/~jnz1568/getInfo.php?workbook=04_01.xlsx&amp;sheet=A0&amp;row=239&amp;col=15&amp;number=1050800000&amp;sourceID=12","1050800000")</f>
        <v>1050800000</v>
      </c>
      <c r="P239" s="4" t="str">
        <f>HYPERLINK("http://141.218.60.56/~jnz1568/getInfo.php?workbook=04_01.xlsx&amp;sheet=A0&amp;row=239&amp;col=16&amp;number=&amp;sourceID=12","")</f>
        <v/>
      </c>
      <c r="Q239" s="4" t="str">
        <f>HYPERLINK("http://141.218.60.56/~jnz1568/getInfo.php?workbook=04_01.xlsx&amp;sheet=A0&amp;row=239&amp;col=17&amp;number=0.0021978&amp;sourceID=12","0.0021978")</f>
        <v>0.0021978</v>
      </c>
      <c r="R239" s="4" t="str">
        <f>HYPERLINK("http://141.218.60.56/~jnz1568/getInfo.php?workbook=04_01.xlsx&amp;sheet=A0&amp;row=239&amp;col=18&amp;number=&amp;sourceID=12","")</f>
        <v/>
      </c>
      <c r="S239" s="4" t="str">
        <f>HYPERLINK("http://141.218.60.56/~jnz1568/getInfo.php?workbook=04_01.xlsx&amp;sheet=A0&amp;row=239&amp;col=19&amp;number=0.010951&amp;sourceID=12","0.010951")</f>
        <v>0.010951</v>
      </c>
      <c r="T239" s="4" t="str">
        <f>HYPERLINK("http://141.218.60.56/~jnz1568/getInfo.php?workbook=04_01.xlsx&amp;sheet=A0&amp;row=239&amp;col=20&amp;number=&amp;sourceID=12","")</f>
        <v/>
      </c>
      <c r="U239" s="4" t="str">
        <f>HYPERLINK("http://141.218.60.56/~jnz1568/getInfo.php?workbook=04_01.xlsx&amp;sheet=A0&amp;row=239&amp;col=21&amp;number=&amp;sourceID=20","")</f>
        <v/>
      </c>
    </row>
    <row r="240" spans="1:21">
      <c r="A240" s="3">
        <v>4</v>
      </c>
      <c r="B240" s="3">
        <v>1</v>
      </c>
      <c r="C240" s="3">
        <v>23</v>
      </c>
      <c r="D240" s="3">
        <v>15</v>
      </c>
      <c r="E240" s="3">
        <f>((1/(INDEX(E0!J$4:J$28,C240,1)-INDEX(E0!J$4:J$28,D240,1))))*100000000</f>
        <v>0</v>
      </c>
      <c r="F240" s="4" t="str">
        <f>HYPERLINK("http://141.218.60.56/~jnz1568/getInfo.php?workbook=04_01.xlsx&amp;sheet=A0&amp;row=240&amp;col=6&amp;number=&amp;sourceID=18","")</f>
        <v/>
      </c>
      <c r="G240" s="4" t="str">
        <f>HYPERLINK("http://141.218.60.56/~jnz1568/getInfo.php?workbook=04_01.xlsx&amp;sheet=A0&amp;row=240&amp;col=7&amp;number==&amp;sourceID=11","=")</f>
        <v>=</v>
      </c>
      <c r="H240" s="4" t="str">
        <f>HYPERLINK("http://141.218.60.56/~jnz1568/getInfo.php?workbook=04_01.xlsx&amp;sheet=A0&amp;row=240&amp;col=8&amp;number=&amp;sourceID=11","")</f>
        <v/>
      </c>
      <c r="I240" s="4" t="str">
        <f>HYPERLINK("http://141.218.60.56/~jnz1568/getInfo.php?workbook=04_01.xlsx&amp;sheet=A0&amp;row=240&amp;col=9&amp;number=409.45&amp;sourceID=11","409.45")</f>
        <v>409.45</v>
      </c>
      <c r="J240" s="4" t="str">
        <f>HYPERLINK("http://141.218.60.56/~jnz1568/getInfo.php?workbook=04_01.xlsx&amp;sheet=A0&amp;row=240&amp;col=10&amp;number=&amp;sourceID=11","")</f>
        <v/>
      </c>
      <c r="K240" s="4" t="str">
        <f>HYPERLINK("http://141.218.60.56/~jnz1568/getInfo.php?workbook=04_01.xlsx&amp;sheet=A0&amp;row=240&amp;col=11&amp;number=5.6164e-08&amp;sourceID=11","5.6164e-08")</f>
        <v>5.6164e-08</v>
      </c>
      <c r="L240" s="4" t="str">
        <f>HYPERLINK("http://141.218.60.56/~jnz1568/getInfo.php?workbook=04_01.xlsx&amp;sheet=A0&amp;row=240&amp;col=12&amp;number=&amp;sourceID=11","")</f>
        <v/>
      </c>
      <c r="M240" s="4" t="str">
        <f>HYPERLINK("http://141.218.60.56/~jnz1568/getInfo.php?workbook=04_01.xlsx&amp;sheet=A0&amp;row=240&amp;col=13&amp;number=2.986e-10&amp;sourceID=11","2.986e-10")</f>
        <v>2.986e-10</v>
      </c>
      <c r="N240" s="4" t="str">
        <f>HYPERLINK("http://141.218.60.56/~jnz1568/getInfo.php?workbook=04_01.xlsx&amp;sheet=A0&amp;row=240&amp;col=14&amp;number=409.48&amp;sourceID=12","409.48")</f>
        <v>409.48</v>
      </c>
      <c r="O240" s="4" t="str">
        <f>HYPERLINK("http://141.218.60.56/~jnz1568/getInfo.php?workbook=04_01.xlsx&amp;sheet=A0&amp;row=240&amp;col=15&amp;number=&amp;sourceID=12","")</f>
        <v/>
      </c>
      <c r="P240" s="4" t="str">
        <f>HYPERLINK("http://141.218.60.56/~jnz1568/getInfo.php?workbook=04_01.xlsx&amp;sheet=A0&amp;row=240&amp;col=16&amp;number=409.48&amp;sourceID=12","409.48")</f>
        <v>409.48</v>
      </c>
      <c r="Q240" s="4" t="str">
        <f>HYPERLINK("http://141.218.60.56/~jnz1568/getInfo.php?workbook=04_01.xlsx&amp;sheet=A0&amp;row=240&amp;col=17&amp;number=&amp;sourceID=12","")</f>
        <v/>
      </c>
      <c r="R240" s="4" t="str">
        <f>HYPERLINK("http://141.218.60.56/~jnz1568/getInfo.php?workbook=04_01.xlsx&amp;sheet=A0&amp;row=240&amp;col=18&amp;number=5.6158e-08&amp;sourceID=12","5.6158e-08")</f>
        <v>5.6158e-08</v>
      </c>
      <c r="S240" s="4" t="str">
        <f>HYPERLINK("http://141.218.60.56/~jnz1568/getInfo.php?workbook=04_01.xlsx&amp;sheet=A0&amp;row=240&amp;col=19&amp;number=&amp;sourceID=12","")</f>
        <v/>
      </c>
      <c r="T240" s="4" t="str">
        <f>HYPERLINK("http://141.218.60.56/~jnz1568/getInfo.php?workbook=04_01.xlsx&amp;sheet=A0&amp;row=240&amp;col=20&amp;number=2.9862e-10&amp;sourceID=12","2.9862e-10")</f>
        <v>2.9862e-10</v>
      </c>
      <c r="U240" s="4" t="str">
        <f>HYPERLINK("http://141.218.60.56/~jnz1568/getInfo.php?workbook=04_01.xlsx&amp;sheet=A0&amp;row=240&amp;col=21&amp;number=&amp;sourceID=20","")</f>
        <v/>
      </c>
    </row>
    <row r="241" spans="1:21">
      <c r="A241" s="3">
        <v>4</v>
      </c>
      <c r="B241" s="3">
        <v>1</v>
      </c>
      <c r="C241" s="3">
        <v>23</v>
      </c>
      <c r="D241" s="3">
        <v>16</v>
      </c>
      <c r="E241" s="3">
        <f>((1/(INDEX(E0!J$4:J$28,C241,1)-INDEX(E0!J$4:J$28,D241,1))))*100000000</f>
        <v>0</v>
      </c>
      <c r="F241" s="4" t="str">
        <f>HYPERLINK("http://141.218.60.56/~jnz1568/getInfo.php?workbook=04_01.xlsx&amp;sheet=A0&amp;row=241&amp;col=6&amp;number=&amp;sourceID=18","")</f>
        <v/>
      </c>
      <c r="G241" s="4" t="str">
        <f>HYPERLINK("http://141.218.60.56/~jnz1568/getInfo.php?workbook=04_01.xlsx&amp;sheet=A0&amp;row=241&amp;col=7&amp;number==&amp;sourceID=11","=")</f>
        <v>=</v>
      </c>
      <c r="H241" s="4" t="str">
        <f>HYPERLINK("http://141.218.60.56/~jnz1568/getInfo.php?workbook=04_01.xlsx&amp;sheet=A0&amp;row=241&amp;col=8&amp;number=38913000&amp;sourceID=11","38913000")</f>
        <v>38913000</v>
      </c>
      <c r="I241" s="4" t="str">
        <f>HYPERLINK("http://141.218.60.56/~jnz1568/getInfo.php?workbook=04_01.xlsx&amp;sheet=A0&amp;row=241&amp;col=9&amp;number=&amp;sourceID=11","")</f>
        <v/>
      </c>
      <c r="J241" s="4" t="str">
        <f>HYPERLINK("http://141.218.60.56/~jnz1568/getInfo.php?workbook=04_01.xlsx&amp;sheet=A0&amp;row=241&amp;col=10&amp;number=0.00059923&amp;sourceID=11","0.00059923")</f>
        <v>0.00059923</v>
      </c>
      <c r="K241" s="4" t="str">
        <f>HYPERLINK("http://141.218.60.56/~jnz1568/getInfo.php?workbook=04_01.xlsx&amp;sheet=A0&amp;row=241&amp;col=11&amp;number=&amp;sourceID=11","")</f>
        <v/>
      </c>
      <c r="L241" s="4" t="str">
        <f>HYPERLINK("http://141.218.60.56/~jnz1568/getInfo.php?workbook=04_01.xlsx&amp;sheet=A0&amp;row=241&amp;col=12&amp;number=&amp;sourceID=11","")</f>
        <v/>
      </c>
      <c r="M241" s="4" t="str">
        <f>HYPERLINK("http://141.218.60.56/~jnz1568/getInfo.php?workbook=04_01.xlsx&amp;sheet=A0&amp;row=241&amp;col=13&amp;number=&amp;sourceID=11","")</f>
        <v/>
      </c>
      <c r="N241" s="4" t="str">
        <f>HYPERLINK("http://141.218.60.56/~jnz1568/getInfo.php?workbook=04_01.xlsx&amp;sheet=A0&amp;row=241&amp;col=14&amp;number=38915000&amp;sourceID=12","38915000")</f>
        <v>38915000</v>
      </c>
      <c r="O241" s="4" t="str">
        <f>HYPERLINK("http://141.218.60.56/~jnz1568/getInfo.php?workbook=04_01.xlsx&amp;sheet=A0&amp;row=241&amp;col=15&amp;number=38915000&amp;sourceID=12","38915000")</f>
        <v>38915000</v>
      </c>
      <c r="P241" s="4" t="str">
        <f>HYPERLINK("http://141.218.60.56/~jnz1568/getInfo.php?workbook=04_01.xlsx&amp;sheet=A0&amp;row=241&amp;col=16&amp;number=&amp;sourceID=12","")</f>
        <v/>
      </c>
      <c r="Q241" s="4" t="str">
        <f>HYPERLINK("http://141.218.60.56/~jnz1568/getInfo.php?workbook=04_01.xlsx&amp;sheet=A0&amp;row=241&amp;col=17&amp;number=0.00059927&amp;sourceID=12","0.00059927")</f>
        <v>0.00059927</v>
      </c>
      <c r="R241" s="4" t="str">
        <f>HYPERLINK("http://141.218.60.56/~jnz1568/getInfo.php?workbook=04_01.xlsx&amp;sheet=A0&amp;row=241&amp;col=18&amp;number=&amp;sourceID=12","")</f>
        <v/>
      </c>
      <c r="S241" s="4" t="str">
        <f>HYPERLINK("http://141.218.60.56/~jnz1568/getInfo.php?workbook=04_01.xlsx&amp;sheet=A0&amp;row=241&amp;col=19&amp;number=&amp;sourceID=12","")</f>
        <v/>
      </c>
      <c r="T241" s="4" t="str">
        <f>HYPERLINK("http://141.218.60.56/~jnz1568/getInfo.php?workbook=04_01.xlsx&amp;sheet=A0&amp;row=241&amp;col=20&amp;number=&amp;sourceID=12","")</f>
        <v/>
      </c>
      <c r="U241" s="4" t="str">
        <f>HYPERLINK("http://141.218.60.56/~jnz1568/getInfo.php?workbook=04_01.xlsx&amp;sheet=A0&amp;row=241&amp;col=21&amp;number=&amp;sourceID=20","")</f>
        <v/>
      </c>
    </row>
    <row r="242" spans="1:21">
      <c r="A242" s="3">
        <v>4</v>
      </c>
      <c r="B242" s="3">
        <v>1</v>
      </c>
      <c r="C242" s="3">
        <v>23</v>
      </c>
      <c r="D242" s="3">
        <v>17</v>
      </c>
      <c r="E242" s="3">
        <f>((1/(INDEX(E0!J$4:J$28,C242,1)-INDEX(E0!J$4:J$28,D242,1))))*100000000</f>
        <v>0</v>
      </c>
      <c r="F242" s="4" t="str">
        <f>HYPERLINK("http://141.218.60.56/~jnz1568/getInfo.php?workbook=04_01.xlsx&amp;sheet=A0&amp;row=242&amp;col=6&amp;number=&amp;sourceID=18","")</f>
        <v/>
      </c>
      <c r="G242" s="4" t="str">
        <f>HYPERLINK("http://141.218.60.56/~jnz1568/getInfo.php?workbook=04_01.xlsx&amp;sheet=A0&amp;row=242&amp;col=7&amp;number==&amp;sourceID=11","=")</f>
        <v>=</v>
      </c>
      <c r="H242" s="4" t="str">
        <f>HYPERLINK("http://141.218.60.56/~jnz1568/getInfo.php?workbook=04_01.xlsx&amp;sheet=A0&amp;row=242&amp;col=8&amp;number=&amp;sourceID=11","")</f>
        <v/>
      </c>
      <c r="I242" s="4" t="str">
        <f>HYPERLINK("http://141.218.60.56/~jnz1568/getInfo.php?workbook=04_01.xlsx&amp;sheet=A0&amp;row=242&amp;col=9&amp;number=&amp;sourceID=11","")</f>
        <v/>
      </c>
      <c r="J242" s="4" t="str">
        <f>HYPERLINK("http://141.218.60.56/~jnz1568/getInfo.php?workbook=04_01.xlsx&amp;sheet=A0&amp;row=242&amp;col=10&amp;number=0&amp;sourceID=11","0")</f>
        <v>0</v>
      </c>
      <c r="K242" s="4" t="str">
        <f>HYPERLINK("http://141.218.60.56/~jnz1568/getInfo.php?workbook=04_01.xlsx&amp;sheet=A0&amp;row=242&amp;col=11&amp;number=&amp;sourceID=11","")</f>
        <v/>
      </c>
      <c r="L242" s="4" t="str">
        <f>HYPERLINK("http://141.218.60.56/~jnz1568/getInfo.php?workbook=04_01.xlsx&amp;sheet=A0&amp;row=242&amp;col=12&amp;number=&amp;sourceID=11","")</f>
        <v/>
      </c>
      <c r="M242" s="4" t="str">
        <f>HYPERLINK("http://141.218.60.56/~jnz1568/getInfo.php?workbook=04_01.xlsx&amp;sheet=A0&amp;row=242&amp;col=13&amp;number=&amp;sourceID=11","")</f>
        <v/>
      </c>
      <c r="N242" s="4" t="str">
        <f>HYPERLINK("http://141.218.60.56/~jnz1568/getInfo.php?workbook=04_01.xlsx&amp;sheet=A0&amp;row=242&amp;col=14&amp;number=0&amp;sourceID=12","0")</f>
        <v>0</v>
      </c>
      <c r="O242" s="4" t="str">
        <f>HYPERLINK("http://141.218.60.56/~jnz1568/getInfo.php?workbook=04_01.xlsx&amp;sheet=A0&amp;row=242&amp;col=15&amp;number=&amp;sourceID=12","")</f>
        <v/>
      </c>
      <c r="P242" s="4" t="str">
        <f>HYPERLINK("http://141.218.60.56/~jnz1568/getInfo.php?workbook=04_01.xlsx&amp;sheet=A0&amp;row=242&amp;col=16&amp;number=&amp;sourceID=12","")</f>
        <v/>
      </c>
      <c r="Q242" s="4" t="str">
        <f>HYPERLINK("http://141.218.60.56/~jnz1568/getInfo.php?workbook=04_01.xlsx&amp;sheet=A0&amp;row=242&amp;col=17&amp;number=0&amp;sourceID=12","0")</f>
        <v>0</v>
      </c>
      <c r="R242" s="4" t="str">
        <f>HYPERLINK("http://141.218.60.56/~jnz1568/getInfo.php?workbook=04_01.xlsx&amp;sheet=A0&amp;row=242&amp;col=18&amp;number=&amp;sourceID=12","")</f>
        <v/>
      </c>
      <c r="S242" s="4" t="str">
        <f>HYPERLINK("http://141.218.60.56/~jnz1568/getInfo.php?workbook=04_01.xlsx&amp;sheet=A0&amp;row=242&amp;col=19&amp;number=&amp;sourceID=12","")</f>
        <v/>
      </c>
      <c r="T242" s="4" t="str">
        <f>HYPERLINK("http://141.218.60.56/~jnz1568/getInfo.php?workbook=04_01.xlsx&amp;sheet=A0&amp;row=242&amp;col=20&amp;number=&amp;sourceID=12","")</f>
        <v/>
      </c>
      <c r="U242" s="4" t="str">
        <f>HYPERLINK("http://141.218.60.56/~jnz1568/getInfo.php?workbook=04_01.xlsx&amp;sheet=A0&amp;row=242&amp;col=21&amp;number=&amp;sourceID=20","")</f>
        <v/>
      </c>
    </row>
    <row r="243" spans="1:21">
      <c r="A243" s="3">
        <v>4</v>
      </c>
      <c r="B243" s="3">
        <v>1</v>
      </c>
      <c r="C243" s="3">
        <v>23</v>
      </c>
      <c r="D243" s="3">
        <v>18</v>
      </c>
      <c r="E243" s="3">
        <f>((1/(INDEX(E0!J$4:J$28,C243,1)-INDEX(E0!J$4:J$28,D243,1))))*100000000</f>
        <v>0</v>
      </c>
      <c r="F243" s="4" t="str">
        <f>HYPERLINK("http://141.218.60.56/~jnz1568/getInfo.php?workbook=04_01.xlsx&amp;sheet=A0&amp;row=243&amp;col=6&amp;number=&amp;sourceID=18","")</f>
        <v/>
      </c>
      <c r="G243" s="4" t="str">
        <f>HYPERLINK("http://141.218.60.56/~jnz1568/getInfo.php?workbook=04_01.xlsx&amp;sheet=A0&amp;row=243&amp;col=7&amp;number==&amp;sourceID=11","=")</f>
        <v>=</v>
      </c>
      <c r="H243" s="4" t="str">
        <f>HYPERLINK("http://141.218.60.56/~jnz1568/getInfo.php?workbook=04_01.xlsx&amp;sheet=A0&amp;row=243&amp;col=8&amp;number=&amp;sourceID=11","")</f>
        <v/>
      </c>
      <c r="I243" s="4" t="str">
        <f>HYPERLINK("http://141.218.60.56/~jnz1568/getInfo.php?workbook=04_01.xlsx&amp;sheet=A0&amp;row=243&amp;col=9&amp;number=&amp;sourceID=11","")</f>
        <v/>
      </c>
      <c r="J243" s="4" t="str">
        <f>HYPERLINK("http://141.218.60.56/~jnz1568/getInfo.php?workbook=04_01.xlsx&amp;sheet=A0&amp;row=243&amp;col=10&amp;number=&amp;sourceID=11","")</f>
        <v/>
      </c>
      <c r="K243" s="4" t="str">
        <f>HYPERLINK("http://141.218.60.56/~jnz1568/getInfo.php?workbook=04_01.xlsx&amp;sheet=A0&amp;row=243&amp;col=11&amp;number=&amp;sourceID=11","")</f>
        <v/>
      </c>
      <c r="L243" s="4" t="str">
        <f>HYPERLINK("http://141.218.60.56/~jnz1568/getInfo.php?workbook=04_01.xlsx&amp;sheet=A0&amp;row=243&amp;col=12&amp;number=&amp;sourceID=11","")</f>
        <v/>
      </c>
      <c r="M243" s="4" t="str">
        <f>HYPERLINK("http://141.218.60.56/~jnz1568/getInfo.php?workbook=04_01.xlsx&amp;sheet=A0&amp;row=243&amp;col=13&amp;number=0&amp;sourceID=11","0")</f>
        <v>0</v>
      </c>
      <c r="N243" s="4" t="str">
        <f>HYPERLINK("http://141.218.60.56/~jnz1568/getInfo.php?workbook=04_01.xlsx&amp;sheet=A0&amp;row=243&amp;col=14&amp;number=0&amp;sourceID=12","0")</f>
        <v>0</v>
      </c>
      <c r="O243" s="4" t="str">
        <f>HYPERLINK("http://141.218.60.56/~jnz1568/getInfo.php?workbook=04_01.xlsx&amp;sheet=A0&amp;row=243&amp;col=15&amp;number=&amp;sourceID=12","")</f>
        <v/>
      </c>
      <c r="P243" s="4" t="str">
        <f>HYPERLINK("http://141.218.60.56/~jnz1568/getInfo.php?workbook=04_01.xlsx&amp;sheet=A0&amp;row=243&amp;col=16&amp;number=&amp;sourceID=12","")</f>
        <v/>
      </c>
      <c r="Q243" s="4" t="str">
        <f>HYPERLINK("http://141.218.60.56/~jnz1568/getInfo.php?workbook=04_01.xlsx&amp;sheet=A0&amp;row=243&amp;col=17&amp;number=&amp;sourceID=12","")</f>
        <v/>
      </c>
      <c r="R243" s="4" t="str">
        <f>HYPERLINK("http://141.218.60.56/~jnz1568/getInfo.php?workbook=04_01.xlsx&amp;sheet=A0&amp;row=243&amp;col=18&amp;number=&amp;sourceID=12","")</f>
        <v/>
      </c>
      <c r="S243" s="4" t="str">
        <f>HYPERLINK("http://141.218.60.56/~jnz1568/getInfo.php?workbook=04_01.xlsx&amp;sheet=A0&amp;row=243&amp;col=19&amp;number=&amp;sourceID=12","")</f>
        <v/>
      </c>
      <c r="T243" s="4" t="str">
        <f>HYPERLINK("http://141.218.60.56/~jnz1568/getInfo.php?workbook=04_01.xlsx&amp;sheet=A0&amp;row=243&amp;col=20&amp;number=0&amp;sourceID=12","0")</f>
        <v>0</v>
      </c>
      <c r="U243" s="4" t="str">
        <f>HYPERLINK("http://141.218.60.56/~jnz1568/getInfo.php?workbook=04_01.xlsx&amp;sheet=A0&amp;row=243&amp;col=21&amp;number=&amp;sourceID=20","")</f>
        <v/>
      </c>
    </row>
    <row r="244" spans="1:21">
      <c r="A244" s="3">
        <v>4</v>
      </c>
      <c r="B244" s="3">
        <v>1</v>
      </c>
      <c r="C244" s="3">
        <v>23</v>
      </c>
      <c r="D244" s="3">
        <v>19</v>
      </c>
      <c r="E244" s="3">
        <f>((1/(INDEX(E0!J$4:J$28,C244,1)-INDEX(E0!J$4:J$28,D244,1))))*100000000</f>
        <v>0</v>
      </c>
      <c r="F244" s="4" t="str">
        <f>HYPERLINK("http://141.218.60.56/~jnz1568/getInfo.php?workbook=04_01.xlsx&amp;sheet=A0&amp;row=244&amp;col=6&amp;number=&amp;sourceID=18","")</f>
        <v/>
      </c>
      <c r="G244" s="4" t="str">
        <f>HYPERLINK("http://141.218.60.56/~jnz1568/getInfo.php?workbook=04_01.xlsx&amp;sheet=A0&amp;row=244&amp;col=7&amp;number==&amp;sourceID=11","=")</f>
        <v>=</v>
      </c>
      <c r="H244" s="4" t="str">
        <f>HYPERLINK("http://141.218.60.56/~jnz1568/getInfo.php?workbook=04_01.xlsx&amp;sheet=A0&amp;row=244&amp;col=8&amp;number=&amp;sourceID=11","")</f>
        <v/>
      </c>
      <c r="I244" s="4" t="str">
        <f>HYPERLINK("http://141.218.60.56/~jnz1568/getInfo.php?workbook=04_01.xlsx&amp;sheet=A0&amp;row=244&amp;col=9&amp;number=0&amp;sourceID=11","0")</f>
        <v>0</v>
      </c>
      <c r="J244" s="4" t="str">
        <f>HYPERLINK("http://141.218.60.56/~jnz1568/getInfo.php?workbook=04_01.xlsx&amp;sheet=A0&amp;row=244&amp;col=10&amp;number=&amp;sourceID=11","")</f>
        <v/>
      </c>
      <c r="K244" s="4" t="str">
        <f>HYPERLINK("http://141.218.60.56/~jnz1568/getInfo.php?workbook=04_01.xlsx&amp;sheet=A0&amp;row=244&amp;col=11&amp;number=&amp;sourceID=11","")</f>
        <v/>
      </c>
      <c r="L244" s="4" t="str">
        <f>HYPERLINK("http://141.218.60.56/~jnz1568/getInfo.php?workbook=04_01.xlsx&amp;sheet=A0&amp;row=244&amp;col=12&amp;number=&amp;sourceID=11","")</f>
        <v/>
      </c>
      <c r="M244" s="4" t="str">
        <f>HYPERLINK("http://141.218.60.56/~jnz1568/getInfo.php?workbook=04_01.xlsx&amp;sheet=A0&amp;row=244&amp;col=13&amp;number=0&amp;sourceID=11","0")</f>
        <v>0</v>
      </c>
      <c r="N244" s="4" t="str">
        <f>HYPERLINK("http://141.218.60.56/~jnz1568/getInfo.php?workbook=04_01.xlsx&amp;sheet=A0&amp;row=244&amp;col=14&amp;number=0&amp;sourceID=12","0")</f>
        <v>0</v>
      </c>
      <c r="O244" s="4" t="str">
        <f>HYPERLINK("http://141.218.60.56/~jnz1568/getInfo.php?workbook=04_01.xlsx&amp;sheet=A0&amp;row=244&amp;col=15&amp;number=&amp;sourceID=12","")</f>
        <v/>
      </c>
      <c r="P244" s="4" t="str">
        <f>HYPERLINK("http://141.218.60.56/~jnz1568/getInfo.php?workbook=04_01.xlsx&amp;sheet=A0&amp;row=244&amp;col=16&amp;number=0&amp;sourceID=12","0")</f>
        <v>0</v>
      </c>
      <c r="Q244" s="4" t="str">
        <f>HYPERLINK("http://141.218.60.56/~jnz1568/getInfo.php?workbook=04_01.xlsx&amp;sheet=A0&amp;row=244&amp;col=17&amp;number=&amp;sourceID=12","")</f>
        <v/>
      </c>
      <c r="R244" s="4" t="str">
        <f>HYPERLINK("http://141.218.60.56/~jnz1568/getInfo.php?workbook=04_01.xlsx&amp;sheet=A0&amp;row=244&amp;col=18&amp;number=&amp;sourceID=12","")</f>
        <v/>
      </c>
      <c r="S244" s="4" t="str">
        <f>HYPERLINK("http://141.218.60.56/~jnz1568/getInfo.php?workbook=04_01.xlsx&amp;sheet=A0&amp;row=244&amp;col=19&amp;number=&amp;sourceID=12","")</f>
        <v/>
      </c>
      <c r="T244" s="4" t="str">
        <f>HYPERLINK("http://141.218.60.56/~jnz1568/getInfo.php?workbook=04_01.xlsx&amp;sheet=A0&amp;row=244&amp;col=20&amp;number=0&amp;sourceID=12","0")</f>
        <v>0</v>
      </c>
      <c r="U244" s="4" t="str">
        <f>HYPERLINK("http://141.218.60.56/~jnz1568/getInfo.php?workbook=04_01.xlsx&amp;sheet=A0&amp;row=244&amp;col=21&amp;number=&amp;sourceID=20","")</f>
        <v/>
      </c>
    </row>
    <row r="245" spans="1:21">
      <c r="A245" s="3">
        <v>4</v>
      </c>
      <c r="B245" s="3">
        <v>1</v>
      </c>
      <c r="C245" s="3">
        <v>23</v>
      </c>
      <c r="D245" s="3">
        <v>20</v>
      </c>
      <c r="E245" s="3">
        <f>((1/(INDEX(E0!J$4:J$28,C245,1)-INDEX(E0!J$4:J$28,D245,1))))*100000000</f>
        <v>0</v>
      </c>
      <c r="F245" s="4" t="str">
        <f>HYPERLINK("http://141.218.60.56/~jnz1568/getInfo.php?workbook=04_01.xlsx&amp;sheet=A0&amp;row=245&amp;col=6&amp;number=&amp;sourceID=18","")</f>
        <v/>
      </c>
      <c r="G245" s="4" t="str">
        <f>HYPERLINK("http://141.218.60.56/~jnz1568/getInfo.php?workbook=04_01.xlsx&amp;sheet=A0&amp;row=245&amp;col=7&amp;number==&amp;sourceID=11","=")</f>
        <v>=</v>
      </c>
      <c r="H245" s="4" t="str">
        <f>HYPERLINK("http://141.218.60.56/~jnz1568/getInfo.php?workbook=04_01.xlsx&amp;sheet=A0&amp;row=245&amp;col=8&amp;number=&amp;sourceID=11","")</f>
        <v/>
      </c>
      <c r="I245" s="4" t="str">
        <f>HYPERLINK("http://141.218.60.56/~jnz1568/getInfo.php?workbook=04_01.xlsx&amp;sheet=A0&amp;row=245&amp;col=9&amp;number=&amp;sourceID=11","")</f>
        <v/>
      </c>
      <c r="J245" s="4" t="str">
        <f>HYPERLINK("http://141.218.60.56/~jnz1568/getInfo.php?workbook=04_01.xlsx&amp;sheet=A0&amp;row=245&amp;col=10&amp;number=0&amp;sourceID=11","0")</f>
        <v>0</v>
      </c>
      <c r="K245" s="4" t="str">
        <f>HYPERLINK("http://141.218.60.56/~jnz1568/getInfo.php?workbook=04_01.xlsx&amp;sheet=A0&amp;row=245&amp;col=11&amp;number=&amp;sourceID=11","")</f>
        <v/>
      </c>
      <c r="L245" s="4" t="str">
        <f>HYPERLINK("http://141.218.60.56/~jnz1568/getInfo.php?workbook=04_01.xlsx&amp;sheet=A0&amp;row=245&amp;col=12&amp;number=0&amp;sourceID=11","0")</f>
        <v>0</v>
      </c>
      <c r="M245" s="4" t="str">
        <f>HYPERLINK("http://141.218.60.56/~jnz1568/getInfo.php?workbook=04_01.xlsx&amp;sheet=A0&amp;row=245&amp;col=13&amp;number=&amp;sourceID=11","")</f>
        <v/>
      </c>
      <c r="N245" s="4" t="str">
        <f>HYPERLINK("http://141.218.60.56/~jnz1568/getInfo.php?workbook=04_01.xlsx&amp;sheet=A0&amp;row=245&amp;col=14&amp;number=0&amp;sourceID=12","0")</f>
        <v>0</v>
      </c>
      <c r="O245" s="4" t="str">
        <f>HYPERLINK("http://141.218.60.56/~jnz1568/getInfo.php?workbook=04_01.xlsx&amp;sheet=A0&amp;row=245&amp;col=15&amp;number=&amp;sourceID=12","")</f>
        <v/>
      </c>
      <c r="P245" s="4" t="str">
        <f>HYPERLINK("http://141.218.60.56/~jnz1568/getInfo.php?workbook=04_01.xlsx&amp;sheet=A0&amp;row=245&amp;col=16&amp;number=&amp;sourceID=12","")</f>
        <v/>
      </c>
      <c r="Q245" s="4" t="str">
        <f>HYPERLINK("http://141.218.60.56/~jnz1568/getInfo.php?workbook=04_01.xlsx&amp;sheet=A0&amp;row=245&amp;col=17&amp;number=0&amp;sourceID=12","0")</f>
        <v>0</v>
      </c>
      <c r="R245" s="4" t="str">
        <f>HYPERLINK("http://141.218.60.56/~jnz1568/getInfo.php?workbook=04_01.xlsx&amp;sheet=A0&amp;row=245&amp;col=18&amp;number=&amp;sourceID=12","")</f>
        <v/>
      </c>
      <c r="S245" s="4" t="str">
        <f>HYPERLINK("http://141.218.60.56/~jnz1568/getInfo.php?workbook=04_01.xlsx&amp;sheet=A0&amp;row=245&amp;col=19&amp;number=0&amp;sourceID=12","0")</f>
        <v>0</v>
      </c>
      <c r="T245" s="4" t="str">
        <f>HYPERLINK("http://141.218.60.56/~jnz1568/getInfo.php?workbook=04_01.xlsx&amp;sheet=A0&amp;row=245&amp;col=20&amp;number=&amp;sourceID=12","")</f>
        <v/>
      </c>
      <c r="U245" s="4" t="str">
        <f>HYPERLINK("http://141.218.60.56/~jnz1568/getInfo.php?workbook=04_01.xlsx&amp;sheet=A0&amp;row=245&amp;col=21&amp;number=&amp;sourceID=20","")</f>
        <v/>
      </c>
    </row>
    <row r="246" spans="1:21">
      <c r="A246" s="3">
        <v>4</v>
      </c>
      <c r="B246" s="3">
        <v>1</v>
      </c>
      <c r="C246" s="3">
        <v>23</v>
      </c>
      <c r="D246" s="3">
        <v>21</v>
      </c>
      <c r="E246" s="3">
        <f>((1/(INDEX(E0!J$4:J$28,C246,1)-INDEX(E0!J$4:J$28,D246,1))))*100000000</f>
        <v>0</v>
      </c>
      <c r="F246" s="4" t="str">
        <f>HYPERLINK("http://141.218.60.56/~jnz1568/getInfo.php?workbook=04_01.xlsx&amp;sheet=A0&amp;row=246&amp;col=6&amp;number=&amp;sourceID=18","")</f>
        <v/>
      </c>
      <c r="G246" s="4" t="str">
        <f>HYPERLINK("http://141.218.60.56/~jnz1568/getInfo.php?workbook=04_01.xlsx&amp;sheet=A0&amp;row=246&amp;col=7&amp;number==&amp;sourceID=11","=")</f>
        <v>=</v>
      </c>
      <c r="H246" s="4" t="str">
        <f>HYPERLINK("http://141.218.60.56/~jnz1568/getInfo.php?workbook=04_01.xlsx&amp;sheet=A0&amp;row=246&amp;col=8&amp;number=2.7258e-05&amp;sourceID=11","2.7258e-05")</f>
        <v>2.7258e-05</v>
      </c>
      <c r="I246" s="4" t="str">
        <f>HYPERLINK("http://141.218.60.56/~jnz1568/getInfo.php?workbook=04_01.xlsx&amp;sheet=A0&amp;row=246&amp;col=9&amp;number=&amp;sourceID=11","")</f>
        <v/>
      </c>
      <c r="J246" s="4" t="str">
        <f>HYPERLINK("http://141.218.60.56/~jnz1568/getInfo.php?workbook=04_01.xlsx&amp;sheet=A0&amp;row=246&amp;col=10&amp;number=0&amp;sourceID=11","0")</f>
        <v>0</v>
      </c>
      <c r="K246" s="4" t="str">
        <f>HYPERLINK("http://141.218.60.56/~jnz1568/getInfo.php?workbook=04_01.xlsx&amp;sheet=A0&amp;row=246&amp;col=11&amp;number=&amp;sourceID=11","")</f>
        <v/>
      </c>
      <c r="L246" s="4" t="str">
        <f>HYPERLINK("http://141.218.60.56/~jnz1568/getInfo.php?workbook=04_01.xlsx&amp;sheet=A0&amp;row=246&amp;col=12&amp;number=0&amp;sourceID=11","0")</f>
        <v>0</v>
      </c>
      <c r="M246" s="4" t="str">
        <f>HYPERLINK("http://141.218.60.56/~jnz1568/getInfo.php?workbook=04_01.xlsx&amp;sheet=A0&amp;row=246&amp;col=13&amp;number=&amp;sourceID=11","")</f>
        <v/>
      </c>
      <c r="N246" s="4" t="str">
        <f>HYPERLINK("http://141.218.60.56/~jnz1568/getInfo.php?workbook=04_01.xlsx&amp;sheet=A0&amp;row=246&amp;col=14&amp;number=2.7281e-05&amp;sourceID=12","2.7281e-05")</f>
        <v>2.7281e-05</v>
      </c>
      <c r="O246" s="4" t="str">
        <f>HYPERLINK("http://141.218.60.56/~jnz1568/getInfo.php?workbook=04_01.xlsx&amp;sheet=A0&amp;row=246&amp;col=15&amp;number=2.7281e-05&amp;sourceID=12","2.7281e-05")</f>
        <v>2.7281e-05</v>
      </c>
      <c r="P246" s="4" t="str">
        <f>HYPERLINK("http://141.218.60.56/~jnz1568/getInfo.php?workbook=04_01.xlsx&amp;sheet=A0&amp;row=246&amp;col=16&amp;number=&amp;sourceID=12","")</f>
        <v/>
      </c>
      <c r="Q246" s="4" t="str">
        <f>HYPERLINK("http://141.218.60.56/~jnz1568/getInfo.php?workbook=04_01.xlsx&amp;sheet=A0&amp;row=246&amp;col=17&amp;number=0&amp;sourceID=12","0")</f>
        <v>0</v>
      </c>
      <c r="R246" s="4" t="str">
        <f>HYPERLINK("http://141.218.60.56/~jnz1568/getInfo.php?workbook=04_01.xlsx&amp;sheet=A0&amp;row=246&amp;col=18&amp;number=&amp;sourceID=12","")</f>
        <v/>
      </c>
      <c r="S246" s="4" t="str">
        <f>HYPERLINK("http://141.218.60.56/~jnz1568/getInfo.php?workbook=04_01.xlsx&amp;sheet=A0&amp;row=246&amp;col=19&amp;number=0&amp;sourceID=12","0")</f>
        <v>0</v>
      </c>
      <c r="T246" s="4" t="str">
        <f>HYPERLINK("http://141.218.60.56/~jnz1568/getInfo.php?workbook=04_01.xlsx&amp;sheet=A0&amp;row=246&amp;col=20&amp;number=&amp;sourceID=12","")</f>
        <v/>
      </c>
      <c r="U246" s="4" t="str">
        <f>HYPERLINK("http://141.218.60.56/~jnz1568/getInfo.php?workbook=04_01.xlsx&amp;sheet=A0&amp;row=246&amp;col=21&amp;number=&amp;sourceID=20","")</f>
        <v/>
      </c>
    </row>
    <row r="247" spans="1:21">
      <c r="A247" s="3">
        <v>4</v>
      </c>
      <c r="B247" s="3">
        <v>1</v>
      </c>
      <c r="C247" s="3">
        <v>23</v>
      </c>
      <c r="D247" s="3">
        <v>22</v>
      </c>
      <c r="E247" s="3">
        <f>((1/(INDEX(E0!J$4:J$28,C247,1)-INDEX(E0!J$4:J$28,D247,1))))*100000000</f>
        <v>0</v>
      </c>
      <c r="F247" s="4" t="str">
        <f>HYPERLINK("http://141.218.60.56/~jnz1568/getInfo.php?workbook=04_01.xlsx&amp;sheet=A0&amp;row=247&amp;col=6&amp;number=&amp;sourceID=18","")</f>
        <v/>
      </c>
      <c r="G247" s="4" t="str">
        <f>HYPERLINK("http://141.218.60.56/~jnz1568/getInfo.php?workbook=04_01.xlsx&amp;sheet=A0&amp;row=247&amp;col=7&amp;number==&amp;sourceID=11","=")</f>
        <v>=</v>
      </c>
      <c r="H247" s="4" t="str">
        <f>HYPERLINK("http://141.218.60.56/~jnz1568/getInfo.php?workbook=04_01.xlsx&amp;sheet=A0&amp;row=247&amp;col=8&amp;number=&amp;sourceID=11","")</f>
        <v/>
      </c>
      <c r="I247" s="4" t="str">
        <f>HYPERLINK("http://141.218.60.56/~jnz1568/getInfo.php?workbook=04_01.xlsx&amp;sheet=A0&amp;row=247&amp;col=9&amp;number=0&amp;sourceID=11","0")</f>
        <v>0</v>
      </c>
      <c r="J247" s="4" t="str">
        <f>HYPERLINK("http://141.218.60.56/~jnz1568/getInfo.php?workbook=04_01.xlsx&amp;sheet=A0&amp;row=247&amp;col=10&amp;number=&amp;sourceID=11","")</f>
        <v/>
      </c>
      <c r="K247" s="4" t="str">
        <f>HYPERLINK("http://141.218.60.56/~jnz1568/getInfo.php?workbook=04_01.xlsx&amp;sheet=A0&amp;row=247&amp;col=11&amp;number=0&amp;sourceID=11","0")</f>
        <v>0</v>
      </c>
      <c r="L247" s="4" t="str">
        <f>HYPERLINK("http://141.218.60.56/~jnz1568/getInfo.php?workbook=04_01.xlsx&amp;sheet=A0&amp;row=247&amp;col=12&amp;number=&amp;sourceID=11","")</f>
        <v/>
      </c>
      <c r="M247" s="4" t="str">
        <f>HYPERLINK("http://141.218.60.56/~jnz1568/getInfo.php?workbook=04_01.xlsx&amp;sheet=A0&amp;row=247&amp;col=13&amp;number=0&amp;sourceID=11","0")</f>
        <v>0</v>
      </c>
      <c r="N247" s="4" t="str">
        <f>HYPERLINK("http://141.218.60.56/~jnz1568/getInfo.php?workbook=04_01.xlsx&amp;sheet=A0&amp;row=247&amp;col=14&amp;number=0&amp;sourceID=12","0")</f>
        <v>0</v>
      </c>
      <c r="O247" s="4" t="str">
        <f>HYPERLINK("http://141.218.60.56/~jnz1568/getInfo.php?workbook=04_01.xlsx&amp;sheet=A0&amp;row=247&amp;col=15&amp;number=&amp;sourceID=12","")</f>
        <v/>
      </c>
      <c r="P247" s="4" t="str">
        <f>HYPERLINK("http://141.218.60.56/~jnz1568/getInfo.php?workbook=04_01.xlsx&amp;sheet=A0&amp;row=247&amp;col=16&amp;number=0&amp;sourceID=12","0")</f>
        <v>0</v>
      </c>
      <c r="Q247" s="4" t="str">
        <f>HYPERLINK("http://141.218.60.56/~jnz1568/getInfo.php?workbook=04_01.xlsx&amp;sheet=A0&amp;row=247&amp;col=17&amp;number=&amp;sourceID=12","")</f>
        <v/>
      </c>
      <c r="R247" s="4" t="str">
        <f>HYPERLINK("http://141.218.60.56/~jnz1568/getInfo.php?workbook=04_01.xlsx&amp;sheet=A0&amp;row=247&amp;col=18&amp;number=0&amp;sourceID=12","0")</f>
        <v>0</v>
      </c>
      <c r="S247" s="4" t="str">
        <f>HYPERLINK("http://141.218.60.56/~jnz1568/getInfo.php?workbook=04_01.xlsx&amp;sheet=A0&amp;row=247&amp;col=19&amp;number=&amp;sourceID=12","")</f>
        <v/>
      </c>
      <c r="T247" s="4" t="str">
        <f>HYPERLINK("http://141.218.60.56/~jnz1568/getInfo.php?workbook=04_01.xlsx&amp;sheet=A0&amp;row=247&amp;col=20&amp;number=0&amp;sourceID=12","0")</f>
        <v>0</v>
      </c>
      <c r="U247" s="4" t="str">
        <f>HYPERLINK("http://141.218.60.56/~jnz1568/getInfo.php?workbook=04_01.xlsx&amp;sheet=A0&amp;row=247&amp;col=21&amp;number=&amp;sourceID=20","")</f>
        <v/>
      </c>
    </row>
    <row r="248" spans="1:21">
      <c r="A248" s="3">
        <v>4</v>
      </c>
      <c r="B248" s="3">
        <v>1</v>
      </c>
      <c r="C248" s="3">
        <v>24</v>
      </c>
      <c r="D248" s="3">
        <v>1</v>
      </c>
      <c r="E248" s="3">
        <f>((1/(INDEX(E0!J$4:J$28,C248,1)-INDEX(E0!J$4:J$28,D248,1))))*100000000</f>
        <v>0</v>
      </c>
      <c r="F248" s="4" t="str">
        <f>HYPERLINK("http://141.218.60.56/~jnz1568/getInfo.php?workbook=04_01.xlsx&amp;sheet=A0&amp;row=248&amp;col=6&amp;number=&amp;sourceID=18","")</f>
        <v/>
      </c>
      <c r="G248" s="4" t="str">
        <f>HYPERLINK("http://141.218.60.56/~jnz1568/getInfo.php?workbook=04_01.xlsx&amp;sheet=A0&amp;row=248&amp;col=7&amp;number==&amp;sourceID=11","=")</f>
        <v>=</v>
      </c>
      <c r="H248" s="4" t="str">
        <f>HYPERLINK("http://141.218.60.56/~jnz1568/getInfo.php?workbook=04_01.xlsx&amp;sheet=A0&amp;row=248&amp;col=8&amp;number=&amp;sourceID=11","")</f>
        <v/>
      </c>
      <c r="I248" s="4" t="str">
        <f>HYPERLINK("http://141.218.60.56/~jnz1568/getInfo.php?workbook=04_01.xlsx&amp;sheet=A0&amp;row=248&amp;col=9&amp;number=&amp;sourceID=11","")</f>
        <v/>
      </c>
      <c r="J248" s="4" t="str">
        <f>HYPERLINK("http://141.218.60.56/~jnz1568/getInfo.php?workbook=04_01.xlsx&amp;sheet=A0&amp;row=248&amp;col=10&amp;number=16.813&amp;sourceID=11","16.813")</f>
        <v>16.813</v>
      </c>
      <c r="K248" s="4" t="str">
        <f>HYPERLINK("http://141.218.60.56/~jnz1568/getInfo.php?workbook=04_01.xlsx&amp;sheet=A0&amp;row=248&amp;col=11&amp;number=&amp;sourceID=11","")</f>
        <v/>
      </c>
      <c r="L248" s="4" t="str">
        <f>HYPERLINK("http://141.218.60.56/~jnz1568/getInfo.php?workbook=04_01.xlsx&amp;sheet=A0&amp;row=248&amp;col=12&amp;number=&amp;sourceID=11","")</f>
        <v/>
      </c>
      <c r="M248" s="4" t="str">
        <f>HYPERLINK("http://141.218.60.56/~jnz1568/getInfo.php?workbook=04_01.xlsx&amp;sheet=A0&amp;row=248&amp;col=13&amp;number=&amp;sourceID=11","")</f>
        <v/>
      </c>
      <c r="N248" s="4" t="str">
        <f>HYPERLINK("http://141.218.60.56/~jnz1568/getInfo.php?workbook=04_01.xlsx&amp;sheet=A0&amp;row=248&amp;col=14&amp;number=16.814&amp;sourceID=12","16.814")</f>
        <v>16.814</v>
      </c>
      <c r="O248" s="4" t="str">
        <f>HYPERLINK("http://141.218.60.56/~jnz1568/getInfo.php?workbook=04_01.xlsx&amp;sheet=A0&amp;row=248&amp;col=15&amp;number=&amp;sourceID=12","")</f>
        <v/>
      </c>
      <c r="P248" s="4" t="str">
        <f>HYPERLINK("http://141.218.60.56/~jnz1568/getInfo.php?workbook=04_01.xlsx&amp;sheet=A0&amp;row=248&amp;col=16&amp;number=&amp;sourceID=12","")</f>
        <v/>
      </c>
      <c r="Q248" s="4" t="str">
        <f>HYPERLINK("http://141.218.60.56/~jnz1568/getInfo.php?workbook=04_01.xlsx&amp;sheet=A0&amp;row=248&amp;col=17&amp;number=16.814&amp;sourceID=12","16.814")</f>
        <v>16.814</v>
      </c>
      <c r="R248" s="4" t="str">
        <f>HYPERLINK("http://141.218.60.56/~jnz1568/getInfo.php?workbook=04_01.xlsx&amp;sheet=A0&amp;row=248&amp;col=18&amp;number=&amp;sourceID=12","")</f>
        <v/>
      </c>
      <c r="S248" s="4" t="str">
        <f>HYPERLINK("http://141.218.60.56/~jnz1568/getInfo.php?workbook=04_01.xlsx&amp;sheet=A0&amp;row=248&amp;col=19&amp;number=&amp;sourceID=12","")</f>
        <v/>
      </c>
      <c r="T248" s="4" t="str">
        <f>HYPERLINK("http://141.218.60.56/~jnz1568/getInfo.php?workbook=04_01.xlsx&amp;sheet=A0&amp;row=248&amp;col=20&amp;number=&amp;sourceID=12","")</f>
        <v/>
      </c>
      <c r="U248" s="4" t="str">
        <f>HYPERLINK("http://141.218.60.56/~jnz1568/getInfo.php?workbook=04_01.xlsx&amp;sheet=A0&amp;row=248&amp;col=21&amp;number=&amp;sourceID=20","")</f>
        <v/>
      </c>
    </row>
    <row r="249" spans="1:21">
      <c r="A249" s="3">
        <v>4</v>
      </c>
      <c r="B249" s="3">
        <v>1</v>
      </c>
      <c r="C249" s="3">
        <v>24</v>
      </c>
      <c r="D249" s="3">
        <v>2</v>
      </c>
      <c r="E249" s="3">
        <f>((1/(INDEX(E0!J$4:J$28,C249,1)-INDEX(E0!J$4:J$28,D249,1))))*100000000</f>
        <v>0</v>
      </c>
      <c r="F249" s="4" t="str">
        <f>HYPERLINK("http://141.218.60.56/~jnz1568/getInfo.php?workbook=04_01.xlsx&amp;sheet=A0&amp;row=249&amp;col=6&amp;number=&amp;sourceID=18","")</f>
        <v/>
      </c>
      <c r="G249" s="4" t="str">
        <f>HYPERLINK("http://141.218.60.56/~jnz1568/getInfo.php?workbook=04_01.xlsx&amp;sheet=A0&amp;row=249&amp;col=7&amp;number==&amp;sourceID=11","=")</f>
        <v>=</v>
      </c>
      <c r="H249" s="4" t="str">
        <f>HYPERLINK("http://141.218.60.56/~jnz1568/getInfo.php?workbook=04_01.xlsx&amp;sheet=A0&amp;row=249&amp;col=8&amp;number=&amp;sourceID=11","")</f>
        <v/>
      </c>
      <c r="I249" s="4" t="str">
        <f>HYPERLINK("http://141.218.60.56/~jnz1568/getInfo.php?workbook=04_01.xlsx&amp;sheet=A0&amp;row=249&amp;col=9&amp;number=&amp;sourceID=11","")</f>
        <v/>
      </c>
      <c r="J249" s="4" t="str">
        <f>HYPERLINK("http://141.218.60.56/~jnz1568/getInfo.php?workbook=04_01.xlsx&amp;sheet=A0&amp;row=249&amp;col=10&amp;number=&amp;sourceID=11","")</f>
        <v/>
      </c>
      <c r="K249" s="4" t="str">
        <f>HYPERLINK("http://141.218.60.56/~jnz1568/getInfo.php?workbook=04_01.xlsx&amp;sheet=A0&amp;row=249&amp;col=11&amp;number=&amp;sourceID=11","")</f>
        <v/>
      </c>
      <c r="L249" s="4" t="str">
        <f>HYPERLINK("http://141.218.60.56/~jnz1568/getInfo.php?workbook=04_01.xlsx&amp;sheet=A0&amp;row=249&amp;col=12&amp;number=&amp;sourceID=11","")</f>
        <v/>
      </c>
      <c r="M249" s="4" t="str">
        <f>HYPERLINK("http://141.218.60.56/~jnz1568/getInfo.php?workbook=04_01.xlsx&amp;sheet=A0&amp;row=249&amp;col=13&amp;number=9.6813e-05&amp;sourceID=11","9.6813e-05")</f>
        <v>9.6813e-05</v>
      </c>
      <c r="N249" s="4" t="str">
        <f>HYPERLINK("http://141.218.60.56/~jnz1568/getInfo.php?workbook=04_01.xlsx&amp;sheet=A0&amp;row=249&amp;col=14&amp;number=9.6819e-05&amp;sourceID=12","9.6819e-05")</f>
        <v>9.6819e-05</v>
      </c>
      <c r="O249" s="4" t="str">
        <f>HYPERLINK("http://141.218.60.56/~jnz1568/getInfo.php?workbook=04_01.xlsx&amp;sheet=A0&amp;row=249&amp;col=15&amp;number=&amp;sourceID=12","")</f>
        <v/>
      </c>
      <c r="P249" s="4" t="str">
        <f>HYPERLINK("http://141.218.60.56/~jnz1568/getInfo.php?workbook=04_01.xlsx&amp;sheet=A0&amp;row=249&amp;col=16&amp;number=&amp;sourceID=12","")</f>
        <v/>
      </c>
      <c r="Q249" s="4" t="str">
        <f>HYPERLINK("http://141.218.60.56/~jnz1568/getInfo.php?workbook=04_01.xlsx&amp;sheet=A0&amp;row=249&amp;col=17&amp;number=&amp;sourceID=12","")</f>
        <v/>
      </c>
      <c r="R249" s="4" t="str">
        <f>HYPERLINK("http://141.218.60.56/~jnz1568/getInfo.php?workbook=04_01.xlsx&amp;sheet=A0&amp;row=249&amp;col=18&amp;number=&amp;sourceID=12","")</f>
        <v/>
      </c>
      <c r="S249" s="4" t="str">
        <f>HYPERLINK("http://141.218.60.56/~jnz1568/getInfo.php?workbook=04_01.xlsx&amp;sheet=A0&amp;row=249&amp;col=19&amp;number=&amp;sourceID=12","")</f>
        <v/>
      </c>
      <c r="T249" s="4" t="str">
        <f>HYPERLINK("http://141.218.60.56/~jnz1568/getInfo.php?workbook=04_01.xlsx&amp;sheet=A0&amp;row=249&amp;col=20&amp;number=9.6819e-05&amp;sourceID=12","9.6819e-05")</f>
        <v>9.6819e-05</v>
      </c>
      <c r="U249" s="4" t="str">
        <f>HYPERLINK("http://141.218.60.56/~jnz1568/getInfo.php?workbook=04_01.xlsx&amp;sheet=A0&amp;row=249&amp;col=21&amp;number=&amp;sourceID=20","")</f>
        <v/>
      </c>
    </row>
    <row r="250" spans="1:21">
      <c r="A250" s="3">
        <v>4</v>
      </c>
      <c r="B250" s="3">
        <v>1</v>
      </c>
      <c r="C250" s="3">
        <v>24</v>
      </c>
      <c r="D250" s="3">
        <v>3</v>
      </c>
      <c r="E250" s="3">
        <f>((1/(INDEX(E0!J$4:J$28,C250,1)-INDEX(E0!J$4:J$28,D250,1))))*100000000</f>
        <v>0</v>
      </c>
      <c r="F250" s="4" t="str">
        <f>HYPERLINK("http://141.218.60.56/~jnz1568/getInfo.php?workbook=04_01.xlsx&amp;sheet=A0&amp;row=250&amp;col=6&amp;number=&amp;sourceID=18","")</f>
        <v/>
      </c>
      <c r="G250" s="4" t="str">
        <f>HYPERLINK("http://141.218.60.56/~jnz1568/getInfo.php?workbook=04_01.xlsx&amp;sheet=A0&amp;row=250&amp;col=7&amp;number==&amp;sourceID=11","=")</f>
        <v>=</v>
      </c>
      <c r="H250" s="4" t="str">
        <f>HYPERLINK("http://141.218.60.56/~jnz1568/getInfo.php?workbook=04_01.xlsx&amp;sheet=A0&amp;row=250&amp;col=8&amp;number=&amp;sourceID=11","")</f>
        <v/>
      </c>
      <c r="I250" s="4" t="str">
        <f>HYPERLINK("http://141.218.60.56/~jnz1568/getInfo.php?workbook=04_01.xlsx&amp;sheet=A0&amp;row=250&amp;col=9&amp;number=&amp;sourceID=11","")</f>
        <v/>
      </c>
      <c r="J250" s="4" t="str">
        <f>HYPERLINK("http://141.218.60.56/~jnz1568/getInfo.php?workbook=04_01.xlsx&amp;sheet=A0&amp;row=250&amp;col=10&amp;number=4.6231&amp;sourceID=11","4.6231")</f>
        <v>4.6231</v>
      </c>
      <c r="K250" s="4" t="str">
        <f>HYPERLINK("http://141.218.60.56/~jnz1568/getInfo.php?workbook=04_01.xlsx&amp;sheet=A0&amp;row=250&amp;col=11&amp;number=&amp;sourceID=11","")</f>
        <v/>
      </c>
      <c r="L250" s="4" t="str">
        <f>HYPERLINK("http://141.218.60.56/~jnz1568/getInfo.php?workbook=04_01.xlsx&amp;sheet=A0&amp;row=250&amp;col=12&amp;number=&amp;sourceID=11","")</f>
        <v/>
      </c>
      <c r="M250" s="4" t="str">
        <f>HYPERLINK("http://141.218.60.56/~jnz1568/getInfo.php?workbook=04_01.xlsx&amp;sheet=A0&amp;row=250&amp;col=13&amp;number=&amp;sourceID=11","")</f>
        <v/>
      </c>
      <c r="N250" s="4" t="str">
        <f>HYPERLINK("http://141.218.60.56/~jnz1568/getInfo.php?workbook=04_01.xlsx&amp;sheet=A0&amp;row=250&amp;col=14&amp;number=4.6234&amp;sourceID=12","4.6234")</f>
        <v>4.6234</v>
      </c>
      <c r="O250" s="4" t="str">
        <f>HYPERLINK("http://141.218.60.56/~jnz1568/getInfo.php?workbook=04_01.xlsx&amp;sheet=A0&amp;row=250&amp;col=15&amp;number=&amp;sourceID=12","")</f>
        <v/>
      </c>
      <c r="P250" s="4" t="str">
        <f>HYPERLINK("http://141.218.60.56/~jnz1568/getInfo.php?workbook=04_01.xlsx&amp;sheet=A0&amp;row=250&amp;col=16&amp;number=&amp;sourceID=12","")</f>
        <v/>
      </c>
      <c r="Q250" s="4" t="str">
        <f>HYPERLINK("http://141.218.60.56/~jnz1568/getInfo.php?workbook=04_01.xlsx&amp;sheet=A0&amp;row=250&amp;col=17&amp;number=4.6234&amp;sourceID=12","4.6234")</f>
        <v>4.6234</v>
      </c>
      <c r="R250" s="4" t="str">
        <f>HYPERLINK("http://141.218.60.56/~jnz1568/getInfo.php?workbook=04_01.xlsx&amp;sheet=A0&amp;row=250&amp;col=18&amp;number=&amp;sourceID=12","")</f>
        <v/>
      </c>
      <c r="S250" s="4" t="str">
        <f>HYPERLINK("http://141.218.60.56/~jnz1568/getInfo.php?workbook=04_01.xlsx&amp;sheet=A0&amp;row=250&amp;col=19&amp;number=&amp;sourceID=12","")</f>
        <v/>
      </c>
      <c r="T250" s="4" t="str">
        <f>HYPERLINK("http://141.218.60.56/~jnz1568/getInfo.php?workbook=04_01.xlsx&amp;sheet=A0&amp;row=250&amp;col=20&amp;number=&amp;sourceID=12","")</f>
        <v/>
      </c>
      <c r="U250" s="4" t="str">
        <f>HYPERLINK("http://141.218.60.56/~jnz1568/getInfo.php?workbook=04_01.xlsx&amp;sheet=A0&amp;row=250&amp;col=21&amp;number=&amp;sourceID=20","")</f>
        <v/>
      </c>
    </row>
    <row r="251" spans="1:21">
      <c r="A251" s="3">
        <v>4</v>
      </c>
      <c r="B251" s="3">
        <v>1</v>
      </c>
      <c r="C251" s="3">
        <v>24</v>
      </c>
      <c r="D251" s="3">
        <v>4</v>
      </c>
      <c r="E251" s="3">
        <f>((1/(INDEX(E0!J$4:J$28,C251,1)-INDEX(E0!J$4:J$28,D251,1))))*100000000</f>
        <v>0</v>
      </c>
      <c r="F251" s="4" t="str">
        <f>HYPERLINK("http://141.218.60.56/~jnz1568/getInfo.php?workbook=04_01.xlsx&amp;sheet=A0&amp;row=251&amp;col=6&amp;number=&amp;sourceID=18","")</f>
        <v/>
      </c>
      <c r="G251" s="4" t="str">
        <f>HYPERLINK("http://141.218.60.56/~jnz1568/getInfo.php?workbook=04_01.xlsx&amp;sheet=A0&amp;row=251&amp;col=7&amp;number==&amp;sourceID=11","=")</f>
        <v>=</v>
      </c>
      <c r="H251" s="4" t="str">
        <f>HYPERLINK("http://141.218.60.56/~jnz1568/getInfo.php?workbook=04_01.xlsx&amp;sheet=A0&amp;row=251&amp;col=8&amp;number=&amp;sourceID=11","")</f>
        <v/>
      </c>
      <c r="I251" s="4" t="str">
        <f>HYPERLINK("http://141.218.60.56/~jnz1568/getInfo.php?workbook=04_01.xlsx&amp;sheet=A0&amp;row=251&amp;col=9&amp;number=169220&amp;sourceID=11","169220")</f>
        <v>169220</v>
      </c>
      <c r="J251" s="4" t="str">
        <f>HYPERLINK("http://141.218.60.56/~jnz1568/getInfo.php?workbook=04_01.xlsx&amp;sheet=A0&amp;row=251&amp;col=10&amp;number=&amp;sourceID=11","")</f>
        <v/>
      </c>
      <c r="K251" s="4" t="str">
        <f>HYPERLINK("http://141.218.60.56/~jnz1568/getInfo.php?workbook=04_01.xlsx&amp;sheet=A0&amp;row=251&amp;col=11&amp;number=&amp;sourceID=11","")</f>
        <v/>
      </c>
      <c r="L251" s="4" t="str">
        <f>HYPERLINK("http://141.218.60.56/~jnz1568/getInfo.php?workbook=04_01.xlsx&amp;sheet=A0&amp;row=251&amp;col=12&amp;number=&amp;sourceID=11","")</f>
        <v/>
      </c>
      <c r="M251" s="4" t="str">
        <f>HYPERLINK("http://141.218.60.56/~jnz1568/getInfo.php?workbook=04_01.xlsx&amp;sheet=A0&amp;row=251&amp;col=13&amp;number=0.00029025&amp;sourceID=11","0.00029025")</f>
        <v>0.00029025</v>
      </c>
      <c r="N251" s="4" t="str">
        <f>HYPERLINK("http://141.218.60.56/~jnz1568/getInfo.php?workbook=04_01.xlsx&amp;sheet=A0&amp;row=251&amp;col=14&amp;number=169230&amp;sourceID=12","169230")</f>
        <v>169230</v>
      </c>
      <c r="O251" s="4" t="str">
        <f>HYPERLINK("http://141.218.60.56/~jnz1568/getInfo.php?workbook=04_01.xlsx&amp;sheet=A0&amp;row=251&amp;col=15&amp;number=&amp;sourceID=12","")</f>
        <v/>
      </c>
      <c r="P251" s="4" t="str">
        <f>HYPERLINK("http://141.218.60.56/~jnz1568/getInfo.php?workbook=04_01.xlsx&amp;sheet=A0&amp;row=251&amp;col=16&amp;number=169230&amp;sourceID=12","169230")</f>
        <v>169230</v>
      </c>
      <c r="Q251" s="4" t="str">
        <f>HYPERLINK("http://141.218.60.56/~jnz1568/getInfo.php?workbook=04_01.xlsx&amp;sheet=A0&amp;row=251&amp;col=17&amp;number=&amp;sourceID=12","")</f>
        <v/>
      </c>
      <c r="R251" s="4" t="str">
        <f>HYPERLINK("http://141.218.60.56/~jnz1568/getInfo.php?workbook=04_01.xlsx&amp;sheet=A0&amp;row=251&amp;col=18&amp;number=&amp;sourceID=12","")</f>
        <v/>
      </c>
      <c r="S251" s="4" t="str">
        <f>HYPERLINK("http://141.218.60.56/~jnz1568/getInfo.php?workbook=04_01.xlsx&amp;sheet=A0&amp;row=251&amp;col=19&amp;number=&amp;sourceID=12","")</f>
        <v/>
      </c>
      <c r="T251" s="4" t="str">
        <f>HYPERLINK("http://141.218.60.56/~jnz1568/getInfo.php?workbook=04_01.xlsx&amp;sheet=A0&amp;row=251&amp;col=20&amp;number=0.00029026&amp;sourceID=12","0.00029026")</f>
        <v>0.00029026</v>
      </c>
      <c r="U251" s="4" t="str">
        <f>HYPERLINK("http://141.218.60.56/~jnz1568/getInfo.php?workbook=04_01.xlsx&amp;sheet=A0&amp;row=251&amp;col=21&amp;number=&amp;sourceID=20","")</f>
        <v/>
      </c>
    </row>
    <row r="252" spans="1:21">
      <c r="A252" s="3">
        <v>4</v>
      </c>
      <c r="B252" s="3">
        <v>1</v>
      </c>
      <c r="C252" s="3">
        <v>24</v>
      </c>
      <c r="D252" s="3">
        <v>5</v>
      </c>
      <c r="E252" s="3">
        <f>((1/(INDEX(E0!J$4:J$28,C252,1)-INDEX(E0!J$4:J$28,D252,1))))*100000000</f>
        <v>0</v>
      </c>
      <c r="F252" s="4" t="str">
        <f>HYPERLINK("http://141.218.60.56/~jnz1568/getInfo.php?workbook=04_01.xlsx&amp;sheet=A0&amp;row=252&amp;col=6&amp;number=&amp;sourceID=18","")</f>
        <v/>
      </c>
      <c r="G252" s="4" t="str">
        <f>HYPERLINK("http://141.218.60.56/~jnz1568/getInfo.php?workbook=04_01.xlsx&amp;sheet=A0&amp;row=252&amp;col=7&amp;number==&amp;sourceID=11","=")</f>
        <v>=</v>
      </c>
      <c r="H252" s="4" t="str">
        <f>HYPERLINK("http://141.218.60.56/~jnz1568/getInfo.php?workbook=04_01.xlsx&amp;sheet=A0&amp;row=252&amp;col=8&amp;number=&amp;sourceID=11","")</f>
        <v/>
      </c>
      <c r="I252" s="4" t="str">
        <f>HYPERLINK("http://141.218.60.56/~jnz1568/getInfo.php?workbook=04_01.xlsx&amp;sheet=A0&amp;row=252&amp;col=9&amp;number=&amp;sourceID=11","")</f>
        <v/>
      </c>
      <c r="J252" s="4" t="str">
        <f>HYPERLINK("http://141.218.60.56/~jnz1568/getInfo.php?workbook=04_01.xlsx&amp;sheet=A0&amp;row=252&amp;col=10&amp;number=&amp;sourceID=11","")</f>
        <v/>
      </c>
      <c r="K252" s="4" t="str">
        <f>HYPERLINK("http://141.218.60.56/~jnz1568/getInfo.php?workbook=04_01.xlsx&amp;sheet=A0&amp;row=252&amp;col=11&amp;number=&amp;sourceID=11","")</f>
        <v/>
      </c>
      <c r="L252" s="4" t="str">
        <f>HYPERLINK("http://141.218.60.56/~jnz1568/getInfo.php?workbook=04_01.xlsx&amp;sheet=A0&amp;row=252&amp;col=12&amp;number=&amp;sourceID=11","")</f>
        <v/>
      </c>
      <c r="M252" s="4" t="str">
        <f>HYPERLINK("http://141.218.60.56/~jnz1568/getInfo.php?workbook=04_01.xlsx&amp;sheet=A0&amp;row=252&amp;col=13&amp;number=7.075e-09&amp;sourceID=11","7.075e-09")</f>
        <v>7.075e-09</v>
      </c>
      <c r="N252" s="4" t="str">
        <f>HYPERLINK("http://141.218.60.56/~jnz1568/getInfo.php?workbook=04_01.xlsx&amp;sheet=A0&amp;row=252&amp;col=14&amp;number=7.0755e-09&amp;sourceID=12","7.0755e-09")</f>
        <v>7.0755e-09</v>
      </c>
      <c r="O252" s="4" t="str">
        <f>HYPERLINK("http://141.218.60.56/~jnz1568/getInfo.php?workbook=04_01.xlsx&amp;sheet=A0&amp;row=252&amp;col=15&amp;number=&amp;sourceID=12","")</f>
        <v/>
      </c>
      <c r="P252" s="4" t="str">
        <f>HYPERLINK("http://141.218.60.56/~jnz1568/getInfo.php?workbook=04_01.xlsx&amp;sheet=A0&amp;row=252&amp;col=16&amp;number=&amp;sourceID=12","")</f>
        <v/>
      </c>
      <c r="Q252" s="4" t="str">
        <f>HYPERLINK("http://141.218.60.56/~jnz1568/getInfo.php?workbook=04_01.xlsx&amp;sheet=A0&amp;row=252&amp;col=17&amp;number=&amp;sourceID=12","")</f>
        <v/>
      </c>
      <c r="R252" s="4" t="str">
        <f>HYPERLINK("http://141.218.60.56/~jnz1568/getInfo.php?workbook=04_01.xlsx&amp;sheet=A0&amp;row=252&amp;col=18&amp;number=&amp;sourceID=12","")</f>
        <v/>
      </c>
      <c r="S252" s="4" t="str">
        <f>HYPERLINK("http://141.218.60.56/~jnz1568/getInfo.php?workbook=04_01.xlsx&amp;sheet=A0&amp;row=252&amp;col=19&amp;number=&amp;sourceID=12","")</f>
        <v/>
      </c>
      <c r="T252" s="4" t="str">
        <f>HYPERLINK("http://141.218.60.56/~jnz1568/getInfo.php?workbook=04_01.xlsx&amp;sheet=A0&amp;row=252&amp;col=20&amp;number=7.0755e-09&amp;sourceID=12","7.0755e-09")</f>
        <v>7.0755e-09</v>
      </c>
      <c r="U252" s="4" t="str">
        <f>HYPERLINK("http://141.218.60.56/~jnz1568/getInfo.php?workbook=04_01.xlsx&amp;sheet=A0&amp;row=252&amp;col=21&amp;number=&amp;sourceID=20","")</f>
        <v/>
      </c>
    </row>
    <row r="253" spans="1:21">
      <c r="A253" s="3">
        <v>4</v>
      </c>
      <c r="B253" s="3">
        <v>1</v>
      </c>
      <c r="C253" s="3">
        <v>24</v>
      </c>
      <c r="D253" s="3">
        <v>6</v>
      </c>
      <c r="E253" s="3">
        <f>((1/(INDEX(E0!J$4:J$28,C253,1)-INDEX(E0!J$4:J$28,D253,1))))*100000000</f>
        <v>0</v>
      </c>
      <c r="F253" s="4" t="str">
        <f>HYPERLINK("http://141.218.60.56/~jnz1568/getInfo.php?workbook=04_01.xlsx&amp;sheet=A0&amp;row=253&amp;col=6&amp;number=&amp;sourceID=18","")</f>
        <v/>
      </c>
      <c r="G253" s="4" t="str">
        <f>HYPERLINK("http://141.218.60.56/~jnz1568/getInfo.php?workbook=04_01.xlsx&amp;sheet=A0&amp;row=253&amp;col=7&amp;number==&amp;sourceID=11","=")</f>
        <v>=</v>
      </c>
      <c r="H253" s="4" t="str">
        <f>HYPERLINK("http://141.218.60.56/~jnz1568/getInfo.php?workbook=04_01.xlsx&amp;sheet=A0&amp;row=253&amp;col=8&amp;number=&amp;sourceID=11","")</f>
        <v/>
      </c>
      <c r="I253" s="4" t="str">
        <f>HYPERLINK("http://141.218.60.56/~jnz1568/getInfo.php?workbook=04_01.xlsx&amp;sheet=A0&amp;row=253&amp;col=9&amp;number=&amp;sourceID=11","")</f>
        <v/>
      </c>
      <c r="J253" s="4" t="str">
        <f>HYPERLINK("http://141.218.60.56/~jnz1568/getInfo.php?workbook=04_01.xlsx&amp;sheet=A0&amp;row=253&amp;col=10&amp;number=0.069705&amp;sourceID=11","0.069705")</f>
        <v>0.069705</v>
      </c>
      <c r="K253" s="4" t="str">
        <f>HYPERLINK("http://141.218.60.56/~jnz1568/getInfo.php?workbook=04_01.xlsx&amp;sheet=A0&amp;row=253&amp;col=11&amp;number=&amp;sourceID=11","")</f>
        <v/>
      </c>
      <c r="L253" s="4" t="str">
        <f>HYPERLINK("http://141.218.60.56/~jnz1568/getInfo.php?workbook=04_01.xlsx&amp;sheet=A0&amp;row=253&amp;col=12&amp;number=&amp;sourceID=11","")</f>
        <v/>
      </c>
      <c r="M253" s="4" t="str">
        <f>HYPERLINK("http://141.218.60.56/~jnz1568/getInfo.php?workbook=04_01.xlsx&amp;sheet=A0&amp;row=253&amp;col=13&amp;number=&amp;sourceID=11","")</f>
        <v/>
      </c>
      <c r="N253" s="4" t="str">
        <f>HYPERLINK("http://141.218.60.56/~jnz1568/getInfo.php?workbook=04_01.xlsx&amp;sheet=A0&amp;row=253&amp;col=14&amp;number=0.069709&amp;sourceID=12","0.069709")</f>
        <v>0.069709</v>
      </c>
      <c r="O253" s="4" t="str">
        <f>HYPERLINK("http://141.218.60.56/~jnz1568/getInfo.php?workbook=04_01.xlsx&amp;sheet=A0&amp;row=253&amp;col=15&amp;number=&amp;sourceID=12","")</f>
        <v/>
      </c>
      <c r="P253" s="4" t="str">
        <f>HYPERLINK("http://141.218.60.56/~jnz1568/getInfo.php?workbook=04_01.xlsx&amp;sheet=A0&amp;row=253&amp;col=16&amp;number=&amp;sourceID=12","")</f>
        <v/>
      </c>
      <c r="Q253" s="4" t="str">
        <f>HYPERLINK("http://141.218.60.56/~jnz1568/getInfo.php?workbook=04_01.xlsx&amp;sheet=A0&amp;row=253&amp;col=17&amp;number=0.069709&amp;sourceID=12","0.069709")</f>
        <v>0.069709</v>
      </c>
      <c r="R253" s="4" t="str">
        <f>HYPERLINK("http://141.218.60.56/~jnz1568/getInfo.php?workbook=04_01.xlsx&amp;sheet=A0&amp;row=253&amp;col=18&amp;number=&amp;sourceID=12","")</f>
        <v/>
      </c>
      <c r="S253" s="4" t="str">
        <f>HYPERLINK("http://141.218.60.56/~jnz1568/getInfo.php?workbook=04_01.xlsx&amp;sheet=A0&amp;row=253&amp;col=19&amp;number=&amp;sourceID=12","")</f>
        <v/>
      </c>
      <c r="T253" s="4" t="str">
        <f>HYPERLINK("http://141.218.60.56/~jnz1568/getInfo.php?workbook=04_01.xlsx&amp;sheet=A0&amp;row=253&amp;col=20&amp;number=&amp;sourceID=12","")</f>
        <v/>
      </c>
      <c r="U253" s="4" t="str">
        <f>HYPERLINK("http://141.218.60.56/~jnz1568/getInfo.php?workbook=04_01.xlsx&amp;sheet=A0&amp;row=253&amp;col=21&amp;number=&amp;sourceID=20","")</f>
        <v/>
      </c>
    </row>
    <row r="254" spans="1:21">
      <c r="A254" s="3">
        <v>4</v>
      </c>
      <c r="B254" s="3">
        <v>1</v>
      </c>
      <c r="C254" s="3">
        <v>24</v>
      </c>
      <c r="D254" s="3">
        <v>7</v>
      </c>
      <c r="E254" s="3">
        <f>((1/(INDEX(E0!J$4:J$28,C254,1)-INDEX(E0!J$4:J$28,D254,1))))*100000000</f>
        <v>0</v>
      </c>
      <c r="F254" s="4" t="str">
        <f>HYPERLINK("http://141.218.60.56/~jnz1568/getInfo.php?workbook=04_01.xlsx&amp;sheet=A0&amp;row=254&amp;col=6&amp;number=&amp;sourceID=18","")</f>
        <v/>
      </c>
      <c r="G254" s="4" t="str">
        <f>HYPERLINK("http://141.218.60.56/~jnz1568/getInfo.php?workbook=04_01.xlsx&amp;sheet=A0&amp;row=254&amp;col=7&amp;number==&amp;sourceID=11","=")</f>
        <v>=</v>
      </c>
      <c r="H254" s="4" t="str">
        <f>HYPERLINK("http://141.218.60.56/~jnz1568/getInfo.php?workbook=04_01.xlsx&amp;sheet=A0&amp;row=254&amp;col=8&amp;number=&amp;sourceID=11","")</f>
        <v/>
      </c>
      <c r="I254" s="4" t="str">
        <f>HYPERLINK("http://141.218.60.56/~jnz1568/getInfo.php?workbook=04_01.xlsx&amp;sheet=A0&amp;row=254&amp;col=9&amp;number=&amp;sourceID=11","")</f>
        <v/>
      </c>
      <c r="J254" s="4" t="str">
        <f>HYPERLINK("http://141.218.60.56/~jnz1568/getInfo.php?workbook=04_01.xlsx&amp;sheet=A0&amp;row=254&amp;col=10&amp;number=0.00076153&amp;sourceID=11","0.00076153")</f>
        <v>0.00076153</v>
      </c>
      <c r="K254" s="4" t="str">
        <f>HYPERLINK("http://141.218.60.56/~jnz1568/getInfo.php?workbook=04_01.xlsx&amp;sheet=A0&amp;row=254&amp;col=11&amp;number=&amp;sourceID=11","")</f>
        <v/>
      </c>
      <c r="L254" s="4" t="str">
        <f>HYPERLINK("http://141.218.60.56/~jnz1568/getInfo.php?workbook=04_01.xlsx&amp;sheet=A0&amp;row=254&amp;col=12&amp;number=0.056964&amp;sourceID=11","0.056964")</f>
        <v>0.056964</v>
      </c>
      <c r="M254" s="4" t="str">
        <f>HYPERLINK("http://141.218.60.56/~jnz1568/getInfo.php?workbook=04_01.xlsx&amp;sheet=A0&amp;row=254&amp;col=13&amp;number=&amp;sourceID=11","")</f>
        <v/>
      </c>
      <c r="N254" s="4" t="str">
        <f>HYPERLINK("http://141.218.60.56/~jnz1568/getInfo.php?workbook=04_01.xlsx&amp;sheet=A0&amp;row=254&amp;col=14&amp;number=0.05773&amp;sourceID=12","0.05773")</f>
        <v>0.05773</v>
      </c>
      <c r="O254" s="4" t="str">
        <f>HYPERLINK("http://141.218.60.56/~jnz1568/getInfo.php?workbook=04_01.xlsx&amp;sheet=A0&amp;row=254&amp;col=15&amp;number=&amp;sourceID=12","")</f>
        <v/>
      </c>
      <c r="P254" s="4" t="str">
        <f>HYPERLINK("http://141.218.60.56/~jnz1568/getInfo.php?workbook=04_01.xlsx&amp;sheet=A0&amp;row=254&amp;col=16&amp;number=&amp;sourceID=12","")</f>
        <v/>
      </c>
      <c r="Q254" s="4" t="str">
        <f>HYPERLINK("http://141.218.60.56/~jnz1568/getInfo.php?workbook=04_01.xlsx&amp;sheet=A0&amp;row=254&amp;col=17&amp;number=0.00076157&amp;sourceID=12","0.00076157")</f>
        <v>0.00076157</v>
      </c>
      <c r="R254" s="4" t="str">
        <f>HYPERLINK("http://141.218.60.56/~jnz1568/getInfo.php?workbook=04_01.xlsx&amp;sheet=A0&amp;row=254&amp;col=18&amp;number=&amp;sourceID=12","")</f>
        <v/>
      </c>
      <c r="S254" s="4" t="str">
        <f>HYPERLINK("http://141.218.60.56/~jnz1568/getInfo.php?workbook=04_01.xlsx&amp;sheet=A0&amp;row=254&amp;col=19&amp;number=0.056968&amp;sourceID=12","0.056968")</f>
        <v>0.056968</v>
      </c>
      <c r="T254" s="4" t="str">
        <f>HYPERLINK("http://141.218.60.56/~jnz1568/getInfo.php?workbook=04_01.xlsx&amp;sheet=A0&amp;row=254&amp;col=20&amp;number=&amp;sourceID=12","")</f>
        <v/>
      </c>
      <c r="U254" s="4" t="str">
        <f>HYPERLINK("http://141.218.60.56/~jnz1568/getInfo.php?workbook=04_01.xlsx&amp;sheet=A0&amp;row=254&amp;col=21&amp;number=&amp;sourceID=20","")</f>
        <v/>
      </c>
    </row>
    <row r="255" spans="1:21">
      <c r="A255" s="3">
        <v>4</v>
      </c>
      <c r="B255" s="3">
        <v>1</v>
      </c>
      <c r="C255" s="3">
        <v>24</v>
      </c>
      <c r="D255" s="3">
        <v>8</v>
      </c>
      <c r="E255" s="3">
        <f>((1/(INDEX(E0!J$4:J$28,C255,1)-INDEX(E0!J$4:J$28,D255,1))))*100000000</f>
        <v>0</v>
      </c>
      <c r="F255" s="4" t="str">
        <f>HYPERLINK("http://141.218.60.56/~jnz1568/getInfo.php?workbook=04_01.xlsx&amp;sheet=A0&amp;row=255&amp;col=6&amp;number=&amp;sourceID=18","")</f>
        <v/>
      </c>
      <c r="G255" s="4" t="str">
        <f>HYPERLINK("http://141.218.60.56/~jnz1568/getInfo.php?workbook=04_01.xlsx&amp;sheet=A0&amp;row=255&amp;col=7&amp;number==&amp;sourceID=11","=")</f>
        <v>=</v>
      </c>
      <c r="H255" s="4" t="str">
        <f>HYPERLINK("http://141.218.60.56/~jnz1568/getInfo.php?workbook=04_01.xlsx&amp;sheet=A0&amp;row=255&amp;col=8&amp;number=&amp;sourceID=11","")</f>
        <v/>
      </c>
      <c r="I255" s="4" t="str">
        <f>HYPERLINK("http://141.218.60.56/~jnz1568/getInfo.php?workbook=04_01.xlsx&amp;sheet=A0&amp;row=255&amp;col=9&amp;number=106.28&amp;sourceID=11","106.28")</f>
        <v>106.28</v>
      </c>
      <c r="J255" s="4" t="str">
        <f>HYPERLINK("http://141.218.60.56/~jnz1568/getInfo.php?workbook=04_01.xlsx&amp;sheet=A0&amp;row=255&amp;col=10&amp;number=&amp;sourceID=11","")</f>
        <v/>
      </c>
      <c r="K255" s="4" t="str">
        <f>HYPERLINK("http://141.218.60.56/~jnz1568/getInfo.php?workbook=04_01.xlsx&amp;sheet=A0&amp;row=255&amp;col=11&amp;number=&amp;sourceID=11","")</f>
        <v/>
      </c>
      <c r="L255" s="4" t="str">
        <f>HYPERLINK("http://141.218.60.56/~jnz1568/getInfo.php?workbook=04_01.xlsx&amp;sheet=A0&amp;row=255&amp;col=12&amp;number=&amp;sourceID=11","")</f>
        <v/>
      </c>
      <c r="M255" s="4" t="str">
        <f>HYPERLINK("http://141.218.60.56/~jnz1568/getInfo.php?workbook=04_01.xlsx&amp;sheet=A0&amp;row=255&amp;col=13&amp;number=2.0897e-08&amp;sourceID=11","2.0897e-08")</f>
        <v>2.0897e-08</v>
      </c>
      <c r="N255" s="4" t="str">
        <f>HYPERLINK("http://141.218.60.56/~jnz1568/getInfo.php?workbook=04_01.xlsx&amp;sheet=A0&amp;row=255&amp;col=14&amp;number=106.29&amp;sourceID=12","106.29")</f>
        <v>106.29</v>
      </c>
      <c r="O255" s="4" t="str">
        <f>HYPERLINK("http://141.218.60.56/~jnz1568/getInfo.php?workbook=04_01.xlsx&amp;sheet=A0&amp;row=255&amp;col=15&amp;number=&amp;sourceID=12","")</f>
        <v/>
      </c>
      <c r="P255" s="4" t="str">
        <f>HYPERLINK("http://141.218.60.56/~jnz1568/getInfo.php?workbook=04_01.xlsx&amp;sheet=A0&amp;row=255&amp;col=16&amp;number=106.29&amp;sourceID=12","106.29")</f>
        <v>106.29</v>
      </c>
      <c r="Q255" s="4" t="str">
        <f>HYPERLINK("http://141.218.60.56/~jnz1568/getInfo.php?workbook=04_01.xlsx&amp;sheet=A0&amp;row=255&amp;col=17&amp;number=&amp;sourceID=12","")</f>
        <v/>
      </c>
      <c r="R255" s="4" t="str">
        <f>HYPERLINK("http://141.218.60.56/~jnz1568/getInfo.php?workbook=04_01.xlsx&amp;sheet=A0&amp;row=255&amp;col=18&amp;number=&amp;sourceID=12","")</f>
        <v/>
      </c>
      <c r="S255" s="4" t="str">
        <f>HYPERLINK("http://141.218.60.56/~jnz1568/getInfo.php?workbook=04_01.xlsx&amp;sheet=A0&amp;row=255&amp;col=19&amp;number=&amp;sourceID=12","")</f>
        <v/>
      </c>
      <c r="T255" s="4" t="str">
        <f>HYPERLINK("http://141.218.60.56/~jnz1568/getInfo.php?workbook=04_01.xlsx&amp;sheet=A0&amp;row=255&amp;col=20&amp;number=2.0898e-08&amp;sourceID=12","2.0898e-08")</f>
        <v>2.0898e-08</v>
      </c>
      <c r="U255" s="4" t="str">
        <f>HYPERLINK("http://141.218.60.56/~jnz1568/getInfo.php?workbook=04_01.xlsx&amp;sheet=A0&amp;row=255&amp;col=21&amp;number=&amp;sourceID=20","")</f>
        <v/>
      </c>
    </row>
    <row r="256" spans="1:21">
      <c r="A256" s="3">
        <v>4</v>
      </c>
      <c r="B256" s="3">
        <v>1</v>
      </c>
      <c r="C256" s="3">
        <v>24</v>
      </c>
      <c r="D256" s="3">
        <v>9</v>
      </c>
      <c r="E256" s="3">
        <f>((1/(INDEX(E0!J$4:J$28,C256,1)-INDEX(E0!J$4:J$28,D256,1))))*100000000</f>
        <v>0</v>
      </c>
      <c r="F256" s="4" t="str">
        <f>HYPERLINK("http://141.218.60.56/~jnz1568/getInfo.php?workbook=04_01.xlsx&amp;sheet=A0&amp;row=256&amp;col=6&amp;number=&amp;sourceID=18","")</f>
        <v/>
      </c>
      <c r="G256" s="4" t="str">
        <f>HYPERLINK("http://141.218.60.56/~jnz1568/getInfo.php?workbook=04_01.xlsx&amp;sheet=A0&amp;row=256&amp;col=7&amp;number==&amp;sourceID=11","=")</f>
        <v>=</v>
      </c>
      <c r="H256" s="4" t="str">
        <f>HYPERLINK("http://141.218.60.56/~jnz1568/getInfo.php?workbook=04_01.xlsx&amp;sheet=A0&amp;row=256&amp;col=8&amp;number=1163400000&amp;sourceID=11","1163400000")</f>
        <v>1163400000</v>
      </c>
      <c r="I256" s="4" t="str">
        <f>HYPERLINK("http://141.218.60.56/~jnz1568/getInfo.php?workbook=04_01.xlsx&amp;sheet=A0&amp;row=256&amp;col=9&amp;number=&amp;sourceID=11","")</f>
        <v/>
      </c>
      <c r="J256" s="4" t="str">
        <f>HYPERLINK("http://141.218.60.56/~jnz1568/getInfo.php?workbook=04_01.xlsx&amp;sheet=A0&amp;row=256&amp;col=10&amp;number=0.0022873&amp;sourceID=11","0.0022873")</f>
        <v>0.0022873</v>
      </c>
      <c r="K256" s="4" t="str">
        <f>HYPERLINK("http://141.218.60.56/~jnz1568/getInfo.php?workbook=04_01.xlsx&amp;sheet=A0&amp;row=256&amp;col=11&amp;number=&amp;sourceID=11","")</f>
        <v/>
      </c>
      <c r="L256" s="4" t="str">
        <f>HYPERLINK("http://141.218.60.56/~jnz1568/getInfo.php?workbook=04_01.xlsx&amp;sheet=A0&amp;row=256&amp;col=12&amp;number=0.39235&amp;sourceID=11","0.39235")</f>
        <v>0.39235</v>
      </c>
      <c r="M256" s="4" t="str">
        <f>HYPERLINK("http://141.218.60.56/~jnz1568/getInfo.php?workbook=04_01.xlsx&amp;sheet=A0&amp;row=256&amp;col=13&amp;number=&amp;sourceID=11","")</f>
        <v/>
      </c>
      <c r="N256" s="4" t="str">
        <f>HYPERLINK("http://141.218.60.56/~jnz1568/getInfo.php?workbook=04_01.xlsx&amp;sheet=A0&amp;row=256&amp;col=14&amp;number=1163400000&amp;sourceID=12","1163400000")</f>
        <v>1163400000</v>
      </c>
      <c r="O256" s="4" t="str">
        <f>HYPERLINK("http://141.218.60.56/~jnz1568/getInfo.php?workbook=04_01.xlsx&amp;sheet=A0&amp;row=256&amp;col=15&amp;number=1163400000&amp;sourceID=12","1163400000")</f>
        <v>1163400000</v>
      </c>
      <c r="P256" s="4" t="str">
        <f>HYPERLINK("http://141.218.60.56/~jnz1568/getInfo.php?workbook=04_01.xlsx&amp;sheet=A0&amp;row=256&amp;col=16&amp;number=&amp;sourceID=12","")</f>
        <v/>
      </c>
      <c r="Q256" s="4" t="str">
        <f>HYPERLINK("http://141.218.60.56/~jnz1568/getInfo.php?workbook=04_01.xlsx&amp;sheet=A0&amp;row=256&amp;col=17&amp;number=0.0022874&amp;sourceID=12","0.0022874")</f>
        <v>0.0022874</v>
      </c>
      <c r="R256" s="4" t="str">
        <f>HYPERLINK("http://141.218.60.56/~jnz1568/getInfo.php?workbook=04_01.xlsx&amp;sheet=A0&amp;row=256&amp;col=18&amp;number=&amp;sourceID=12","")</f>
        <v/>
      </c>
      <c r="S256" s="4" t="str">
        <f>HYPERLINK("http://141.218.60.56/~jnz1568/getInfo.php?workbook=04_01.xlsx&amp;sheet=A0&amp;row=256&amp;col=19&amp;number=0.39238&amp;sourceID=12","0.39238")</f>
        <v>0.39238</v>
      </c>
      <c r="T256" s="4" t="str">
        <f>HYPERLINK("http://141.218.60.56/~jnz1568/getInfo.php?workbook=04_01.xlsx&amp;sheet=A0&amp;row=256&amp;col=20&amp;number=&amp;sourceID=12","")</f>
        <v/>
      </c>
      <c r="U256" s="4" t="str">
        <f>HYPERLINK("http://141.218.60.56/~jnz1568/getInfo.php?workbook=04_01.xlsx&amp;sheet=A0&amp;row=256&amp;col=21&amp;number=&amp;sourceID=20","")</f>
        <v/>
      </c>
    </row>
    <row r="257" spans="1:21">
      <c r="A257" s="3">
        <v>4</v>
      </c>
      <c r="B257" s="3">
        <v>1</v>
      </c>
      <c r="C257" s="3">
        <v>24</v>
      </c>
      <c r="D257" s="3">
        <v>10</v>
      </c>
      <c r="E257" s="3">
        <f>((1/(INDEX(E0!J$4:J$28,C257,1)-INDEX(E0!J$4:J$28,D257,1))))*100000000</f>
        <v>0</v>
      </c>
      <c r="F257" s="4" t="str">
        <f>HYPERLINK("http://141.218.60.56/~jnz1568/getInfo.php?workbook=04_01.xlsx&amp;sheet=A0&amp;row=257&amp;col=6&amp;number=&amp;sourceID=18","")</f>
        <v/>
      </c>
      <c r="G257" s="4" t="str">
        <f>HYPERLINK("http://141.218.60.56/~jnz1568/getInfo.php?workbook=04_01.xlsx&amp;sheet=A0&amp;row=257&amp;col=7&amp;number==&amp;sourceID=11","=")</f>
        <v>=</v>
      </c>
      <c r="H257" s="4" t="str">
        <f>HYPERLINK("http://141.218.60.56/~jnz1568/getInfo.php?workbook=04_01.xlsx&amp;sheet=A0&amp;row=257&amp;col=8&amp;number=&amp;sourceID=11","")</f>
        <v/>
      </c>
      <c r="I257" s="4" t="str">
        <f>HYPERLINK("http://141.218.60.56/~jnz1568/getInfo.php?workbook=04_01.xlsx&amp;sheet=A0&amp;row=257&amp;col=9&amp;number=&amp;sourceID=11","")</f>
        <v/>
      </c>
      <c r="J257" s="4" t="str">
        <f>HYPERLINK("http://141.218.60.56/~jnz1568/getInfo.php?workbook=04_01.xlsx&amp;sheet=A0&amp;row=257&amp;col=10&amp;number=&amp;sourceID=11","")</f>
        <v/>
      </c>
      <c r="K257" s="4" t="str">
        <f>HYPERLINK("http://141.218.60.56/~jnz1568/getInfo.php?workbook=04_01.xlsx&amp;sheet=A0&amp;row=257&amp;col=11&amp;number=&amp;sourceID=11","")</f>
        <v/>
      </c>
      <c r="L257" s="4" t="str">
        <f>HYPERLINK("http://141.218.60.56/~jnz1568/getInfo.php?workbook=04_01.xlsx&amp;sheet=A0&amp;row=257&amp;col=12&amp;number=&amp;sourceID=11","")</f>
        <v/>
      </c>
      <c r="M257" s="4" t="str">
        <f>HYPERLINK("http://141.218.60.56/~jnz1568/getInfo.php?workbook=04_01.xlsx&amp;sheet=A0&amp;row=257&amp;col=13&amp;number=2.5243e-08&amp;sourceID=11","2.5243e-08")</f>
        <v>2.5243e-08</v>
      </c>
      <c r="N257" s="4" t="str">
        <f>HYPERLINK("http://141.218.60.56/~jnz1568/getInfo.php?workbook=04_01.xlsx&amp;sheet=A0&amp;row=257&amp;col=14&amp;number=2.5245e-08&amp;sourceID=12","2.5245e-08")</f>
        <v>2.5245e-08</v>
      </c>
      <c r="O257" s="4" t="str">
        <f>HYPERLINK("http://141.218.60.56/~jnz1568/getInfo.php?workbook=04_01.xlsx&amp;sheet=A0&amp;row=257&amp;col=15&amp;number=&amp;sourceID=12","")</f>
        <v/>
      </c>
      <c r="P257" s="4" t="str">
        <f>HYPERLINK("http://141.218.60.56/~jnz1568/getInfo.php?workbook=04_01.xlsx&amp;sheet=A0&amp;row=257&amp;col=16&amp;number=&amp;sourceID=12","")</f>
        <v/>
      </c>
      <c r="Q257" s="4" t="str">
        <f>HYPERLINK("http://141.218.60.56/~jnz1568/getInfo.php?workbook=04_01.xlsx&amp;sheet=A0&amp;row=257&amp;col=17&amp;number=&amp;sourceID=12","")</f>
        <v/>
      </c>
      <c r="R257" s="4" t="str">
        <f>HYPERLINK("http://141.218.60.56/~jnz1568/getInfo.php?workbook=04_01.xlsx&amp;sheet=A0&amp;row=257&amp;col=18&amp;number=&amp;sourceID=12","")</f>
        <v/>
      </c>
      <c r="S257" s="4" t="str">
        <f>HYPERLINK("http://141.218.60.56/~jnz1568/getInfo.php?workbook=04_01.xlsx&amp;sheet=A0&amp;row=257&amp;col=19&amp;number=&amp;sourceID=12","")</f>
        <v/>
      </c>
      <c r="T257" s="4" t="str">
        <f>HYPERLINK("http://141.218.60.56/~jnz1568/getInfo.php?workbook=04_01.xlsx&amp;sheet=A0&amp;row=257&amp;col=20&amp;number=2.5245e-08&amp;sourceID=12","2.5245e-08")</f>
        <v>2.5245e-08</v>
      </c>
      <c r="U257" s="4" t="str">
        <f>HYPERLINK("http://141.218.60.56/~jnz1568/getInfo.php?workbook=04_01.xlsx&amp;sheet=A0&amp;row=257&amp;col=21&amp;number=&amp;sourceID=20","")</f>
        <v/>
      </c>
    </row>
    <row r="258" spans="1:21">
      <c r="A258" s="3">
        <v>4</v>
      </c>
      <c r="B258" s="3">
        <v>1</v>
      </c>
      <c r="C258" s="3">
        <v>24</v>
      </c>
      <c r="D258" s="3">
        <v>11</v>
      </c>
      <c r="E258" s="3">
        <f>((1/(INDEX(E0!J$4:J$28,C258,1)-INDEX(E0!J$4:J$28,D258,1))))*100000000</f>
        <v>0</v>
      </c>
      <c r="F258" s="4" t="str">
        <f>HYPERLINK("http://141.218.60.56/~jnz1568/getInfo.php?workbook=04_01.xlsx&amp;sheet=A0&amp;row=258&amp;col=6&amp;number=&amp;sourceID=18","")</f>
        <v/>
      </c>
      <c r="G258" s="4" t="str">
        <f>HYPERLINK("http://141.218.60.56/~jnz1568/getInfo.php?workbook=04_01.xlsx&amp;sheet=A0&amp;row=258&amp;col=7&amp;number==&amp;sourceID=11","=")</f>
        <v>=</v>
      </c>
      <c r="H258" s="4" t="str">
        <f>HYPERLINK("http://141.218.60.56/~jnz1568/getInfo.php?workbook=04_01.xlsx&amp;sheet=A0&amp;row=258&amp;col=8&amp;number=&amp;sourceID=11","")</f>
        <v/>
      </c>
      <c r="I258" s="4" t="str">
        <f>HYPERLINK("http://141.218.60.56/~jnz1568/getInfo.php?workbook=04_01.xlsx&amp;sheet=A0&amp;row=258&amp;col=9&amp;number=&amp;sourceID=11","")</f>
        <v/>
      </c>
      <c r="J258" s="4" t="str">
        <f>HYPERLINK("http://141.218.60.56/~jnz1568/getInfo.php?workbook=04_01.xlsx&amp;sheet=A0&amp;row=258&amp;col=10&amp;number=0.0081583&amp;sourceID=11","0.0081583")</f>
        <v>0.0081583</v>
      </c>
      <c r="K258" s="4" t="str">
        <f>HYPERLINK("http://141.218.60.56/~jnz1568/getInfo.php?workbook=04_01.xlsx&amp;sheet=A0&amp;row=258&amp;col=11&amp;number=&amp;sourceID=11","")</f>
        <v/>
      </c>
      <c r="L258" s="4" t="str">
        <f>HYPERLINK("http://141.218.60.56/~jnz1568/getInfo.php?workbook=04_01.xlsx&amp;sheet=A0&amp;row=258&amp;col=12&amp;number=&amp;sourceID=11","")</f>
        <v/>
      </c>
      <c r="M258" s="4" t="str">
        <f>HYPERLINK("http://141.218.60.56/~jnz1568/getInfo.php?workbook=04_01.xlsx&amp;sheet=A0&amp;row=258&amp;col=13&amp;number=&amp;sourceID=11","")</f>
        <v/>
      </c>
      <c r="N258" s="4" t="str">
        <f>HYPERLINK("http://141.218.60.56/~jnz1568/getInfo.php?workbook=04_01.xlsx&amp;sheet=A0&amp;row=258&amp;col=14&amp;number=0.0081588&amp;sourceID=12","0.0081588")</f>
        <v>0.0081588</v>
      </c>
      <c r="O258" s="4" t="str">
        <f>HYPERLINK("http://141.218.60.56/~jnz1568/getInfo.php?workbook=04_01.xlsx&amp;sheet=A0&amp;row=258&amp;col=15&amp;number=&amp;sourceID=12","")</f>
        <v/>
      </c>
      <c r="P258" s="4" t="str">
        <f>HYPERLINK("http://141.218.60.56/~jnz1568/getInfo.php?workbook=04_01.xlsx&amp;sheet=A0&amp;row=258&amp;col=16&amp;number=&amp;sourceID=12","")</f>
        <v/>
      </c>
      <c r="Q258" s="4" t="str">
        <f>HYPERLINK("http://141.218.60.56/~jnz1568/getInfo.php?workbook=04_01.xlsx&amp;sheet=A0&amp;row=258&amp;col=17&amp;number=0.0081588&amp;sourceID=12","0.0081588")</f>
        <v>0.0081588</v>
      </c>
      <c r="R258" s="4" t="str">
        <f>HYPERLINK("http://141.218.60.56/~jnz1568/getInfo.php?workbook=04_01.xlsx&amp;sheet=A0&amp;row=258&amp;col=18&amp;number=&amp;sourceID=12","")</f>
        <v/>
      </c>
      <c r="S258" s="4" t="str">
        <f>HYPERLINK("http://141.218.60.56/~jnz1568/getInfo.php?workbook=04_01.xlsx&amp;sheet=A0&amp;row=258&amp;col=19&amp;number=&amp;sourceID=12","")</f>
        <v/>
      </c>
      <c r="T258" s="4" t="str">
        <f>HYPERLINK("http://141.218.60.56/~jnz1568/getInfo.php?workbook=04_01.xlsx&amp;sheet=A0&amp;row=258&amp;col=20&amp;number=&amp;sourceID=12","")</f>
        <v/>
      </c>
      <c r="U258" s="4" t="str">
        <f>HYPERLINK("http://141.218.60.56/~jnz1568/getInfo.php?workbook=04_01.xlsx&amp;sheet=A0&amp;row=258&amp;col=21&amp;number=&amp;sourceID=20","")</f>
        <v/>
      </c>
    </row>
    <row r="259" spans="1:21">
      <c r="A259" s="3">
        <v>4</v>
      </c>
      <c r="B259" s="3">
        <v>1</v>
      </c>
      <c r="C259" s="3">
        <v>24</v>
      </c>
      <c r="D259" s="3">
        <v>12</v>
      </c>
      <c r="E259" s="3">
        <f>((1/(INDEX(E0!J$4:J$28,C259,1)-INDEX(E0!J$4:J$28,D259,1))))*100000000</f>
        <v>0</v>
      </c>
      <c r="F259" s="4" t="str">
        <f>HYPERLINK("http://141.218.60.56/~jnz1568/getInfo.php?workbook=04_01.xlsx&amp;sheet=A0&amp;row=259&amp;col=6&amp;number=&amp;sourceID=18","")</f>
        <v/>
      </c>
      <c r="G259" s="4" t="str">
        <f>HYPERLINK("http://141.218.60.56/~jnz1568/getInfo.php?workbook=04_01.xlsx&amp;sheet=A0&amp;row=259&amp;col=7&amp;number==&amp;sourceID=11","=")</f>
        <v>=</v>
      </c>
      <c r="H259" s="4" t="str">
        <f>HYPERLINK("http://141.218.60.56/~jnz1568/getInfo.php?workbook=04_01.xlsx&amp;sheet=A0&amp;row=259&amp;col=8&amp;number=&amp;sourceID=11","")</f>
        <v/>
      </c>
      <c r="I259" s="4" t="str">
        <f>HYPERLINK("http://141.218.60.56/~jnz1568/getInfo.php?workbook=04_01.xlsx&amp;sheet=A0&amp;row=259&amp;col=9&amp;number=&amp;sourceID=11","")</f>
        <v/>
      </c>
      <c r="J259" s="4" t="str">
        <f>HYPERLINK("http://141.218.60.56/~jnz1568/getInfo.php?workbook=04_01.xlsx&amp;sheet=A0&amp;row=259&amp;col=10&amp;number=0.0013059&amp;sourceID=11","0.0013059")</f>
        <v>0.0013059</v>
      </c>
      <c r="K259" s="4" t="str">
        <f>HYPERLINK("http://141.218.60.56/~jnz1568/getInfo.php?workbook=04_01.xlsx&amp;sheet=A0&amp;row=259&amp;col=11&amp;number=&amp;sourceID=11","")</f>
        <v/>
      </c>
      <c r="L259" s="4" t="str">
        <f>HYPERLINK("http://141.218.60.56/~jnz1568/getInfo.php?workbook=04_01.xlsx&amp;sheet=A0&amp;row=259&amp;col=12&amp;number=0.0032445&amp;sourceID=11","0.0032445")</f>
        <v>0.0032445</v>
      </c>
      <c r="M259" s="4" t="str">
        <f>HYPERLINK("http://141.218.60.56/~jnz1568/getInfo.php?workbook=04_01.xlsx&amp;sheet=A0&amp;row=259&amp;col=13&amp;number=&amp;sourceID=11","")</f>
        <v/>
      </c>
      <c r="N259" s="4" t="str">
        <f>HYPERLINK("http://141.218.60.56/~jnz1568/getInfo.php?workbook=04_01.xlsx&amp;sheet=A0&amp;row=259&amp;col=14&amp;number=0.0045507&amp;sourceID=12","0.0045507")</f>
        <v>0.0045507</v>
      </c>
      <c r="O259" s="4" t="str">
        <f>HYPERLINK("http://141.218.60.56/~jnz1568/getInfo.php?workbook=04_01.xlsx&amp;sheet=A0&amp;row=259&amp;col=15&amp;number=&amp;sourceID=12","")</f>
        <v/>
      </c>
      <c r="P259" s="4" t="str">
        <f>HYPERLINK("http://141.218.60.56/~jnz1568/getInfo.php?workbook=04_01.xlsx&amp;sheet=A0&amp;row=259&amp;col=16&amp;number=&amp;sourceID=12","")</f>
        <v/>
      </c>
      <c r="Q259" s="4" t="str">
        <f>HYPERLINK("http://141.218.60.56/~jnz1568/getInfo.php?workbook=04_01.xlsx&amp;sheet=A0&amp;row=259&amp;col=17&amp;number=0.001306&amp;sourceID=12","0.001306")</f>
        <v>0.001306</v>
      </c>
      <c r="R259" s="4" t="str">
        <f>HYPERLINK("http://141.218.60.56/~jnz1568/getInfo.php?workbook=04_01.xlsx&amp;sheet=A0&amp;row=259&amp;col=18&amp;number=&amp;sourceID=12","")</f>
        <v/>
      </c>
      <c r="S259" s="4" t="str">
        <f>HYPERLINK("http://141.218.60.56/~jnz1568/getInfo.php?workbook=04_01.xlsx&amp;sheet=A0&amp;row=259&amp;col=19&amp;number=0.0032447&amp;sourceID=12","0.0032447")</f>
        <v>0.0032447</v>
      </c>
      <c r="T259" s="4" t="str">
        <f>HYPERLINK("http://141.218.60.56/~jnz1568/getInfo.php?workbook=04_01.xlsx&amp;sheet=A0&amp;row=259&amp;col=20&amp;number=&amp;sourceID=12","")</f>
        <v/>
      </c>
      <c r="U259" s="4" t="str">
        <f>HYPERLINK("http://141.218.60.56/~jnz1568/getInfo.php?workbook=04_01.xlsx&amp;sheet=A0&amp;row=259&amp;col=21&amp;number=&amp;sourceID=20","")</f>
        <v/>
      </c>
    </row>
    <row r="260" spans="1:21">
      <c r="A260" s="3">
        <v>4</v>
      </c>
      <c r="B260" s="3">
        <v>1</v>
      </c>
      <c r="C260" s="3">
        <v>24</v>
      </c>
      <c r="D260" s="3">
        <v>13</v>
      </c>
      <c r="E260" s="3">
        <f>((1/(INDEX(E0!J$4:J$28,C260,1)-INDEX(E0!J$4:J$28,D260,1))))*100000000</f>
        <v>0</v>
      </c>
      <c r="F260" s="4" t="str">
        <f>HYPERLINK("http://141.218.60.56/~jnz1568/getInfo.php?workbook=04_01.xlsx&amp;sheet=A0&amp;row=260&amp;col=6&amp;number=&amp;sourceID=18","")</f>
        <v/>
      </c>
      <c r="G260" s="4" t="str">
        <f>HYPERLINK("http://141.218.60.56/~jnz1568/getInfo.php?workbook=04_01.xlsx&amp;sheet=A0&amp;row=260&amp;col=7&amp;number==&amp;sourceID=11","=")</f>
        <v>=</v>
      </c>
      <c r="H260" s="4" t="str">
        <f>HYPERLINK("http://141.218.60.56/~jnz1568/getInfo.php?workbook=04_01.xlsx&amp;sheet=A0&amp;row=260&amp;col=8&amp;number=&amp;sourceID=11","")</f>
        <v/>
      </c>
      <c r="I260" s="4" t="str">
        <f>HYPERLINK("http://141.218.60.56/~jnz1568/getInfo.php?workbook=04_01.xlsx&amp;sheet=A0&amp;row=260&amp;col=9&amp;number=3840&amp;sourceID=11","3840")</f>
        <v>3840</v>
      </c>
      <c r="J260" s="4" t="str">
        <f>HYPERLINK("http://141.218.60.56/~jnz1568/getInfo.php?workbook=04_01.xlsx&amp;sheet=A0&amp;row=260&amp;col=10&amp;number=&amp;sourceID=11","")</f>
        <v/>
      </c>
      <c r="K260" s="4" t="str">
        <f>HYPERLINK("http://141.218.60.56/~jnz1568/getInfo.php?workbook=04_01.xlsx&amp;sheet=A0&amp;row=260&amp;col=11&amp;number=&amp;sourceID=11","")</f>
        <v/>
      </c>
      <c r="L260" s="4" t="str">
        <f>HYPERLINK("http://141.218.60.56/~jnz1568/getInfo.php?workbook=04_01.xlsx&amp;sheet=A0&amp;row=260&amp;col=12&amp;number=&amp;sourceID=11","")</f>
        <v/>
      </c>
      <c r="M260" s="4" t="str">
        <f>HYPERLINK("http://141.218.60.56/~jnz1568/getInfo.php?workbook=04_01.xlsx&amp;sheet=A0&amp;row=260&amp;col=13&amp;number=7.5624e-08&amp;sourceID=11","7.5624e-08")</f>
        <v>7.5624e-08</v>
      </c>
      <c r="N260" s="4" t="str">
        <f>HYPERLINK("http://141.218.60.56/~jnz1568/getInfo.php?workbook=04_01.xlsx&amp;sheet=A0&amp;row=260&amp;col=14&amp;number=3840.2&amp;sourceID=12","3840.2")</f>
        <v>3840.2</v>
      </c>
      <c r="O260" s="4" t="str">
        <f>HYPERLINK("http://141.218.60.56/~jnz1568/getInfo.php?workbook=04_01.xlsx&amp;sheet=A0&amp;row=260&amp;col=15&amp;number=&amp;sourceID=12","")</f>
        <v/>
      </c>
      <c r="P260" s="4" t="str">
        <f>HYPERLINK("http://141.218.60.56/~jnz1568/getInfo.php?workbook=04_01.xlsx&amp;sheet=A0&amp;row=260&amp;col=16&amp;number=3840.2&amp;sourceID=12","3840.2")</f>
        <v>3840.2</v>
      </c>
      <c r="Q260" s="4" t="str">
        <f>HYPERLINK("http://141.218.60.56/~jnz1568/getInfo.php?workbook=04_01.xlsx&amp;sheet=A0&amp;row=260&amp;col=17&amp;number=&amp;sourceID=12","")</f>
        <v/>
      </c>
      <c r="R260" s="4" t="str">
        <f>HYPERLINK("http://141.218.60.56/~jnz1568/getInfo.php?workbook=04_01.xlsx&amp;sheet=A0&amp;row=260&amp;col=18&amp;number=&amp;sourceID=12","")</f>
        <v/>
      </c>
      <c r="S260" s="4" t="str">
        <f>HYPERLINK("http://141.218.60.56/~jnz1568/getInfo.php?workbook=04_01.xlsx&amp;sheet=A0&amp;row=260&amp;col=19&amp;number=&amp;sourceID=12","")</f>
        <v/>
      </c>
      <c r="T260" s="4" t="str">
        <f>HYPERLINK("http://141.218.60.56/~jnz1568/getInfo.php?workbook=04_01.xlsx&amp;sheet=A0&amp;row=260&amp;col=20&amp;number=7.5629e-08&amp;sourceID=12","7.5629e-08")</f>
        <v>7.5629e-08</v>
      </c>
      <c r="U260" s="4" t="str">
        <f>HYPERLINK("http://141.218.60.56/~jnz1568/getInfo.php?workbook=04_01.xlsx&amp;sheet=A0&amp;row=260&amp;col=21&amp;number=&amp;sourceID=20","")</f>
        <v/>
      </c>
    </row>
    <row r="261" spans="1:21">
      <c r="A261" s="3">
        <v>4</v>
      </c>
      <c r="B261" s="3">
        <v>1</v>
      </c>
      <c r="C261" s="3">
        <v>24</v>
      </c>
      <c r="D261" s="3">
        <v>14</v>
      </c>
      <c r="E261" s="3">
        <f>((1/(INDEX(E0!J$4:J$28,C261,1)-INDEX(E0!J$4:J$28,D261,1))))*100000000</f>
        <v>0</v>
      </c>
      <c r="F261" s="4" t="str">
        <f>HYPERLINK("http://141.218.60.56/~jnz1568/getInfo.php?workbook=04_01.xlsx&amp;sheet=A0&amp;row=261&amp;col=6&amp;number=&amp;sourceID=18","")</f>
        <v/>
      </c>
      <c r="G261" s="4" t="str">
        <f>HYPERLINK("http://141.218.60.56/~jnz1568/getInfo.php?workbook=04_01.xlsx&amp;sheet=A0&amp;row=261&amp;col=7&amp;number==&amp;sourceID=11","=")</f>
        <v>=</v>
      </c>
      <c r="H261" s="4" t="str">
        <f>HYPERLINK("http://141.218.60.56/~jnz1568/getInfo.php?workbook=04_01.xlsx&amp;sheet=A0&amp;row=261&amp;col=8&amp;number=&amp;sourceID=11","")</f>
        <v/>
      </c>
      <c r="I261" s="4" t="str">
        <f>HYPERLINK("http://141.218.60.56/~jnz1568/getInfo.php?workbook=04_01.xlsx&amp;sheet=A0&amp;row=261&amp;col=9&amp;number=67.142&amp;sourceID=11","67.142")</f>
        <v>67.142</v>
      </c>
      <c r="J261" s="4" t="str">
        <f>HYPERLINK("http://141.218.60.56/~jnz1568/getInfo.php?workbook=04_01.xlsx&amp;sheet=A0&amp;row=261&amp;col=10&amp;number=&amp;sourceID=11","")</f>
        <v/>
      </c>
      <c r="K261" s="4" t="str">
        <f>HYPERLINK("http://141.218.60.56/~jnz1568/getInfo.php?workbook=04_01.xlsx&amp;sheet=A0&amp;row=261&amp;col=11&amp;number=3.1495e-07&amp;sourceID=11","3.1495e-07")</f>
        <v>3.1495e-07</v>
      </c>
      <c r="L261" s="4" t="str">
        <f>HYPERLINK("http://141.218.60.56/~jnz1568/getInfo.php?workbook=04_01.xlsx&amp;sheet=A0&amp;row=261&amp;col=12&amp;number=&amp;sourceID=11","")</f>
        <v/>
      </c>
      <c r="M261" s="4" t="str">
        <f>HYPERLINK("http://141.218.60.56/~jnz1568/getInfo.php?workbook=04_01.xlsx&amp;sheet=A0&amp;row=261&amp;col=13&amp;number=1.9586e-10&amp;sourceID=11","1.9586e-10")</f>
        <v>1.9586e-10</v>
      </c>
      <c r="N261" s="4" t="str">
        <f>HYPERLINK("http://141.218.60.56/~jnz1568/getInfo.php?workbook=04_01.xlsx&amp;sheet=A0&amp;row=261&amp;col=14&amp;number=67.146&amp;sourceID=12","67.146")</f>
        <v>67.146</v>
      </c>
      <c r="O261" s="4" t="str">
        <f>HYPERLINK("http://141.218.60.56/~jnz1568/getInfo.php?workbook=04_01.xlsx&amp;sheet=A0&amp;row=261&amp;col=15&amp;number=&amp;sourceID=12","")</f>
        <v/>
      </c>
      <c r="P261" s="4" t="str">
        <f>HYPERLINK("http://141.218.60.56/~jnz1568/getInfo.php?workbook=04_01.xlsx&amp;sheet=A0&amp;row=261&amp;col=16&amp;number=67.146&amp;sourceID=12","67.146")</f>
        <v>67.146</v>
      </c>
      <c r="Q261" s="4" t="str">
        <f>HYPERLINK("http://141.218.60.56/~jnz1568/getInfo.php?workbook=04_01.xlsx&amp;sheet=A0&amp;row=261&amp;col=17&amp;number=&amp;sourceID=12","")</f>
        <v/>
      </c>
      <c r="R261" s="4" t="str">
        <f>HYPERLINK("http://141.218.60.56/~jnz1568/getInfo.php?workbook=04_01.xlsx&amp;sheet=A0&amp;row=261&amp;col=18&amp;number=3.1504e-07&amp;sourceID=12","3.1504e-07")</f>
        <v>3.1504e-07</v>
      </c>
      <c r="S261" s="4" t="str">
        <f>HYPERLINK("http://141.218.60.56/~jnz1568/getInfo.php?workbook=04_01.xlsx&amp;sheet=A0&amp;row=261&amp;col=19&amp;number=&amp;sourceID=12","")</f>
        <v/>
      </c>
      <c r="T261" s="4" t="str">
        <f>HYPERLINK("http://141.218.60.56/~jnz1568/getInfo.php?workbook=04_01.xlsx&amp;sheet=A0&amp;row=261&amp;col=20&amp;number=1.9587e-10&amp;sourceID=12","1.9587e-10")</f>
        <v>1.9587e-10</v>
      </c>
      <c r="U261" s="4" t="str">
        <f>HYPERLINK("http://141.218.60.56/~jnz1568/getInfo.php?workbook=04_01.xlsx&amp;sheet=A0&amp;row=261&amp;col=21&amp;number=&amp;sourceID=20","")</f>
        <v/>
      </c>
    </row>
    <row r="262" spans="1:21">
      <c r="A262" s="3">
        <v>4</v>
      </c>
      <c r="B262" s="3">
        <v>1</v>
      </c>
      <c r="C262" s="3">
        <v>24</v>
      </c>
      <c r="D262" s="3">
        <v>15</v>
      </c>
      <c r="E262" s="3">
        <f>((1/(INDEX(E0!J$4:J$28,C262,1)-INDEX(E0!J$4:J$28,D262,1))))*100000000</f>
        <v>0</v>
      </c>
      <c r="F262" s="4" t="str">
        <f>HYPERLINK("http://141.218.60.56/~jnz1568/getInfo.php?workbook=04_01.xlsx&amp;sheet=A0&amp;row=262&amp;col=6&amp;number=&amp;sourceID=18","")</f>
        <v/>
      </c>
      <c r="G262" s="4" t="str">
        <f>HYPERLINK("http://141.218.60.56/~jnz1568/getInfo.php?workbook=04_01.xlsx&amp;sheet=A0&amp;row=262&amp;col=7&amp;number==SUM(H262:M262)&amp;sourceID=11","=SUM(H262:M262)")</f>
        <v>=SUM(H262:M262)</v>
      </c>
      <c r="H262" s="4" t="str">
        <f>HYPERLINK("http://141.218.60.56/~jnz1568/getInfo.php?workbook=04_01.xlsx&amp;sheet=A0&amp;row=262&amp;col=8&amp;number=661930000&amp;sourceID=11","661930000")</f>
        <v>661930000</v>
      </c>
      <c r="I262" s="4" t="str">
        <f>HYPERLINK("http://141.218.60.56/~jnz1568/getInfo.php?workbook=04_01.xlsx&amp;sheet=A0&amp;row=262&amp;col=9&amp;number=&amp;sourceID=11","")</f>
        <v/>
      </c>
      <c r="J262" s="4" t="str">
        <f>HYPERLINK("http://141.218.60.56/~jnz1568/getInfo.php?workbook=04_01.xlsx&amp;sheet=A0&amp;row=262&amp;col=10&amp;number=0.0039162&amp;sourceID=11","0.0039162")</f>
        <v>0.0039162</v>
      </c>
      <c r="K262" s="4" t="str">
        <f>HYPERLINK("http://141.218.60.56/~jnz1568/getInfo.php?workbook=04_01.xlsx&amp;sheet=A0&amp;row=262&amp;col=11&amp;number=&amp;sourceID=11","")</f>
        <v/>
      </c>
      <c r="L262" s="4" t="str">
        <f>HYPERLINK("http://141.218.60.56/~jnz1568/getInfo.php?workbook=04_01.xlsx&amp;sheet=A0&amp;row=262&amp;col=12&amp;number=0.022352&amp;sourceID=11","0.022352")</f>
        <v>0.022352</v>
      </c>
      <c r="M262" s="4" t="str">
        <f>HYPERLINK("http://141.218.60.56/~jnz1568/getInfo.php?workbook=04_01.xlsx&amp;sheet=A0&amp;row=262&amp;col=13&amp;number=&amp;sourceID=11","")</f>
        <v/>
      </c>
      <c r="N262" s="4" t="str">
        <f>HYPERLINK("http://141.218.60.56/~jnz1568/getInfo.php?workbook=04_01.xlsx&amp;sheet=A0&amp;row=262&amp;col=14&amp;number=661970000&amp;sourceID=12","661970000")</f>
        <v>661970000</v>
      </c>
      <c r="O262" s="4" t="str">
        <f>HYPERLINK("http://141.218.60.56/~jnz1568/getInfo.php?workbook=04_01.xlsx&amp;sheet=A0&amp;row=262&amp;col=15&amp;number=661970000&amp;sourceID=12","661970000")</f>
        <v>661970000</v>
      </c>
      <c r="P262" s="4" t="str">
        <f>HYPERLINK("http://141.218.60.56/~jnz1568/getInfo.php?workbook=04_01.xlsx&amp;sheet=A0&amp;row=262&amp;col=16&amp;number=&amp;sourceID=12","")</f>
        <v/>
      </c>
      <c r="Q262" s="4" t="str">
        <f>HYPERLINK("http://141.218.60.56/~jnz1568/getInfo.php?workbook=04_01.xlsx&amp;sheet=A0&amp;row=262&amp;col=17&amp;number=0.0039165&amp;sourceID=12","0.0039165")</f>
        <v>0.0039165</v>
      </c>
      <c r="R262" s="4" t="str">
        <f>HYPERLINK("http://141.218.60.56/~jnz1568/getInfo.php?workbook=04_01.xlsx&amp;sheet=A0&amp;row=262&amp;col=18&amp;number=&amp;sourceID=12","")</f>
        <v/>
      </c>
      <c r="S262" s="4" t="str">
        <f>HYPERLINK("http://141.218.60.56/~jnz1568/getInfo.php?workbook=04_01.xlsx&amp;sheet=A0&amp;row=262&amp;col=19&amp;number=0.022354&amp;sourceID=12","0.022354")</f>
        <v>0.022354</v>
      </c>
      <c r="T262" s="4" t="str">
        <f>HYPERLINK("http://141.218.60.56/~jnz1568/getInfo.php?workbook=04_01.xlsx&amp;sheet=A0&amp;row=262&amp;col=20&amp;number=&amp;sourceID=12","")</f>
        <v/>
      </c>
      <c r="U262" s="4" t="str">
        <f>HYPERLINK("http://141.218.60.56/~jnz1568/getInfo.php?workbook=04_01.xlsx&amp;sheet=A0&amp;row=262&amp;col=21&amp;number=&amp;sourceID=20","")</f>
        <v/>
      </c>
    </row>
    <row r="263" spans="1:21">
      <c r="A263" s="3">
        <v>4</v>
      </c>
      <c r="B263" s="3">
        <v>1</v>
      </c>
      <c r="C263" s="3">
        <v>24</v>
      </c>
      <c r="D263" s="3">
        <v>16</v>
      </c>
      <c r="E263" s="3">
        <f>((1/(INDEX(E0!J$4:J$28,C263,1)-INDEX(E0!J$4:J$28,D263,1))))*100000000</f>
        <v>0</v>
      </c>
      <c r="F263" s="4" t="str">
        <f>HYPERLINK("http://141.218.60.56/~jnz1568/getInfo.php?workbook=04_01.xlsx&amp;sheet=A0&amp;row=263&amp;col=6&amp;number=&amp;sourceID=18","")</f>
        <v/>
      </c>
      <c r="G263" s="4" t="str">
        <f>HYPERLINK("http://141.218.60.56/~jnz1568/getInfo.php?workbook=04_01.xlsx&amp;sheet=A0&amp;row=263&amp;col=7&amp;number==&amp;sourceID=11","=")</f>
        <v>=</v>
      </c>
      <c r="H263" s="4" t="str">
        <f>HYPERLINK("http://141.218.60.56/~jnz1568/getInfo.php?workbook=04_01.xlsx&amp;sheet=A0&amp;row=263&amp;col=8&amp;number=&amp;sourceID=11","")</f>
        <v/>
      </c>
      <c r="I263" s="4" t="str">
        <f>HYPERLINK("http://141.218.60.56/~jnz1568/getInfo.php?workbook=04_01.xlsx&amp;sheet=A0&amp;row=263&amp;col=9&amp;number=559.48&amp;sourceID=11","559.48")</f>
        <v>559.48</v>
      </c>
      <c r="J263" s="4" t="str">
        <f>HYPERLINK("http://141.218.60.56/~jnz1568/getInfo.php?workbook=04_01.xlsx&amp;sheet=A0&amp;row=263&amp;col=10&amp;number=&amp;sourceID=11","")</f>
        <v/>
      </c>
      <c r="K263" s="4" t="str">
        <f>HYPERLINK("http://141.218.60.56/~jnz1568/getInfo.php?workbook=04_01.xlsx&amp;sheet=A0&amp;row=263&amp;col=11&amp;number=3.1694e-06&amp;sourceID=11","3.1694e-06")</f>
        <v>3.1694e-06</v>
      </c>
      <c r="L263" s="4" t="str">
        <f>HYPERLINK("http://141.218.60.56/~jnz1568/getInfo.php?workbook=04_01.xlsx&amp;sheet=A0&amp;row=263&amp;col=12&amp;number=&amp;sourceID=11","")</f>
        <v/>
      </c>
      <c r="M263" s="4" t="str">
        <f>HYPERLINK("http://141.218.60.56/~jnz1568/getInfo.php?workbook=04_01.xlsx&amp;sheet=A0&amp;row=263&amp;col=13&amp;number=2.5849e-08&amp;sourceID=11","2.5849e-08")</f>
        <v>2.5849e-08</v>
      </c>
      <c r="N263" s="4" t="str">
        <f>HYPERLINK("http://141.218.60.56/~jnz1568/getInfo.php?workbook=04_01.xlsx&amp;sheet=A0&amp;row=263&amp;col=14&amp;number=559.52&amp;sourceID=12","559.52")</f>
        <v>559.52</v>
      </c>
      <c r="O263" s="4" t="str">
        <f>HYPERLINK("http://141.218.60.56/~jnz1568/getInfo.php?workbook=04_01.xlsx&amp;sheet=A0&amp;row=263&amp;col=15&amp;number=&amp;sourceID=12","")</f>
        <v/>
      </c>
      <c r="P263" s="4" t="str">
        <f>HYPERLINK("http://141.218.60.56/~jnz1568/getInfo.php?workbook=04_01.xlsx&amp;sheet=A0&amp;row=263&amp;col=16&amp;number=559.52&amp;sourceID=12","559.52")</f>
        <v>559.52</v>
      </c>
      <c r="Q263" s="4" t="str">
        <f>HYPERLINK("http://141.218.60.56/~jnz1568/getInfo.php?workbook=04_01.xlsx&amp;sheet=A0&amp;row=263&amp;col=17&amp;number=&amp;sourceID=12","")</f>
        <v/>
      </c>
      <c r="R263" s="4" t="str">
        <f>HYPERLINK("http://141.218.60.56/~jnz1568/getInfo.php?workbook=04_01.xlsx&amp;sheet=A0&amp;row=263&amp;col=18&amp;number=3.1696e-06&amp;sourceID=12","3.1696e-06")</f>
        <v>3.1696e-06</v>
      </c>
      <c r="S263" s="4" t="str">
        <f>HYPERLINK("http://141.218.60.56/~jnz1568/getInfo.php?workbook=04_01.xlsx&amp;sheet=A0&amp;row=263&amp;col=19&amp;number=&amp;sourceID=12","")</f>
        <v/>
      </c>
      <c r="T263" s="4" t="str">
        <f>HYPERLINK("http://141.218.60.56/~jnz1568/getInfo.php?workbook=04_01.xlsx&amp;sheet=A0&amp;row=263&amp;col=20&amp;number=2.5851e-08&amp;sourceID=12","2.5851e-08")</f>
        <v>2.5851e-08</v>
      </c>
      <c r="U263" s="4" t="str">
        <f>HYPERLINK("http://141.218.60.56/~jnz1568/getInfo.php?workbook=04_01.xlsx&amp;sheet=A0&amp;row=263&amp;col=21&amp;number=&amp;sourceID=20","")</f>
        <v/>
      </c>
    </row>
    <row r="264" spans="1:21">
      <c r="A264" s="3">
        <v>4</v>
      </c>
      <c r="B264" s="3">
        <v>1</v>
      </c>
      <c r="C264" s="3">
        <v>24</v>
      </c>
      <c r="D264" s="3">
        <v>17</v>
      </c>
      <c r="E264" s="3">
        <f>((1/(INDEX(E0!J$4:J$28,C264,1)-INDEX(E0!J$4:J$28,D264,1))))*100000000</f>
        <v>0</v>
      </c>
      <c r="F264" s="4" t="str">
        <f>HYPERLINK("http://141.218.60.56/~jnz1568/getInfo.php?workbook=04_01.xlsx&amp;sheet=A0&amp;row=264&amp;col=6&amp;number=&amp;sourceID=18","")</f>
        <v/>
      </c>
      <c r="G264" s="4" t="str">
        <f>HYPERLINK("http://141.218.60.56/~jnz1568/getInfo.php?workbook=04_01.xlsx&amp;sheet=A0&amp;row=264&amp;col=7&amp;number==&amp;sourceID=11","=")</f>
        <v>=</v>
      </c>
      <c r="H264" s="4" t="str">
        <f>HYPERLINK("http://141.218.60.56/~jnz1568/getInfo.php?workbook=04_01.xlsx&amp;sheet=A0&amp;row=264&amp;col=8&amp;number=&amp;sourceID=11","")</f>
        <v/>
      </c>
      <c r="I264" s="4" t="str">
        <f>HYPERLINK("http://141.218.60.56/~jnz1568/getInfo.php?workbook=04_01.xlsx&amp;sheet=A0&amp;row=264&amp;col=9&amp;number=&amp;sourceID=11","")</f>
        <v/>
      </c>
      <c r="J264" s="4" t="str">
        <f>HYPERLINK("http://141.218.60.56/~jnz1568/getInfo.php?workbook=04_01.xlsx&amp;sheet=A0&amp;row=264&amp;col=10&amp;number=&amp;sourceID=11","")</f>
        <v/>
      </c>
      <c r="K264" s="4" t="str">
        <f>HYPERLINK("http://141.218.60.56/~jnz1568/getInfo.php?workbook=04_01.xlsx&amp;sheet=A0&amp;row=264&amp;col=11&amp;number=&amp;sourceID=11","")</f>
        <v/>
      </c>
      <c r="L264" s="4" t="str">
        <f>HYPERLINK("http://141.218.60.56/~jnz1568/getInfo.php?workbook=04_01.xlsx&amp;sheet=A0&amp;row=264&amp;col=12&amp;number=&amp;sourceID=11","")</f>
        <v/>
      </c>
      <c r="M264" s="4" t="str">
        <f>HYPERLINK("http://141.218.60.56/~jnz1568/getInfo.php?workbook=04_01.xlsx&amp;sheet=A0&amp;row=264&amp;col=13&amp;number=0&amp;sourceID=11","0")</f>
        <v>0</v>
      </c>
      <c r="N264" s="4" t="str">
        <f>HYPERLINK("http://141.218.60.56/~jnz1568/getInfo.php?workbook=04_01.xlsx&amp;sheet=A0&amp;row=264&amp;col=14&amp;number=0&amp;sourceID=12","0")</f>
        <v>0</v>
      </c>
      <c r="O264" s="4" t="str">
        <f>HYPERLINK("http://141.218.60.56/~jnz1568/getInfo.php?workbook=04_01.xlsx&amp;sheet=A0&amp;row=264&amp;col=15&amp;number=&amp;sourceID=12","")</f>
        <v/>
      </c>
      <c r="P264" s="4" t="str">
        <f>HYPERLINK("http://141.218.60.56/~jnz1568/getInfo.php?workbook=04_01.xlsx&amp;sheet=A0&amp;row=264&amp;col=16&amp;number=&amp;sourceID=12","")</f>
        <v/>
      </c>
      <c r="Q264" s="4" t="str">
        <f>HYPERLINK("http://141.218.60.56/~jnz1568/getInfo.php?workbook=04_01.xlsx&amp;sheet=A0&amp;row=264&amp;col=17&amp;number=&amp;sourceID=12","")</f>
        <v/>
      </c>
      <c r="R264" s="4" t="str">
        <f>HYPERLINK("http://141.218.60.56/~jnz1568/getInfo.php?workbook=04_01.xlsx&amp;sheet=A0&amp;row=264&amp;col=18&amp;number=&amp;sourceID=12","")</f>
        <v/>
      </c>
      <c r="S264" s="4" t="str">
        <f>HYPERLINK("http://141.218.60.56/~jnz1568/getInfo.php?workbook=04_01.xlsx&amp;sheet=A0&amp;row=264&amp;col=19&amp;number=&amp;sourceID=12","")</f>
        <v/>
      </c>
      <c r="T264" s="4" t="str">
        <f>HYPERLINK("http://141.218.60.56/~jnz1568/getInfo.php?workbook=04_01.xlsx&amp;sheet=A0&amp;row=264&amp;col=20&amp;number=0&amp;sourceID=12","0")</f>
        <v>0</v>
      </c>
      <c r="U264" s="4" t="str">
        <f>HYPERLINK("http://141.218.60.56/~jnz1568/getInfo.php?workbook=04_01.xlsx&amp;sheet=A0&amp;row=264&amp;col=21&amp;number=&amp;sourceID=20","")</f>
        <v/>
      </c>
    </row>
    <row r="265" spans="1:21">
      <c r="A265" s="3">
        <v>4</v>
      </c>
      <c r="B265" s="3">
        <v>1</v>
      </c>
      <c r="C265" s="3">
        <v>24</v>
      </c>
      <c r="D265" s="3">
        <v>18</v>
      </c>
      <c r="E265" s="3">
        <f>((1/(INDEX(E0!J$4:J$28,C265,1)-INDEX(E0!J$4:J$28,D265,1))))*100000000</f>
        <v>0</v>
      </c>
      <c r="F265" s="4" t="str">
        <f>HYPERLINK("http://141.218.60.56/~jnz1568/getInfo.php?workbook=04_01.xlsx&amp;sheet=A0&amp;row=265&amp;col=6&amp;number=&amp;sourceID=18","")</f>
        <v/>
      </c>
      <c r="G265" s="4" t="str">
        <f>HYPERLINK("http://141.218.60.56/~jnz1568/getInfo.php?workbook=04_01.xlsx&amp;sheet=A0&amp;row=265&amp;col=7&amp;number==&amp;sourceID=11","=")</f>
        <v>=</v>
      </c>
      <c r="H265" s="4" t="str">
        <f>HYPERLINK("http://141.218.60.56/~jnz1568/getInfo.php?workbook=04_01.xlsx&amp;sheet=A0&amp;row=265&amp;col=8&amp;number=&amp;sourceID=11","")</f>
        <v/>
      </c>
      <c r="I265" s="4" t="str">
        <f>HYPERLINK("http://141.218.60.56/~jnz1568/getInfo.php?workbook=04_01.xlsx&amp;sheet=A0&amp;row=265&amp;col=9&amp;number=&amp;sourceID=11","")</f>
        <v/>
      </c>
      <c r="J265" s="4" t="str">
        <f>HYPERLINK("http://141.218.60.56/~jnz1568/getInfo.php?workbook=04_01.xlsx&amp;sheet=A0&amp;row=265&amp;col=10&amp;number=0&amp;sourceID=11","0")</f>
        <v>0</v>
      </c>
      <c r="K265" s="4" t="str">
        <f>HYPERLINK("http://141.218.60.56/~jnz1568/getInfo.php?workbook=04_01.xlsx&amp;sheet=A0&amp;row=265&amp;col=11&amp;number=&amp;sourceID=11","")</f>
        <v/>
      </c>
      <c r="L265" s="4" t="str">
        <f>HYPERLINK("http://141.218.60.56/~jnz1568/getInfo.php?workbook=04_01.xlsx&amp;sheet=A0&amp;row=265&amp;col=12&amp;number=&amp;sourceID=11","")</f>
        <v/>
      </c>
      <c r="M265" s="4" t="str">
        <f>HYPERLINK("http://141.218.60.56/~jnz1568/getInfo.php?workbook=04_01.xlsx&amp;sheet=A0&amp;row=265&amp;col=13&amp;number=&amp;sourceID=11","")</f>
        <v/>
      </c>
      <c r="N265" s="4" t="str">
        <f>HYPERLINK("http://141.218.60.56/~jnz1568/getInfo.php?workbook=04_01.xlsx&amp;sheet=A0&amp;row=265&amp;col=14&amp;number=0&amp;sourceID=12","0")</f>
        <v>0</v>
      </c>
      <c r="O265" s="4" t="str">
        <f>HYPERLINK("http://141.218.60.56/~jnz1568/getInfo.php?workbook=04_01.xlsx&amp;sheet=A0&amp;row=265&amp;col=15&amp;number=&amp;sourceID=12","")</f>
        <v/>
      </c>
      <c r="P265" s="4" t="str">
        <f>HYPERLINK("http://141.218.60.56/~jnz1568/getInfo.php?workbook=04_01.xlsx&amp;sheet=A0&amp;row=265&amp;col=16&amp;number=&amp;sourceID=12","")</f>
        <v/>
      </c>
      <c r="Q265" s="4" t="str">
        <f>HYPERLINK("http://141.218.60.56/~jnz1568/getInfo.php?workbook=04_01.xlsx&amp;sheet=A0&amp;row=265&amp;col=17&amp;number=0&amp;sourceID=12","0")</f>
        <v>0</v>
      </c>
      <c r="R265" s="4" t="str">
        <f>HYPERLINK("http://141.218.60.56/~jnz1568/getInfo.php?workbook=04_01.xlsx&amp;sheet=A0&amp;row=265&amp;col=18&amp;number=&amp;sourceID=12","")</f>
        <v/>
      </c>
      <c r="S265" s="4" t="str">
        <f>HYPERLINK("http://141.218.60.56/~jnz1568/getInfo.php?workbook=04_01.xlsx&amp;sheet=A0&amp;row=265&amp;col=19&amp;number=&amp;sourceID=12","")</f>
        <v/>
      </c>
      <c r="T265" s="4" t="str">
        <f>HYPERLINK("http://141.218.60.56/~jnz1568/getInfo.php?workbook=04_01.xlsx&amp;sheet=A0&amp;row=265&amp;col=20&amp;number=&amp;sourceID=12","")</f>
        <v/>
      </c>
      <c r="U265" s="4" t="str">
        <f>HYPERLINK("http://141.218.60.56/~jnz1568/getInfo.php?workbook=04_01.xlsx&amp;sheet=A0&amp;row=265&amp;col=21&amp;number=&amp;sourceID=20","")</f>
        <v/>
      </c>
    </row>
    <row r="266" spans="1:21">
      <c r="A266" s="3">
        <v>4</v>
      </c>
      <c r="B266" s="3">
        <v>1</v>
      </c>
      <c r="C266" s="3">
        <v>24</v>
      </c>
      <c r="D266" s="3">
        <v>19</v>
      </c>
      <c r="E266" s="3">
        <f>((1/(INDEX(E0!J$4:J$28,C266,1)-INDEX(E0!J$4:J$28,D266,1))))*100000000</f>
        <v>0</v>
      </c>
      <c r="F266" s="4" t="str">
        <f>HYPERLINK("http://141.218.60.56/~jnz1568/getInfo.php?workbook=04_01.xlsx&amp;sheet=A0&amp;row=266&amp;col=6&amp;number=&amp;sourceID=18","")</f>
        <v/>
      </c>
      <c r="G266" s="4" t="str">
        <f>HYPERLINK("http://141.218.60.56/~jnz1568/getInfo.php?workbook=04_01.xlsx&amp;sheet=A0&amp;row=266&amp;col=7&amp;number==&amp;sourceID=11","=")</f>
        <v>=</v>
      </c>
      <c r="H266" s="4" t="str">
        <f>HYPERLINK("http://141.218.60.56/~jnz1568/getInfo.php?workbook=04_01.xlsx&amp;sheet=A0&amp;row=266&amp;col=8&amp;number=&amp;sourceID=11","")</f>
        <v/>
      </c>
      <c r="I266" s="4" t="str">
        <f>HYPERLINK("http://141.218.60.56/~jnz1568/getInfo.php?workbook=04_01.xlsx&amp;sheet=A0&amp;row=266&amp;col=9&amp;number=&amp;sourceID=11","")</f>
        <v/>
      </c>
      <c r="J266" s="4" t="str">
        <f>HYPERLINK("http://141.218.60.56/~jnz1568/getInfo.php?workbook=04_01.xlsx&amp;sheet=A0&amp;row=266&amp;col=10&amp;number=0&amp;sourceID=11","0")</f>
        <v>0</v>
      </c>
      <c r="K266" s="4" t="str">
        <f>HYPERLINK("http://141.218.60.56/~jnz1568/getInfo.php?workbook=04_01.xlsx&amp;sheet=A0&amp;row=266&amp;col=11&amp;number=&amp;sourceID=11","")</f>
        <v/>
      </c>
      <c r="L266" s="4" t="str">
        <f>HYPERLINK("http://141.218.60.56/~jnz1568/getInfo.php?workbook=04_01.xlsx&amp;sheet=A0&amp;row=266&amp;col=12&amp;number=0&amp;sourceID=11","0")</f>
        <v>0</v>
      </c>
      <c r="M266" s="4" t="str">
        <f>HYPERLINK("http://141.218.60.56/~jnz1568/getInfo.php?workbook=04_01.xlsx&amp;sheet=A0&amp;row=266&amp;col=13&amp;number=&amp;sourceID=11","")</f>
        <v/>
      </c>
      <c r="N266" s="4" t="str">
        <f>HYPERLINK("http://141.218.60.56/~jnz1568/getInfo.php?workbook=04_01.xlsx&amp;sheet=A0&amp;row=266&amp;col=14&amp;number=0&amp;sourceID=12","0")</f>
        <v>0</v>
      </c>
      <c r="O266" s="4" t="str">
        <f>HYPERLINK("http://141.218.60.56/~jnz1568/getInfo.php?workbook=04_01.xlsx&amp;sheet=A0&amp;row=266&amp;col=15&amp;number=&amp;sourceID=12","")</f>
        <v/>
      </c>
      <c r="P266" s="4" t="str">
        <f>HYPERLINK("http://141.218.60.56/~jnz1568/getInfo.php?workbook=04_01.xlsx&amp;sheet=A0&amp;row=266&amp;col=16&amp;number=&amp;sourceID=12","")</f>
        <v/>
      </c>
      <c r="Q266" s="4" t="str">
        <f>HYPERLINK("http://141.218.60.56/~jnz1568/getInfo.php?workbook=04_01.xlsx&amp;sheet=A0&amp;row=266&amp;col=17&amp;number=0&amp;sourceID=12","0")</f>
        <v>0</v>
      </c>
      <c r="R266" s="4" t="str">
        <f>HYPERLINK("http://141.218.60.56/~jnz1568/getInfo.php?workbook=04_01.xlsx&amp;sheet=A0&amp;row=266&amp;col=18&amp;number=&amp;sourceID=12","")</f>
        <v/>
      </c>
      <c r="S266" s="4" t="str">
        <f>HYPERLINK("http://141.218.60.56/~jnz1568/getInfo.php?workbook=04_01.xlsx&amp;sheet=A0&amp;row=266&amp;col=19&amp;number=0&amp;sourceID=12","0")</f>
        <v>0</v>
      </c>
      <c r="T266" s="4" t="str">
        <f>HYPERLINK("http://141.218.60.56/~jnz1568/getInfo.php?workbook=04_01.xlsx&amp;sheet=A0&amp;row=266&amp;col=20&amp;number=&amp;sourceID=12","")</f>
        <v/>
      </c>
      <c r="U266" s="4" t="str">
        <f>HYPERLINK("http://141.218.60.56/~jnz1568/getInfo.php?workbook=04_01.xlsx&amp;sheet=A0&amp;row=266&amp;col=21&amp;number=&amp;sourceID=20","")</f>
        <v/>
      </c>
    </row>
    <row r="267" spans="1:21">
      <c r="A267" s="3">
        <v>4</v>
      </c>
      <c r="B267" s="3">
        <v>1</v>
      </c>
      <c r="C267" s="3">
        <v>24</v>
      </c>
      <c r="D267" s="3">
        <v>20</v>
      </c>
      <c r="E267" s="3">
        <f>((1/(INDEX(E0!J$4:J$28,C267,1)-INDEX(E0!J$4:J$28,D267,1))))*100000000</f>
        <v>0</v>
      </c>
      <c r="F267" s="4" t="str">
        <f>HYPERLINK("http://141.218.60.56/~jnz1568/getInfo.php?workbook=04_01.xlsx&amp;sheet=A0&amp;row=267&amp;col=6&amp;number=&amp;sourceID=18","")</f>
        <v/>
      </c>
      <c r="G267" s="4" t="str">
        <f>HYPERLINK("http://141.218.60.56/~jnz1568/getInfo.php?workbook=04_01.xlsx&amp;sheet=A0&amp;row=267&amp;col=7&amp;number==&amp;sourceID=11","=")</f>
        <v>=</v>
      </c>
      <c r="H267" s="4" t="str">
        <f>HYPERLINK("http://141.218.60.56/~jnz1568/getInfo.php?workbook=04_01.xlsx&amp;sheet=A0&amp;row=267&amp;col=8&amp;number=&amp;sourceID=11","")</f>
        <v/>
      </c>
      <c r="I267" s="4" t="str">
        <f>HYPERLINK("http://141.218.60.56/~jnz1568/getInfo.php?workbook=04_01.xlsx&amp;sheet=A0&amp;row=267&amp;col=9&amp;number=0&amp;sourceID=11","0")</f>
        <v>0</v>
      </c>
      <c r="J267" s="4" t="str">
        <f>HYPERLINK("http://141.218.60.56/~jnz1568/getInfo.php?workbook=04_01.xlsx&amp;sheet=A0&amp;row=267&amp;col=10&amp;number=&amp;sourceID=11","")</f>
        <v/>
      </c>
      <c r="K267" s="4" t="str">
        <f>HYPERLINK("http://141.218.60.56/~jnz1568/getInfo.php?workbook=04_01.xlsx&amp;sheet=A0&amp;row=267&amp;col=11&amp;number=&amp;sourceID=11","")</f>
        <v/>
      </c>
      <c r="L267" s="4" t="str">
        <f>HYPERLINK("http://141.218.60.56/~jnz1568/getInfo.php?workbook=04_01.xlsx&amp;sheet=A0&amp;row=267&amp;col=12&amp;number=&amp;sourceID=11","")</f>
        <v/>
      </c>
      <c r="M267" s="4" t="str">
        <f>HYPERLINK("http://141.218.60.56/~jnz1568/getInfo.php?workbook=04_01.xlsx&amp;sheet=A0&amp;row=267&amp;col=13&amp;number=0&amp;sourceID=11","0")</f>
        <v>0</v>
      </c>
      <c r="N267" s="4" t="str">
        <f>HYPERLINK("http://141.218.60.56/~jnz1568/getInfo.php?workbook=04_01.xlsx&amp;sheet=A0&amp;row=267&amp;col=14&amp;number=0&amp;sourceID=12","0")</f>
        <v>0</v>
      </c>
      <c r="O267" s="4" t="str">
        <f>HYPERLINK("http://141.218.60.56/~jnz1568/getInfo.php?workbook=04_01.xlsx&amp;sheet=A0&amp;row=267&amp;col=15&amp;number=&amp;sourceID=12","")</f>
        <v/>
      </c>
      <c r="P267" s="4" t="str">
        <f>HYPERLINK("http://141.218.60.56/~jnz1568/getInfo.php?workbook=04_01.xlsx&amp;sheet=A0&amp;row=267&amp;col=16&amp;number=0&amp;sourceID=12","0")</f>
        <v>0</v>
      </c>
      <c r="Q267" s="4" t="str">
        <f>HYPERLINK("http://141.218.60.56/~jnz1568/getInfo.php?workbook=04_01.xlsx&amp;sheet=A0&amp;row=267&amp;col=17&amp;number=&amp;sourceID=12","")</f>
        <v/>
      </c>
      <c r="R267" s="4" t="str">
        <f>HYPERLINK("http://141.218.60.56/~jnz1568/getInfo.php?workbook=04_01.xlsx&amp;sheet=A0&amp;row=267&amp;col=18&amp;number=&amp;sourceID=12","")</f>
        <v/>
      </c>
      <c r="S267" s="4" t="str">
        <f>HYPERLINK("http://141.218.60.56/~jnz1568/getInfo.php?workbook=04_01.xlsx&amp;sheet=A0&amp;row=267&amp;col=19&amp;number=&amp;sourceID=12","")</f>
        <v/>
      </c>
      <c r="T267" s="4" t="str">
        <f>HYPERLINK("http://141.218.60.56/~jnz1568/getInfo.php?workbook=04_01.xlsx&amp;sheet=A0&amp;row=267&amp;col=20&amp;number=0&amp;sourceID=12","0")</f>
        <v>0</v>
      </c>
      <c r="U267" s="4" t="str">
        <f>HYPERLINK("http://141.218.60.56/~jnz1568/getInfo.php?workbook=04_01.xlsx&amp;sheet=A0&amp;row=267&amp;col=21&amp;number=&amp;sourceID=20","")</f>
        <v/>
      </c>
    </row>
    <row r="268" spans="1:21">
      <c r="A268" s="3">
        <v>4</v>
      </c>
      <c r="B268" s="3">
        <v>1</v>
      </c>
      <c r="C268" s="3">
        <v>24</v>
      </c>
      <c r="D268" s="3">
        <v>21</v>
      </c>
      <c r="E268" s="3">
        <f>((1/(INDEX(E0!J$4:J$28,C268,1)-INDEX(E0!J$4:J$28,D268,1))))*100000000</f>
        <v>0</v>
      </c>
      <c r="F268" s="4" t="str">
        <f>HYPERLINK("http://141.218.60.56/~jnz1568/getInfo.php?workbook=04_01.xlsx&amp;sheet=A0&amp;row=268&amp;col=6&amp;number=&amp;sourceID=18","")</f>
        <v/>
      </c>
      <c r="G268" s="4" t="str">
        <f>HYPERLINK("http://141.218.60.56/~jnz1568/getInfo.php?workbook=04_01.xlsx&amp;sheet=A0&amp;row=268&amp;col=7&amp;number==&amp;sourceID=11","=")</f>
        <v>=</v>
      </c>
      <c r="H268" s="4" t="str">
        <f>HYPERLINK("http://141.218.60.56/~jnz1568/getInfo.php?workbook=04_01.xlsx&amp;sheet=A0&amp;row=268&amp;col=8&amp;number=&amp;sourceID=11","")</f>
        <v/>
      </c>
      <c r="I268" s="4" t="str">
        <f>HYPERLINK("http://141.218.60.56/~jnz1568/getInfo.php?workbook=04_01.xlsx&amp;sheet=A0&amp;row=268&amp;col=9&amp;number=0&amp;sourceID=11","0")</f>
        <v>0</v>
      </c>
      <c r="J268" s="4" t="str">
        <f>HYPERLINK("http://141.218.60.56/~jnz1568/getInfo.php?workbook=04_01.xlsx&amp;sheet=A0&amp;row=268&amp;col=10&amp;number=&amp;sourceID=11","")</f>
        <v/>
      </c>
      <c r="K268" s="4" t="str">
        <f>HYPERLINK("http://141.218.60.56/~jnz1568/getInfo.php?workbook=04_01.xlsx&amp;sheet=A0&amp;row=268&amp;col=11&amp;number=1.1469e-11&amp;sourceID=11","1.1469e-11")</f>
        <v>1.1469e-11</v>
      </c>
      <c r="L268" s="4" t="str">
        <f>HYPERLINK("http://141.218.60.56/~jnz1568/getInfo.php?workbook=04_01.xlsx&amp;sheet=A0&amp;row=268&amp;col=12&amp;number=&amp;sourceID=11","")</f>
        <v/>
      </c>
      <c r="M268" s="4" t="str">
        <f>HYPERLINK("http://141.218.60.56/~jnz1568/getInfo.php?workbook=04_01.xlsx&amp;sheet=A0&amp;row=268&amp;col=13&amp;number=0&amp;sourceID=11","0")</f>
        <v>0</v>
      </c>
      <c r="N268" s="4" t="str">
        <f>HYPERLINK("http://141.218.60.56/~jnz1568/getInfo.php?workbook=04_01.xlsx&amp;sheet=A0&amp;row=268&amp;col=14&amp;number=1.1479e-11&amp;sourceID=12","1.1479e-11")</f>
        <v>1.1479e-11</v>
      </c>
      <c r="O268" s="4" t="str">
        <f>HYPERLINK("http://141.218.60.56/~jnz1568/getInfo.php?workbook=04_01.xlsx&amp;sheet=A0&amp;row=268&amp;col=15&amp;number=&amp;sourceID=12","")</f>
        <v/>
      </c>
      <c r="P268" s="4" t="str">
        <f>HYPERLINK("http://141.218.60.56/~jnz1568/getInfo.php?workbook=04_01.xlsx&amp;sheet=A0&amp;row=268&amp;col=16&amp;number=0&amp;sourceID=12","0")</f>
        <v>0</v>
      </c>
      <c r="Q268" s="4" t="str">
        <f>HYPERLINK("http://141.218.60.56/~jnz1568/getInfo.php?workbook=04_01.xlsx&amp;sheet=A0&amp;row=268&amp;col=17&amp;number=&amp;sourceID=12","")</f>
        <v/>
      </c>
      <c r="R268" s="4" t="str">
        <f>HYPERLINK("http://141.218.60.56/~jnz1568/getInfo.php?workbook=04_01.xlsx&amp;sheet=A0&amp;row=268&amp;col=18&amp;number=1.1479e-11&amp;sourceID=12","1.1479e-11")</f>
        <v>1.1479e-11</v>
      </c>
      <c r="S268" s="4" t="str">
        <f>HYPERLINK("http://141.218.60.56/~jnz1568/getInfo.php?workbook=04_01.xlsx&amp;sheet=A0&amp;row=268&amp;col=19&amp;number=&amp;sourceID=12","")</f>
        <v/>
      </c>
      <c r="T268" s="4" t="str">
        <f>HYPERLINK("http://141.218.60.56/~jnz1568/getInfo.php?workbook=04_01.xlsx&amp;sheet=A0&amp;row=268&amp;col=20&amp;number=0&amp;sourceID=12","0")</f>
        <v>0</v>
      </c>
      <c r="U268" s="4" t="str">
        <f>HYPERLINK("http://141.218.60.56/~jnz1568/getInfo.php?workbook=04_01.xlsx&amp;sheet=A0&amp;row=268&amp;col=21&amp;number=&amp;sourceID=20","")</f>
        <v/>
      </c>
    </row>
    <row r="269" spans="1:21">
      <c r="A269" s="3">
        <v>4</v>
      </c>
      <c r="B269" s="3">
        <v>1</v>
      </c>
      <c r="C269" s="3">
        <v>24</v>
      </c>
      <c r="D269" s="3">
        <v>22</v>
      </c>
      <c r="E269" s="3">
        <f>((1/(INDEX(E0!J$4:J$28,C269,1)-INDEX(E0!J$4:J$28,D269,1))))*100000000</f>
        <v>0</v>
      </c>
      <c r="F269" s="4" t="str">
        <f>HYPERLINK("http://141.218.60.56/~jnz1568/getInfo.php?workbook=04_01.xlsx&amp;sheet=A0&amp;row=269&amp;col=6&amp;number=&amp;sourceID=18","")</f>
        <v/>
      </c>
      <c r="G269" s="4" t="str">
        <f>HYPERLINK("http://141.218.60.56/~jnz1568/getInfo.php?workbook=04_01.xlsx&amp;sheet=A0&amp;row=269&amp;col=7&amp;number==&amp;sourceID=11","=")</f>
        <v>=</v>
      </c>
      <c r="H269" s="4" t="str">
        <f>HYPERLINK("http://141.218.60.56/~jnz1568/getInfo.php?workbook=04_01.xlsx&amp;sheet=A0&amp;row=269&amp;col=8&amp;number=4.8459e-05&amp;sourceID=11","4.8459e-05")</f>
        <v>4.8459e-05</v>
      </c>
      <c r="I269" s="4" t="str">
        <f>HYPERLINK("http://141.218.60.56/~jnz1568/getInfo.php?workbook=04_01.xlsx&amp;sheet=A0&amp;row=269&amp;col=9&amp;number=&amp;sourceID=11","")</f>
        <v/>
      </c>
      <c r="J269" s="4" t="str">
        <f>HYPERLINK("http://141.218.60.56/~jnz1568/getInfo.php?workbook=04_01.xlsx&amp;sheet=A0&amp;row=269&amp;col=10&amp;number=0&amp;sourceID=11","0")</f>
        <v>0</v>
      </c>
      <c r="K269" s="4" t="str">
        <f>HYPERLINK("http://141.218.60.56/~jnz1568/getInfo.php?workbook=04_01.xlsx&amp;sheet=A0&amp;row=269&amp;col=11&amp;number=&amp;sourceID=11","")</f>
        <v/>
      </c>
      <c r="L269" s="4" t="str">
        <f>HYPERLINK("http://141.218.60.56/~jnz1568/getInfo.php?workbook=04_01.xlsx&amp;sheet=A0&amp;row=269&amp;col=12&amp;number=0&amp;sourceID=11","0")</f>
        <v>0</v>
      </c>
      <c r="M269" s="4" t="str">
        <f>HYPERLINK("http://141.218.60.56/~jnz1568/getInfo.php?workbook=04_01.xlsx&amp;sheet=A0&amp;row=269&amp;col=13&amp;number=&amp;sourceID=11","")</f>
        <v/>
      </c>
      <c r="N269" s="4" t="str">
        <f>HYPERLINK("http://141.218.60.56/~jnz1568/getInfo.php?workbook=04_01.xlsx&amp;sheet=A0&amp;row=269&amp;col=14&amp;number=4.8499e-05&amp;sourceID=12","4.8499e-05")</f>
        <v>4.8499e-05</v>
      </c>
      <c r="O269" s="4" t="str">
        <f>HYPERLINK("http://141.218.60.56/~jnz1568/getInfo.php?workbook=04_01.xlsx&amp;sheet=A0&amp;row=269&amp;col=15&amp;number=4.8499e-05&amp;sourceID=12","4.8499e-05")</f>
        <v>4.8499e-05</v>
      </c>
      <c r="P269" s="4" t="str">
        <f>HYPERLINK("http://141.218.60.56/~jnz1568/getInfo.php?workbook=04_01.xlsx&amp;sheet=A0&amp;row=269&amp;col=16&amp;number=&amp;sourceID=12","")</f>
        <v/>
      </c>
      <c r="Q269" s="4" t="str">
        <f>HYPERLINK("http://141.218.60.56/~jnz1568/getInfo.php?workbook=04_01.xlsx&amp;sheet=A0&amp;row=269&amp;col=17&amp;number=0&amp;sourceID=12","0")</f>
        <v>0</v>
      </c>
      <c r="R269" s="4" t="str">
        <f>HYPERLINK("http://141.218.60.56/~jnz1568/getInfo.php?workbook=04_01.xlsx&amp;sheet=A0&amp;row=269&amp;col=18&amp;number=&amp;sourceID=12","")</f>
        <v/>
      </c>
      <c r="S269" s="4" t="str">
        <f>HYPERLINK("http://141.218.60.56/~jnz1568/getInfo.php?workbook=04_01.xlsx&amp;sheet=A0&amp;row=269&amp;col=19&amp;number=0&amp;sourceID=12","0")</f>
        <v>0</v>
      </c>
      <c r="T269" s="4" t="str">
        <f>HYPERLINK("http://141.218.60.56/~jnz1568/getInfo.php?workbook=04_01.xlsx&amp;sheet=A0&amp;row=269&amp;col=20&amp;number=&amp;sourceID=12","")</f>
        <v/>
      </c>
      <c r="U269" s="4" t="str">
        <f>HYPERLINK("http://141.218.60.56/~jnz1568/getInfo.php?workbook=04_01.xlsx&amp;sheet=A0&amp;row=269&amp;col=21&amp;number=&amp;sourceID=20","")</f>
        <v/>
      </c>
    </row>
    <row r="270" spans="1:21">
      <c r="A270" s="3">
        <v>4</v>
      </c>
      <c r="B270" s="3">
        <v>1</v>
      </c>
      <c r="C270" s="3">
        <v>25</v>
      </c>
      <c r="D270" s="3">
        <v>4</v>
      </c>
      <c r="E270" s="3">
        <f>((1/(INDEX(E0!J$4:J$28,C270,1)-INDEX(E0!J$4:J$28,D270,1))))*100000000</f>
        <v>0</v>
      </c>
      <c r="F270" s="4" t="str">
        <f>HYPERLINK("http://141.218.60.56/~jnz1568/getInfo.php?workbook=04_01.xlsx&amp;sheet=A0&amp;row=270&amp;col=6&amp;number=&amp;sourceID=18","")</f>
        <v/>
      </c>
      <c r="G270" s="4" t="str">
        <f>HYPERLINK("http://141.218.60.56/~jnz1568/getInfo.php?workbook=04_01.xlsx&amp;sheet=A0&amp;row=270&amp;col=7&amp;number==&amp;sourceID=11","=")</f>
        <v>=</v>
      </c>
      <c r="H270" s="4" t="str">
        <f>HYPERLINK("http://141.218.60.56/~jnz1568/getInfo.php?workbook=04_01.xlsx&amp;sheet=A0&amp;row=270&amp;col=8&amp;number=&amp;sourceID=11","")</f>
        <v/>
      </c>
      <c r="I270" s="4" t="str">
        <f>HYPERLINK("http://141.218.60.56/~jnz1568/getInfo.php?workbook=04_01.xlsx&amp;sheet=A0&amp;row=270&amp;col=9&amp;number=&amp;sourceID=11","")</f>
        <v/>
      </c>
      <c r="J270" s="4" t="str">
        <f>HYPERLINK("http://141.218.60.56/~jnz1568/getInfo.php?workbook=04_01.xlsx&amp;sheet=A0&amp;row=270&amp;col=10&amp;number=2.1967&amp;sourceID=11","2.1967")</f>
        <v>2.1967</v>
      </c>
      <c r="K270" s="4" t="str">
        <f>HYPERLINK("http://141.218.60.56/~jnz1568/getInfo.php?workbook=04_01.xlsx&amp;sheet=A0&amp;row=270&amp;col=11&amp;number=&amp;sourceID=11","")</f>
        <v/>
      </c>
      <c r="L270" s="4" t="str">
        <f>HYPERLINK("http://141.218.60.56/~jnz1568/getInfo.php?workbook=04_01.xlsx&amp;sheet=A0&amp;row=270&amp;col=12&amp;number=&amp;sourceID=11","")</f>
        <v/>
      </c>
      <c r="M270" s="4" t="str">
        <f>HYPERLINK("http://141.218.60.56/~jnz1568/getInfo.php?workbook=04_01.xlsx&amp;sheet=A0&amp;row=270&amp;col=13&amp;number=&amp;sourceID=11","")</f>
        <v/>
      </c>
      <c r="N270" s="4" t="str">
        <f>HYPERLINK("http://141.218.60.56/~jnz1568/getInfo.php?workbook=04_01.xlsx&amp;sheet=A0&amp;row=270&amp;col=14&amp;number=2.1968&amp;sourceID=12","2.1968")</f>
        <v>2.1968</v>
      </c>
      <c r="O270" s="4" t="str">
        <f>HYPERLINK("http://141.218.60.56/~jnz1568/getInfo.php?workbook=04_01.xlsx&amp;sheet=A0&amp;row=270&amp;col=15&amp;number=&amp;sourceID=12","")</f>
        <v/>
      </c>
      <c r="P270" s="4" t="str">
        <f>HYPERLINK("http://141.218.60.56/~jnz1568/getInfo.php?workbook=04_01.xlsx&amp;sheet=A0&amp;row=270&amp;col=16&amp;number=&amp;sourceID=12","")</f>
        <v/>
      </c>
      <c r="Q270" s="4" t="str">
        <f>HYPERLINK("http://141.218.60.56/~jnz1568/getInfo.php?workbook=04_01.xlsx&amp;sheet=A0&amp;row=270&amp;col=17&amp;number=2.1968&amp;sourceID=12","2.1968")</f>
        <v>2.1968</v>
      </c>
      <c r="R270" s="4" t="str">
        <f>HYPERLINK("http://141.218.60.56/~jnz1568/getInfo.php?workbook=04_01.xlsx&amp;sheet=A0&amp;row=270&amp;col=18&amp;number=&amp;sourceID=12","")</f>
        <v/>
      </c>
      <c r="S270" s="4" t="str">
        <f>HYPERLINK("http://141.218.60.56/~jnz1568/getInfo.php?workbook=04_01.xlsx&amp;sheet=A0&amp;row=270&amp;col=19&amp;number=&amp;sourceID=12","")</f>
        <v/>
      </c>
      <c r="T270" s="4" t="str">
        <f>HYPERLINK("http://141.218.60.56/~jnz1568/getInfo.php?workbook=04_01.xlsx&amp;sheet=A0&amp;row=270&amp;col=20&amp;number=&amp;sourceID=12","")</f>
        <v/>
      </c>
      <c r="U270" s="4" t="str">
        <f>HYPERLINK("http://141.218.60.56/~jnz1568/getInfo.php?workbook=04_01.xlsx&amp;sheet=A0&amp;row=270&amp;col=21&amp;number=&amp;sourceID=20","")</f>
        <v/>
      </c>
    </row>
    <row r="271" spans="1:21">
      <c r="A271" s="3">
        <v>4</v>
      </c>
      <c r="B271" s="3">
        <v>1</v>
      </c>
      <c r="C271" s="3">
        <v>25</v>
      </c>
      <c r="D271" s="3">
        <v>7</v>
      </c>
      <c r="E271" s="3">
        <f>((1/(INDEX(E0!J$4:J$28,C271,1)-INDEX(E0!J$4:J$28,D271,1))))*100000000</f>
        <v>0</v>
      </c>
      <c r="F271" s="4" t="str">
        <f>HYPERLINK("http://141.218.60.56/~jnz1568/getInfo.php?workbook=04_01.xlsx&amp;sheet=A0&amp;row=271&amp;col=6&amp;number=&amp;sourceID=18","")</f>
        <v/>
      </c>
      <c r="G271" s="4" t="str">
        <f>HYPERLINK("http://141.218.60.56/~jnz1568/getInfo.php?workbook=04_01.xlsx&amp;sheet=A0&amp;row=271&amp;col=7&amp;number==&amp;sourceID=11","=")</f>
        <v>=</v>
      </c>
      <c r="H271" s="4" t="str">
        <f>HYPERLINK("http://141.218.60.56/~jnz1568/getInfo.php?workbook=04_01.xlsx&amp;sheet=A0&amp;row=271&amp;col=8&amp;number=&amp;sourceID=11","")</f>
        <v/>
      </c>
      <c r="I271" s="4" t="str">
        <f>HYPERLINK("http://141.218.60.56/~jnz1568/getInfo.php?workbook=04_01.xlsx&amp;sheet=A0&amp;row=271&amp;col=9&amp;number=&amp;sourceID=11","")</f>
        <v/>
      </c>
      <c r="J271" s="4" t="str">
        <f>HYPERLINK("http://141.218.60.56/~jnz1568/getInfo.php?workbook=04_01.xlsx&amp;sheet=A0&amp;row=271&amp;col=10&amp;number=&amp;sourceID=11","")</f>
        <v/>
      </c>
      <c r="K271" s="4" t="str">
        <f>HYPERLINK("http://141.218.60.56/~jnz1568/getInfo.php?workbook=04_01.xlsx&amp;sheet=A0&amp;row=271&amp;col=11&amp;number=&amp;sourceID=11","")</f>
        <v/>
      </c>
      <c r="L271" s="4" t="str">
        <f>HYPERLINK("http://141.218.60.56/~jnz1568/getInfo.php?workbook=04_01.xlsx&amp;sheet=A0&amp;row=271&amp;col=12&amp;number=&amp;sourceID=11","")</f>
        <v/>
      </c>
      <c r="M271" s="4" t="str">
        <f>HYPERLINK("http://141.218.60.56/~jnz1568/getInfo.php?workbook=04_01.xlsx&amp;sheet=A0&amp;row=271&amp;col=13&amp;number=3.7432e-06&amp;sourceID=11","3.7432e-06")</f>
        <v>3.7432e-06</v>
      </c>
      <c r="N271" s="4" t="str">
        <f>HYPERLINK("http://141.218.60.56/~jnz1568/getInfo.php?workbook=04_01.xlsx&amp;sheet=A0&amp;row=271&amp;col=14&amp;number=3.7434e-06&amp;sourceID=12","3.7434e-06")</f>
        <v>3.7434e-06</v>
      </c>
      <c r="O271" s="4" t="str">
        <f>HYPERLINK("http://141.218.60.56/~jnz1568/getInfo.php?workbook=04_01.xlsx&amp;sheet=A0&amp;row=271&amp;col=15&amp;number=&amp;sourceID=12","")</f>
        <v/>
      </c>
      <c r="P271" s="4" t="str">
        <f>HYPERLINK("http://141.218.60.56/~jnz1568/getInfo.php?workbook=04_01.xlsx&amp;sheet=A0&amp;row=271&amp;col=16&amp;number=&amp;sourceID=12","")</f>
        <v/>
      </c>
      <c r="Q271" s="4" t="str">
        <f>HYPERLINK("http://141.218.60.56/~jnz1568/getInfo.php?workbook=04_01.xlsx&amp;sheet=A0&amp;row=271&amp;col=17&amp;number=&amp;sourceID=12","")</f>
        <v/>
      </c>
      <c r="R271" s="4" t="str">
        <f>HYPERLINK("http://141.218.60.56/~jnz1568/getInfo.php?workbook=04_01.xlsx&amp;sheet=A0&amp;row=271&amp;col=18&amp;number=&amp;sourceID=12","")</f>
        <v/>
      </c>
      <c r="S271" s="4" t="str">
        <f>HYPERLINK("http://141.218.60.56/~jnz1568/getInfo.php?workbook=04_01.xlsx&amp;sheet=A0&amp;row=271&amp;col=19&amp;number=&amp;sourceID=12","")</f>
        <v/>
      </c>
      <c r="T271" s="4" t="str">
        <f>HYPERLINK("http://141.218.60.56/~jnz1568/getInfo.php?workbook=04_01.xlsx&amp;sheet=A0&amp;row=271&amp;col=20&amp;number=3.7434e-06&amp;sourceID=12","3.7434e-06")</f>
        <v>3.7434e-06</v>
      </c>
      <c r="U271" s="4" t="str">
        <f>HYPERLINK("http://141.218.60.56/~jnz1568/getInfo.php?workbook=04_01.xlsx&amp;sheet=A0&amp;row=271&amp;col=21&amp;number=&amp;sourceID=20","")</f>
        <v/>
      </c>
    </row>
    <row r="272" spans="1:21">
      <c r="A272" s="3">
        <v>4</v>
      </c>
      <c r="B272" s="3">
        <v>1</v>
      </c>
      <c r="C272" s="3">
        <v>25</v>
      </c>
      <c r="D272" s="3">
        <v>8</v>
      </c>
      <c r="E272" s="3">
        <f>((1/(INDEX(E0!J$4:J$28,C272,1)-INDEX(E0!J$4:J$28,D272,1))))*100000000</f>
        <v>0</v>
      </c>
      <c r="F272" s="4" t="str">
        <f>HYPERLINK("http://141.218.60.56/~jnz1568/getInfo.php?workbook=04_01.xlsx&amp;sheet=A0&amp;row=272&amp;col=6&amp;number=&amp;sourceID=18","")</f>
        <v/>
      </c>
      <c r="G272" s="4" t="str">
        <f>HYPERLINK("http://141.218.60.56/~jnz1568/getInfo.php?workbook=04_01.xlsx&amp;sheet=A0&amp;row=272&amp;col=7&amp;number==&amp;sourceID=11","=")</f>
        <v>=</v>
      </c>
      <c r="H272" s="4" t="str">
        <f>HYPERLINK("http://141.218.60.56/~jnz1568/getInfo.php?workbook=04_01.xlsx&amp;sheet=A0&amp;row=272&amp;col=8&amp;number=&amp;sourceID=11","")</f>
        <v/>
      </c>
      <c r="I272" s="4" t="str">
        <f>HYPERLINK("http://141.218.60.56/~jnz1568/getInfo.php?workbook=04_01.xlsx&amp;sheet=A0&amp;row=272&amp;col=9&amp;number=&amp;sourceID=11","")</f>
        <v/>
      </c>
      <c r="J272" s="4" t="str">
        <f>HYPERLINK("http://141.218.60.56/~jnz1568/getInfo.php?workbook=04_01.xlsx&amp;sheet=A0&amp;row=272&amp;col=10&amp;number=0.92807&amp;sourceID=11","0.92807")</f>
        <v>0.92807</v>
      </c>
      <c r="K272" s="4" t="str">
        <f>HYPERLINK("http://141.218.60.56/~jnz1568/getInfo.php?workbook=04_01.xlsx&amp;sheet=A0&amp;row=272&amp;col=11&amp;number=&amp;sourceID=11","")</f>
        <v/>
      </c>
      <c r="L272" s="4" t="str">
        <f>HYPERLINK("http://141.218.60.56/~jnz1568/getInfo.php?workbook=04_01.xlsx&amp;sheet=A0&amp;row=272&amp;col=12&amp;number=&amp;sourceID=11","")</f>
        <v/>
      </c>
      <c r="M272" s="4" t="str">
        <f>HYPERLINK("http://141.218.60.56/~jnz1568/getInfo.php?workbook=04_01.xlsx&amp;sheet=A0&amp;row=272&amp;col=13&amp;number=&amp;sourceID=11","")</f>
        <v/>
      </c>
      <c r="N272" s="4" t="str">
        <f>HYPERLINK("http://141.218.60.56/~jnz1568/getInfo.php?workbook=04_01.xlsx&amp;sheet=A0&amp;row=272&amp;col=14&amp;number=0.92813&amp;sourceID=12","0.92813")</f>
        <v>0.92813</v>
      </c>
      <c r="O272" s="4" t="str">
        <f>HYPERLINK("http://141.218.60.56/~jnz1568/getInfo.php?workbook=04_01.xlsx&amp;sheet=A0&amp;row=272&amp;col=15&amp;number=&amp;sourceID=12","")</f>
        <v/>
      </c>
      <c r="P272" s="4" t="str">
        <f>HYPERLINK("http://141.218.60.56/~jnz1568/getInfo.php?workbook=04_01.xlsx&amp;sheet=A0&amp;row=272&amp;col=16&amp;number=&amp;sourceID=12","")</f>
        <v/>
      </c>
      <c r="Q272" s="4" t="str">
        <f>HYPERLINK("http://141.218.60.56/~jnz1568/getInfo.php?workbook=04_01.xlsx&amp;sheet=A0&amp;row=272&amp;col=17&amp;number=0.92813&amp;sourceID=12","0.92813")</f>
        <v>0.92813</v>
      </c>
      <c r="R272" s="4" t="str">
        <f>HYPERLINK("http://141.218.60.56/~jnz1568/getInfo.php?workbook=04_01.xlsx&amp;sheet=A0&amp;row=272&amp;col=18&amp;number=&amp;sourceID=12","")</f>
        <v/>
      </c>
      <c r="S272" s="4" t="str">
        <f>HYPERLINK("http://141.218.60.56/~jnz1568/getInfo.php?workbook=04_01.xlsx&amp;sheet=A0&amp;row=272&amp;col=19&amp;number=&amp;sourceID=12","")</f>
        <v/>
      </c>
      <c r="T272" s="4" t="str">
        <f>HYPERLINK("http://141.218.60.56/~jnz1568/getInfo.php?workbook=04_01.xlsx&amp;sheet=A0&amp;row=272&amp;col=20&amp;number=&amp;sourceID=12","")</f>
        <v/>
      </c>
      <c r="U272" s="4" t="str">
        <f>HYPERLINK("http://141.218.60.56/~jnz1568/getInfo.php?workbook=04_01.xlsx&amp;sheet=A0&amp;row=272&amp;col=21&amp;number=&amp;sourceID=20","")</f>
        <v/>
      </c>
    </row>
    <row r="273" spans="1:21">
      <c r="A273" s="3">
        <v>4</v>
      </c>
      <c r="B273" s="3">
        <v>1</v>
      </c>
      <c r="C273" s="3">
        <v>25</v>
      </c>
      <c r="D273" s="3">
        <v>9</v>
      </c>
      <c r="E273" s="3">
        <f>((1/(INDEX(E0!J$4:J$28,C273,1)-INDEX(E0!J$4:J$28,D273,1))))*100000000</f>
        <v>0</v>
      </c>
      <c r="F273" s="4" t="str">
        <f>HYPERLINK("http://141.218.60.56/~jnz1568/getInfo.php?workbook=04_01.xlsx&amp;sheet=A0&amp;row=273&amp;col=6&amp;number=&amp;sourceID=18","")</f>
        <v/>
      </c>
      <c r="G273" s="4" t="str">
        <f>HYPERLINK("http://141.218.60.56/~jnz1568/getInfo.php?workbook=04_01.xlsx&amp;sheet=A0&amp;row=273&amp;col=7&amp;number==&amp;sourceID=11","=")</f>
        <v>=</v>
      </c>
      <c r="H273" s="4" t="str">
        <f>HYPERLINK("http://141.218.60.56/~jnz1568/getInfo.php?workbook=04_01.xlsx&amp;sheet=A0&amp;row=273&amp;col=8&amp;number=&amp;sourceID=11","")</f>
        <v/>
      </c>
      <c r="I273" s="4" t="str">
        <f>HYPERLINK("http://141.218.60.56/~jnz1568/getInfo.php?workbook=04_01.xlsx&amp;sheet=A0&amp;row=273&amp;col=9&amp;number=47574&amp;sourceID=11","47574")</f>
        <v>47574</v>
      </c>
      <c r="J273" s="4" t="str">
        <f>HYPERLINK("http://141.218.60.56/~jnz1568/getInfo.php?workbook=04_01.xlsx&amp;sheet=A0&amp;row=273&amp;col=10&amp;number=&amp;sourceID=11","")</f>
        <v/>
      </c>
      <c r="K273" s="4" t="str">
        <f>HYPERLINK("http://141.218.60.56/~jnz1568/getInfo.php?workbook=04_01.xlsx&amp;sheet=A0&amp;row=273&amp;col=11&amp;number=&amp;sourceID=11","")</f>
        <v/>
      </c>
      <c r="L273" s="4" t="str">
        <f>HYPERLINK("http://141.218.60.56/~jnz1568/getInfo.php?workbook=04_01.xlsx&amp;sheet=A0&amp;row=273&amp;col=12&amp;number=&amp;sourceID=11","")</f>
        <v/>
      </c>
      <c r="M273" s="4" t="str">
        <f>HYPERLINK("http://141.218.60.56/~jnz1568/getInfo.php?workbook=04_01.xlsx&amp;sheet=A0&amp;row=273&amp;col=13&amp;number=1.2198e-05&amp;sourceID=11","1.2198e-05")</f>
        <v>1.2198e-05</v>
      </c>
      <c r="N273" s="4" t="str">
        <f>HYPERLINK("http://141.218.60.56/~jnz1568/getInfo.php?workbook=04_01.xlsx&amp;sheet=A0&amp;row=273&amp;col=14&amp;number=47576&amp;sourceID=12","47576")</f>
        <v>47576</v>
      </c>
      <c r="O273" s="4" t="str">
        <f>HYPERLINK("http://141.218.60.56/~jnz1568/getInfo.php?workbook=04_01.xlsx&amp;sheet=A0&amp;row=273&amp;col=15&amp;number=&amp;sourceID=12","")</f>
        <v/>
      </c>
      <c r="P273" s="4" t="str">
        <f>HYPERLINK("http://141.218.60.56/~jnz1568/getInfo.php?workbook=04_01.xlsx&amp;sheet=A0&amp;row=273&amp;col=16&amp;number=47576&amp;sourceID=12","47576")</f>
        <v>47576</v>
      </c>
      <c r="Q273" s="4" t="str">
        <f>HYPERLINK("http://141.218.60.56/~jnz1568/getInfo.php?workbook=04_01.xlsx&amp;sheet=A0&amp;row=273&amp;col=17&amp;number=&amp;sourceID=12","")</f>
        <v/>
      </c>
      <c r="R273" s="4" t="str">
        <f>HYPERLINK("http://141.218.60.56/~jnz1568/getInfo.php?workbook=04_01.xlsx&amp;sheet=A0&amp;row=273&amp;col=18&amp;number=&amp;sourceID=12","")</f>
        <v/>
      </c>
      <c r="S273" s="4" t="str">
        <f>HYPERLINK("http://141.218.60.56/~jnz1568/getInfo.php?workbook=04_01.xlsx&amp;sheet=A0&amp;row=273&amp;col=19&amp;number=&amp;sourceID=12","")</f>
        <v/>
      </c>
      <c r="T273" s="4" t="str">
        <f>HYPERLINK("http://141.218.60.56/~jnz1568/getInfo.php?workbook=04_01.xlsx&amp;sheet=A0&amp;row=273&amp;col=20&amp;number=1.2198e-05&amp;sourceID=12","1.2198e-05")</f>
        <v>1.2198e-05</v>
      </c>
      <c r="U273" s="4" t="str">
        <f>HYPERLINK("http://141.218.60.56/~jnz1568/getInfo.php?workbook=04_01.xlsx&amp;sheet=A0&amp;row=273&amp;col=21&amp;number=&amp;sourceID=20","")</f>
        <v/>
      </c>
    </row>
    <row r="274" spans="1:21">
      <c r="A274" s="3">
        <v>4</v>
      </c>
      <c r="B274" s="3">
        <v>1</v>
      </c>
      <c r="C274" s="3">
        <v>25</v>
      </c>
      <c r="D274" s="3">
        <v>12</v>
      </c>
      <c r="E274" s="3">
        <f>((1/(INDEX(E0!J$4:J$28,C274,1)-INDEX(E0!J$4:J$28,D274,1))))*100000000</f>
        <v>0</v>
      </c>
      <c r="F274" s="4" t="str">
        <f>HYPERLINK("http://141.218.60.56/~jnz1568/getInfo.php?workbook=04_01.xlsx&amp;sheet=A0&amp;row=274&amp;col=6&amp;number=&amp;sourceID=18","")</f>
        <v/>
      </c>
      <c r="G274" s="4" t="str">
        <f>HYPERLINK("http://141.218.60.56/~jnz1568/getInfo.php?workbook=04_01.xlsx&amp;sheet=A0&amp;row=274&amp;col=7&amp;number==&amp;sourceID=11","=")</f>
        <v>=</v>
      </c>
      <c r="H274" s="4" t="str">
        <f>HYPERLINK("http://141.218.60.56/~jnz1568/getInfo.php?workbook=04_01.xlsx&amp;sheet=A0&amp;row=274&amp;col=8&amp;number=&amp;sourceID=11","")</f>
        <v/>
      </c>
      <c r="I274" s="4" t="str">
        <f>HYPERLINK("http://141.218.60.56/~jnz1568/getInfo.php?workbook=04_01.xlsx&amp;sheet=A0&amp;row=274&amp;col=9&amp;number=&amp;sourceID=11","")</f>
        <v/>
      </c>
      <c r="J274" s="4" t="str">
        <f>HYPERLINK("http://141.218.60.56/~jnz1568/getInfo.php?workbook=04_01.xlsx&amp;sheet=A0&amp;row=274&amp;col=10&amp;number=&amp;sourceID=11","")</f>
        <v/>
      </c>
      <c r="K274" s="4" t="str">
        <f>HYPERLINK("http://141.218.60.56/~jnz1568/getInfo.php?workbook=04_01.xlsx&amp;sheet=A0&amp;row=274&amp;col=11&amp;number=&amp;sourceID=11","")</f>
        <v/>
      </c>
      <c r="L274" s="4" t="str">
        <f>HYPERLINK("http://141.218.60.56/~jnz1568/getInfo.php?workbook=04_01.xlsx&amp;sheet=A0&amp;row=274&amp;col=12&amp;number=&amp;sourceID=11","")</f>
        <v/>
      </c>
      <c r="M274" s="4" t="str">
        <f>HYPERLINK("http://141.218.60.56/~jnz1568/getInfo.php?workbook=04_01.xlsx&amp;sheet=A0&amp;row=274&amp;col=13&amp;number=3.227e-08&amp;sourceID=11","3.227e-08")</f>
        <v>3.227e-08</v>
      </c>
      <c r="N274" s="4" t="str">
        <f>HYPERLINK("http://141.218.60.56/~jnz1568/getInfo.php?workbook=04_01.xlsx&amp;sheet=A0&amp;row=274&amp;col=14&amp;number=3.2272e-08&amp;sourceID=12","3.2272e-08")</f>
        <v>3.2272e-08</v>
      </c>
      <c r="O274" s="4" t="str">
        <f>HYPERLINK("http://141.218.60.56/~jnz1568/getInfo.php?workbook=04_01.xlsx&amp;sheet=A0&amp;row=274&amp;col=15&amp;number=&amp;sourceID=12","")</f>
        <v/>
      </c>
      <c r="P274" s="4" t="str">
        <f>HYPERLINK("http://141.218.60.56/~jnz1568/getInfo.php?workbook=04_01.xlsx&amp;sheet=A0&amp;row=274&amp;col=16&amp;number=&amp;sourceID=12","")</f>
        <v/>
      </c>
      <c r="Q274" s="4" t="str">
        <f>HYPERLINK("http://141.218.60.56/~jnz1568/getInfo.php?workbook=04_01.xlsx&amp;sheet=A0&amp;row=274&amp;col=17&amp;number=&amp;sourceID=12","")</f>
        <v/>
      </c>
      <c r="R274" s="4" t="str">
        <f>HYPERLINK("http://141.218.60.56/~jnz1568/getInfo.php?workbook=04_01.xlsx&amp;sheet=A0&amp;row=274&amp;col=18&amp;number=&amp;sourceID=12","")</f>
        <v/>
      </c>
      <c r="S274" s="4" t="str">
        <f>HYPERLINK("http://141.218.60.56/~jnz1568/getInfo.php?workbook=04_01.xlsx&amp;sheet=A0&amp;row=274&amp;col=19&amp;number=&amp;sourceID=12","")</f>
        <v/>
      </c>
      <c r="T274" s="4" t="str">
        <f>HYPERLINK("http://141.218.60.56/~jnz1568/getInfo.php?workbook=04_01.xlsx&amp;sheet=A0&amp;row=274&amp;col=20&amp;number=3.2272e-08&amp;sourceID=12","3.2272e-08")</f>
        <v>3.2272e-08</v>
      </c>
      <c r="U274" s="4" t="str">
        <f>HYPERLINK("http://141.218.60.56/~jnz1568/getInfo.php?workbook=04_01.xlsx&amp;sheet=A0&amp;row=274&amp;col=21&amp;number=&amp;sourceID=20","")</f>
        <v/>
      </c>
    </row>
    <row r="275" spans="1:21">
      <c r="A275" s="3">
        <v>4</v>
      </c>
      <c r="B275" s="3">
        <v>1</v>
      </c>
      <c r="C275" s="3">
        <v>25</v>
      </c>
      <c r="D275" s="3">
        <v>13</v>
      </c>
      <c r="E275" s="3">
        <f>((1/(INDEX(E0!J$4:J$28,C275,1)-INDEX(E0!J$4:J$28,D275,1))))*100000000</f>
        <v>0</v>
      </c>
      <c r="F275" s="4" t="str">
        <f>HYPERLINK("http://141.218.60.56/~jnz1568/getInfo.php?workbook=04_01.xlsx&amp;sheet=A0&amp;row=275&amp;col=6&amp;number=&amp;sourceID=18","")</f>
        <v/>
      </c>
      <c r="G275" s="4" t="str">
        <f>HYPERLINK("http://141.218.60.56/~jnz1568/getInfo.php?workbook=04_01.xlsx&amp;sheet=A0&amp;row=275&amp;col=7&amp;number==&amp;sourceID=11","=")</f>
        <v>=</v>
      </c>
      <c r="H275" s="4" t="str">
        <f>HYPERLINK("http://141.218.60.56/~jnz1568/getInfo.php?workbook=04_01.xlsx&amp;sheet=A0&amp;row=275&amp;col=8&amp;number=&amp;sourceID=11","")</f>
        <v/>
      </c>
      <c r="I275" s="4" t="str">
        <f>HYPERLINK("http://141.218.60.56/~jnz1568/getInfo.php?workbook=04_01.xlsx&amp;sheet=A0&amp;row=275&amp;col=9&amp;number=&amp;sourceID=11","")</f>
        <v/>
      </c>
      <c r="J275" s="4" t="str">
        <f>HYPERLINK("http://141.218.60.56/~jnz1568/getInfo.php?workbook=04_01.xlsx&amp;sheet=A0&amp;row=275&amp;col=10&amp;number=0.0085549&amp;sourceID=11","0.0085549")</f>
        <v>0.0085549</v>
      </c>
      <c r="K275" s="4" t="str">
        <f>HYPERLINK("http://141.218.60.56/~jnz1568/getInfo.php?workbook=04_01.xlsx&amp;sheet=A0&amp;row=275&amp;col=11&amp;number=&amp;sourceID=11","")</f>
        <v/>
      </c>
      <c r="L275" s="4" t="str">
        <f>HYPERLINK("http://141.218.60.56/~jnz1568/getInfo.php?workbook=04_01.xlsx&amp;sheet=A0&amp;row=275&amp;col=12&amp;number=&amp;sourceID=11","")</f>
        <v/>
      </c>
      <c r="M275" s="4" t="str">
        <f>HYPERLINK("http://141.218.60.56/~jnz1568/getInfo.php?workbook=04_01.xlsx&amp;sheet=A0&amp;row=275&amp;col=13&amp;number=&amp;sourceID=11","")</f>
        <v/>
      </c>
      <c r="N275" s="4" t="str">
        <f>HYPERLINK("http://141.218.60.56/~jnz1568/getInfo.php?workbook=04_01.xlsx&amp;sheet=A0&amp;row=275&amp;col=14&amp;number=0.0085554&amp;sourceID=12","0.0085554")</f>
        <v>0.0085554</v>
      </c>
      <c r="O275" s="4" t="str">
        <f>HYPERLINK("http://141.218.60.56/~jnz1568/getInfo.php?workbook=04_01.xlsx&amp;sheet=A0&amp;row=275&amp;col=15&amp;number=&amp;sourceID=12","")</f>
        <v/>
      </c>
      <c r="P275" s="4" t="str">
        <f>HYPERLINK("http://141.218.60.56/~jnz1568/getInfo.php?workbook=04_01.xlsx&amp;sheet=A0&amp;row=275&amp;col=16&amp;number=&amp;sourceID=12","")</f>
        <v/>
      </c>
      <c r="Q275" s="4" t="str">
        <f>HYPERLINK("http://141.218.60.56/~jnz1568/getInfo.php?workbook=04_01.xlsx&amp;sheet=A0&amp;row=275&amp;col=17&amp;number=0.0085554&amp;sourceID=12","0.0085554")</f>
        <v>0.0085554</v>
      </c>
      <c r="R275" s="4" t="str">
        <f>HYPERLINK("http://141.218.60.56/~jnz1568/getInfo.php?workbook=04_01.xlsx&amp;sheet=A0&amp;row=275&amp;col=18&amp;number=&amp;sourceID=12","")</f>
        <v/>
      </c>
      <c r="S275" s="4" t="str">
        <f>HYPERLINK("http://141.218.60.56/~jnz1568/getInfo.php?workbook=04_01.xlsx&amp;sheet=A0&amp;row=275&amp;col=19&amp;number=&amp;sourceID=12","")</f>
        <v/>
      </c>
      <c r="T275" s="4" t="str">
        <f>HYPERLINK("http://141.218.60.56/~jnz1568/getInfo.php?workbook=04_01.xlsx&amp;sheet=A0&amp;row=275&amp;col=20&amp;number=&amp;sourceID=12","")</f>
        <v/>
      </c>
      <c r="U275" s="4" t="str">
        <f>HYPERLINK("http://141.218.60.56/~jnz1568/getInfo.php?workbook=04_01.xlsx&amp;sheet=A0&amp;row=275&amp;col=21&amp;number=&amp;sourceID=20","")</f>
        <v/>
      </c>
    </row>
    <row r="276" spans="1:21">
      <c r="A276" s="3">
        <v>4</v>
      </c>
      <c r="B276" s="3">
        <v>1</v>
      </c>
      <c r="C276" s="3">
        <v>25</v>
      </c>
      <c r="D276" s="3">
        <v>14</v>
      </c>
      <c r="E276" s="3">
        <f>((1/(INDEX(E0!J$4:J$28,C276,1)-INDEX(E0!J$4:J$28,D276,1))))*100000000</f>
        <v>0</v>
      </c>
      <c r="F276" s="4" t="str">
        <f>HYPERLINK("http://141.218.60.56/~jnz1568/getInfo.php?workbook=04_01.xlsx&amp;sheet=A0&amp;row=276&amp;col=6&amp;number=&amp;sourceID=18","")</f>
        <v/>
      </c>
      <c r="G276" s="4" t="str">
        <f>HYPERLINK("http://141.218.60.56/~jnz1568/getInfo.php?workbook=04_01.xlsx&amp;sheet=A0&amp;row=276&amp;col=7&amp;number==&amp;sourceID=11","=")</f>
        <v>=</v>
      </c>
      <c r="H276" s="4" t="str">
        <f>HYPERLINK("http://141.218.60.56/~jnz1568/getInfo.php?workbook=04_01.xlsx&amp;sheet=A0&amp;row=276&amp;col=8&amp;number=&amp;sourceID=11","")</f>
        <v/>
      </c>
      <c r="I276" s="4" t="str">
        <f>HYPERLINK("http://141.218.60.56/~jnz1568/getInfo.php?workbook=04_01.xlsx&amp;sheet=A0&amp;row=276&amp;col=9&amp;number=&amp;sourceID=11","")</f>
        <v/>
      </c>
      <c r="J276" s="4" t="str">
        <f>HYPERLINK("http://141.218.60.56/~jnz1568/getInfo.php?workbook=04_01.xlsx&amp;sheet=A0&amp;row=276&amp;col=10&amp;number=0.00039962&amp;sourceID=11","0.00039962")</f>
        <v>0.00039962</v>
      </c>
      <c r="K276" s="4" t="str">
        <f>HYPERLINK("http://141.218.60.56/~jnz1568/getInfo.php?workbook=04_01.xlsx&amp;sheet=A0&amp;row=276&amp;col=11&amp;number=&amp;sourceID=11","")</f>
        <v/>
      </c>
      <c r="L276" s="4" t="str">
        <f>HYPERLINK("http://141.218.60.56/~jnz1568/getInfo.php?workbook=04_01.xlsx&amp;sheet=A0&amp;row=276&amp;col=12&amp;number=0.0057216&amp;sourceID=11","0.0057216")</f>
        <v>0.0057216</v>
      </c>
      <c r="M276" s="4" t="str">
        <f>HYPERLINK("http://141.218.60.56/~jnz1568/getInfo.php?workbook=04_01.xlsx&amp;sheet=A0&amp;row=276&amp;col=13&amp;number=&amp;sourceID=11","")</f>
        <v/>
      </c>
      <c r="N276" s="4" t="str">
        <f>HYPERLINK("http://141.218.60.56/~jnz1568/getInfo.php?workbook=04_01.xlsx&amp;sheet=A0&amp;row=276&amp;col=14&amp;number=0.0061215&amp;sourceID=12","0.0061215")</f>
        <v>0.0061215</v>
      </c>
      <c r="O276" s="4" t="str">
        <f>HYPERLINK("http://141.218.60.56/~jnz1568/getInfo.php?workbook=04_01.xlsx&amp;sheet=A0&amp;row=276&amp;col=15&amp;number=&amp;sourceID=12","")</f>
        <v/>
      </c>
      <c r="P276" s="4" t="str">
        <f>HYPERLINK("http://141.218.60.56/~jnz1568/getInfo.php?workbook=04_01.xlsx&amp;sheet=A0&amp;row=276&amp;col=16&amp;number=&amp;sourceID=12","")</f>
        <v/>
      </c>
      <c r="Q276" s="4" t="str">
        <f>HYPERLINK("http://141.218.60.56/~jnz1568/getInfo.php?workbook=04_01.xlsx&amp;sheet=A0&amp;row=276&amp;col=17&amp;number=0.00039964&amp;sourceID=12","0.00039964")</f>
        <v>0.00039964</v>
      </c>
      <c r="R276" s="4" t="str">
        <f>HYPERLINK("http://141.218.60.56/~jnz1568/getInfo.php?workbook=04_01.xlsx&amp;sheet=A0&amp;row=276&amp;col=18&amp;number=&amp;sourceID=12","")</f>
        <v/>
      </c>
      <c r="S276" s="4" t="str">
        <f>HYPERLINK("http://141.218.60.56/~jnz1568/getInfo.php?workbook=04_01.xlsx&amp;sheet=A0&amp;row=276&amp;col=19&amp;number=0.0057219&amp;sourceID=12","0.0057219")</f>
        <v>0.0057219</v>
      </c>
      <c r="T276" s="4" t="str">
        <f>HYPERLINK("http://141.218.60.56/~jnz1568/getInfo.php?workbook=04_01.xlsx&amp;sheet=A0&amp;row=276&amp;col=20&amp;number=&amp;sourceID=12","")</f>
        <v/>
      </c>
      <c r="U276" s="4" t="str">
        <f>HYPERLINK("http://141.218.60.56/~jnz1568/getInfo.php?workbook=04_01.xlsx&amp;sheet=A0&amp;row=276&amp;col=21&amp;number=&amp;sourceID=20","")</f>
        <v/>
      </c>
    </row>
    <row r="277" spans="1:21">
      <c r="A277" s="3">
        <v>4</v>
      </c>
      <c r="B277" s="3">
        <v>1</v>
      </c>
      <c r="C277" s="3">
        <v>25</v>
      </c>
      <c r="D277" s="3">
        <v>15</v>
      </c>
      <c r="E277" s="3">
        <f>((1/(INDEX(E0!J$4:J$28,C277,1)-INDEX(E0!J$4:J$28,D277,1))))*100000000</f>
        <v>0</v>
      </c>
      <c r="F277" s="4" t="str">
        <f>HYPERLINK("http://141.218.60.56/~jnz1568/getInfo.php?workbook=04_01.xlsx&amp;sheet=A0&amp;row=277&amp;col=6&amp;number=&amp;sourceID=18","")</f>
        <v/>
      </c>
      <c r="G277" s="4" t="str">
        <f>HYPERLINK("http://141.218.60.56/~jnz1568/getInfo.php?workbook=04_01.xlsx&amp;sheet=A0&amp;row=277&amp;col=7&amp;number==&amp;sourceID=11","=")</f>
        <v>=</v>
      </c>
      <c r="H277" s="4" t="str">
        <f>HYPERLINK("http://141.218.60.56/~jnz1568/getInfo.php?workbook=04_01.xlsx&amp;sheet=A0&amp;row=277&amp;col=8&amp;number=&amp;sourceID=11","")</f>
        <v/>
      </c>
      <c r="I277" s="4" t="str">
        <f>HYPERLINK("http://141.218.60.56/~jnz1568/getInfo.php?workbook=04_01.xlsx&amp;sheet=A0&amp;row=277&amp;col=9&amp;number=4094.8&amp;sourceID=11","4094.8")</f>
        <v>4094.8</v>
      </c>
      <c r="J277" s="4" t="str">
        <f>HYPERLINK("http://141.218.60.56/~jnz1568/getInfo.php?workbook=04_01.xlsx&amp;sheet=A0&amp;row=277&amp;col=10&amp;number=&amp;sourceID=11","")</f>
        <v/>
      </c>
      <c r="K277" s="4" t="str">
        <f>HYPERLINK("http://141.218.60.56/~jnz1568/getInfo.php?workbook=04_01.xlsx&amp;sheet=A0&amp;row=277&amp;col=11&amp;number=&amp;sourceID=11","")</f>
        <v/>
      </c>
      <c r="L277" s="4" t="str">
        <f>HYPERLINK("http://141.218.60.56/~jnz1568/getInfo.php?workbook=04_01.xlsx&amp;sheet=A0&amp;row=277&amp;col=12&amp;number=&amp;sourceID=11","")</f>
        <v/>
      </c>
      <c r="M277" s="4" t="str">
        <f>HYPERLINK("http://141.218.60.56/~jnz1568/getInfo.php?workbook=04_01.xlsx&amp;sheet=A0&amp;row=277&amp;col=13&amp;number=1.0512e-07&amp;sourceID=11","1.0512e-07")</f>
        <v>1.0512e-07</v>
      </c>
      <c r="N277" s="4" t="str">
        <f>HYPERLINK("http://141.218.60.56/~jnz1568/getInfo.php?workbook=04_01.xlsx&amp;sheet=A0&amp;row=277&amp;col=14&amp;number=4095.1&amp;sourceID=12","4095.1")</f>
        <v>4095.1</v>
      </c>
      <c r="O277" s="4" t="str">
        <f>HYPERLINK("http://141.218.60.56/~jnz1568/getInfo.php?workbook=04_01.xlsx&amp;sheet=A0&amp;row=277&amp;col=15&amp;number=&amp;sourceID=12","")</f>
        <v/>
      </c>
      <c r="P277" s="4" t="str">
        <f>HYPERLINK("http://141.218.60.56/~jnz1568/getInfo.php?workbook=04_01.xlsx&amp;sheet=A0&amp;row=277&amp;col=16&amp;number=4095.1&amp;sourceID=12","4095.1")</f>
        <v>4095.1</v>
      </c>
      <c r="Q277" s="4" t="str">
        <f>HYPERLINK("http://141.218.60.56/~jnz1568/getInfo.php?workbook=04_01.xlsx&amp;sheet=A0&amp;row=277&amp;col=17&amp;number=&amp;sourceID=12","")</f>
        <v/>
      </c>
      <c r="R277" s="4" t="str">
        <f>HYPERLINK("http://141.218.60.56/~jnz1568/getInfo.php?workbook=04_01.xlsx&amp;sheet=A0&amp;row=277&amp;col=18&amp;number=&amp;sourceID=12","")</f>
        <v/>
      </c>
      <c r="S277" s="4" t="str">
        <f>HYPERLINK("http://141.218.60.56/~jnz1568/getInfo.php?workbook=04_01.xlsx&amp;sheet=A0&amp;row=277&amp;col=19&amp;number=&amp;sourceID=12","")</f>
        <v/>
      </c>
      <c r="T277" s="4" t="str">
        <f>HYPERLINK("http://141.218.60.56/~jnz1568/getInfo.php?workbook=04_01.xlsx&amp;sheet=A0&amp;row=277&amp;col=20&amp;number=1.0512e-07&amp;sourceID=12","1.0512e-07")</f>
        <v>1.0512e-07</v>
      </c>
      <c r="U277" s="4" t="str">
        <f>HYPERLINK("http://141.218.60.56/~jnz1568/getInfo.php?workbook=04_01.xlsx&amp;sheet=A0&amp;row=277&amp;col=21&amp;number=&amp;sourceID=20","")</f>
        <v/>
      </c>
    </row>
    <row r="278" spans="1:21">
      <c r="A278" s="3">
        <v>4</v>
      </c>
      <c r="B278" s="3">
        <v>1</v>
      </c>
      <c r="C278" s="3">
        <v>25</v>
      </c>
      <c r="D278" s="3">
        <v>16</v>
      </c>
      <c r="E278" s="3">
        <f>((1/(INDEX(E0!J$4:J$28,C278,1)-INDEX(E0!J$4:J$28,D278,1))))*100000000</f>
        <v>0</v>
      </c>
      <c r="F278" s="4" t="str">
        <f>HYPERLINK("http://141.218.60.56/~jnz1568/getInfo.php?workbook=04_01.xlsx&amp;sheet=A0&amp;row=278&amp;col=6&amp;number=&amp;sourceID=18","")</f>
        <v/>
      </c>
      <c r="G278" s="4" t="str">
        <f>HYPERLINK("http://141.218.60.56/~jnz1568/getInfo.php?workbook=04_01.xlsx&amp;sheet=A0&amp;row=278&amp;col=7&amp;number==&amp;sourceID=11","=")</f>
        <v>=</v>
      </c>
      <c r="H278" s="4" t="str">
        <f>HYPERLINK("http://141.218.60.56/~jnz1568/getInfo.php?workbook=04_01.xlsx&amp;sheet=A0&amp;row=278&amp;col=8&amp;number=1089600000&amp;sourceID=11","1089600000")</f>
        <v>1089600000</v>
      </c>
      <c r="I278" s="4" t="str">
        <f>HYPERLINK("http://141.218.60.56/~jnz1568/getInfo.php?workbook=04_01.xlsx&amp;sheet=A0&amp;row=278&amp;col=9&amp;number=&amp;sourceID=11","")</f>
        <v/>
      </c>
      <c r="J278" s="4" t="str">
        <f>HYPERLINK("http://141.218.60.56/~jnz1568/getInfo.php?workbook=04_01.xlsx&amp;sheet=A0&amp;row=278&amp;col=10&amp;number=0.0023972&amp;sourceID=11","0.0023972")</f>
        <v>0.0023972</v>
      </c>
      <c r="K278" s="4" t="str">
        <f>HYPERLINK("http://141.218.60.56/~jnz1568/getInfo.php?workbook=04_01.xlsx&amp;sheet=A0&amp;row=278&amp;col=11&amp;number=&amp;sourceID=11","")</f>
        <v/>
      </c>
      <c r="L278" s="4" t="str">
        <f>HYPERLINK("http://141.218.60.56/~jnz1568/getInfo.php?workbook=04_01.xlsx&amp;sheet=A0&amp;row=278&amp;col=12&amp;number=0.053094&amp;sourceID=11","0.053094")</f>
        <v>0.053094</v>
      </c>
      <c r="M278" s="4" t="str">
        <f>HYPERLINK("http://141.218.60.56/~jnz1568/getInfo.php?workbook=04_01.xlsx&amp;sheet=A0&amp;row=278&amp;col=13&amp;number=&amp;sourceID=11","")</f>
        <v/>
      </c>
      <c r="N278" s="4" t="str">
        <f>HYPERLINK("http://141.218.60.56/~jnz1568/getInfo.php?workbook=04_01.xlsx&amp;sheet=A0&amp;row=278&amp;col=14&amp;number=1089700000&amp;sourceID=12","1089700000")</f>
        <v>1089700000</v>
      </c>
      <c r="O278" s="4" t="str">
        <f>HYPERLINK("http://141.218.60.56/~jnz1568/getInfo.php?workbook=04_01.xlsx&amp;sheet=A0&amp;row=278&amp;col=15&amp;number=1089700000&amp;sourceID=12","1089700000")</f>
        <v>1089700000</v>
      </c>
      <c r="P278" s="4" t="str">
        <f>HYPERLINK("http://141.218.60.56/~jnz1568/getInfo.php?workbook=04_01.xlsx&amp;sheet=A0&amp;row=278&amp;col=16&amp;number=&amp;sourceID=12","")</f>
        <v/>
      </c>
      <c r="Q278" s="4" t="str">
        <f>HYPERLINK("http://141.218.60.56/~jnz1568/getInfo.php?workbook=04_01.xlsx&amp;sheet=A0&amp;row=278&amp;col=17&amp;number=0.0023974&amp;sourceID=12","0.0023974")</f>
        <v>0.0023974</v>
      </c>
      <c r="R278" s="4" t="str">
        <f>HYPERLINK("http://141.218.60.56/~jnz1568/getInfo.php?workbook=04_01.xlsx&amp;sheet=A0&amp;row=278&amp;col=18&amp;number=&amp;sourceID=12","")</f>
        <v/>
      </c>
      <c r="S278" s="4" t="str">
        <f>HYPERLINK("http://141.218.60.56/~jnz1568/getInfo.php?workbook=04_01.xlsx&amp;sheet=A0&amp;row=278&amp;col=19&amp;number=0.053097&amp;sourceID=12","0.053097")</f>
        <v>0.053097</v>
      </c>
      <c r="T278" s="4" t="str">
        <f>HYPERLINK("http://141.218.60.56/~jnz1568/getInfo.php?workbook=04_01.xlsx&amp;sheet=A0&amp;row=278&amp;col=20&amp;number=&amp;sourceID=12","")</f>
        <v/>
      </c>
      <c r="U278" s="4" t="str">
        <f>HYPERLINK("http://141.218.60.56/~jnz1568/getInfo.php?workbook=04_01.xlsx&amp;sheet=A0&amp;row=278&amp;col=21&amp;number=&amp;sourceID=20","")</f>
        <v/>
      </c>
    </row>
    <row r="279" spans="1:21">
      <c r="A279" s="3">
        <v>4</v>
      </c>
      <c r="B279" s="3">
        <v>1</v>
      </c>
      <c r="C279" s="3">
        <v>25</v>
      </c>
      <c r="D279" s="3">
        <v>19</v>
      </c>
      <c r="E279" s="3">
        <f>((1/(INDEX(E0!J$4:J$28,C279,1)-INDEX(E0!J$4:J$28,D279,1))))*100000000</f>
        <v>0</v>
      </c>
      <c r="F279" s="4" t="str">
        <f>HYPERLINK("http://141.218.60.56/~jnz1568/getInfo.php?workbook=04_01.xlsx&amp;sheet=A0&amp;row=279&amp;col=6&amp;number=&amp;sourceID=18","")</f>
        <v/>
      </c>
      <c r="G279" s="4" t="str">
        <f>HYPERLINK("http://141.218.60.56/~jnz1568/getInfo.php?workbook=04_01.xlsx&amp;sheet=A0&amp;row=279&amp;col=7&amp;number==&amp;sourceID=11","=")</f>
        <v>=</v>
      </c>
      <c r="H279" s="4" t="str">
        <f>HYPERLINK("http://141.218.60.56/~jnz1568/getInfo.php?workbook=04_01.xlsx&amp;sheet=A0&amp;row=279&amp;col=8&amp;number=&amp;sourceID=11","")</f>
        <v/>
      </c>
      <c r="I279" s="4" t="str">
        <f>HYPERLINK("http://141.218.60.56/~jnz1568/getInfo.php?workbook=04_01.xlsx&amp;sheet=A0&amp;row=279&amp;col=9&amp;number=&amp;sourceID=11","")</f>
        <v/>
      </c>
      <c r="J279" s="4" t="str">
        <f>HYPERLINK("http://141.218.60.56/~jnz1568/getInfo.php?workbook=04_01.xlsx&amp;sheet=A0&amp;row=279&amp;col=10&amp;number=&amp;sourceID=11","")</f>
        <v/>
      </c>
      <c r="K279" s="4" t="str">
        <f>HYPERLINK("http://141.218.60.56/~jnz1568/getInfo.php?workbook=04_01.xlsx&amp;sheet=A0&amp;row=279&amp;col=11&amp;number=&amp;sourceID=11","")</f>
        <v/>
      </c>
      <c r="L279" s="4" t="str">
        <f>HYPERLINK("http://141.218.60.56/~jnz1568/getInfo.php?workbook=04_01.xlsx&amp;sheet=A0&amp;row=279&amp;col=12&amp;number=&amp;sourceID=11","")</f>
        <v/>
      </c>
      <c r="M279" s="4" t="str">
        <f>HYPERLINK("http://141.218.60.56/~jnz1568/getInfo.php?workbook=04_01.xlsx&amp;sheet=A0&amp;row=279&amp;col=13&amp;number=0&amp;sourceID=11","0")</f>
        <v>0</v>
      </c>
      <c r="N279" s="4" t="str">
        <f>HYPERLINK("http://141.218.60.56/~jnz1568/getInfo.php?workbook=04_01.xlsx&amp;sheet=A0&amp;row=279&amp;col=14&amp;number=0&amp;sourceID=12","0")</f>
        <v>0</v>
      </c>
      <c r="O279" s="4" t="str">
        <f>HYPERLINK("http://141.218.60.56/~jnz1568/getInfo.php?workbook=04_01.xlsx&amp;sheet=A0&amp;row=279&amp;col=15&amp;number=&amp;sourceID=12","")</f>
        <v/>
      </c>
      <c r="P279" s="4" t="str">
        <f>HYPERLINK("http://141.218.60.56/~jnz1568/getInfo.php?workbook=04_01.xlsx&amp;sheet=A0&amp;row=279&amp;col=16&amp;number=&amp;sourceID=12","")</f>
        <v/>
      </c>
      <c r="Q279" s="4" t="str">
        <f>HYPERLINK("http://141.218.60.56/~jnz1568/getInfo.php?workbook=04_01.xlsx&amp;sheet=A0&amp;row=279&amp;col=17&amp;number=&amp;sourceID=12","")</f>
        <v/>
      </c>
      <c r="R279" s="4" t="str">
        <f>HYPERLINK("http://141.218.60.56/~jnz1568/getInfo.php?workbook=04_01.xlsx&amp;sheet=A0&amp;row=279&amp;col=18&amp;number=&amp;sourceID=12","")</f>
        <v/>
      </c>
      <c r="S279" s="4" t="str">
        <f>HYPERLINK("http://141.218.60.56/~jnz1568/getInfo.php?workbook=04_01.xlsx&amp;sheet=A0&amp;row=279&amp;col=19&amp;number=&amp;sourceID=12","")</f>
        <v/>
      </c>
      <c r="T279" s="4" t="str">
        <f>HYPERLINK("http://141.218.60.56/~jnz1568/getInfo.php?workbook=04_01.xlsx&amp;sheet=A0&amp;row=279&amp;col=20&amp;number=0&amp;sourceID=12","0")</f>
        <v>0</v>
      </c>
      <c r="U279" s="4" t="str">
        <f>HYPERLINK("http://141.218.60.56/~jnz1568/getInfo.php?workbook=04_01.xlsx&amp;sheet=A0&amp;row=279&amp;col=21&amp;number=&amp;sourceID=20","")</f>
        <v/>
      </c>
    </row>
    <row r="280" spans="1:21">
      <c r="A280" s="3">
        <v>4</v>
      </c>
      <c r="B280" s="3">
        <v>1</v>
      </c>
      <c r="C280" s="3">
        <v>25</v>
      </c>
      <c r="D280" s="3">
        <v>20</v>
      </c>
      <c r="E280" s="3">
        <f>((1/(INDEX(E0!J$4:J$28,C280,1)-INDEX(E0!J$4:J$28,D280,1))))*100000000</f>
        <v>0</v>
      </c>
      <c r="F280" s="4" t="str">
        <f>HYPERLINK("http://141.218.60.56/~jnz1568/getInfo.php?workbook=04_01.xlsx&amp;sheet=A0&amp;row=280&amp;col=6&amp;number=&amp;sourceID=18","")</f>
        <v/>
      </c>
      <c r="G280" s="4" t="str">
        <f>HYPERLINK("http://141.218.60.56/~jnz1568/getInfo.php?workbook=04_01.xlsx&amp;sheet=A0&amp;row=280&amp;col=7&amp;number==&amp;sourceID=11","=")</f>
        <v>=</v>
      </c>
      <c r="H280" s="4" t="str">
        <f>HYPERLINK("http://141.218.60.56/~jnz1568/getInfo.php?workbook=04_01.xlsx&amp;sheet=A0&amp;row=280&amp;col=8&amp;number=&amp;sourceID=11","")</f>
        <v/>
      </c>
      <c r="I280" s="4" t="str">
        <f>HYPERLINK("http://141.218.60.56/~jnz1568/getInfo.php?workbook=04_01.xlsx&amp;sheet=A0&amp;row=280&amp;col=9&amp;number=&amp;sourceID=11","")</f>
        <v/>
      </c>
      <c r="J280" s="4" t="str">
        <f>HYPERLINK("http://141.218.60.56/~jnz1568/getInfo.php?workbook=04_01.xlsx&amp;sheet=A0&amp;row=280&amp;col=10&amp;number=0&amp;sourceID=11","0")</f>
        <v>0</v>
      </c>
      <c r="K280" s="4" t="str">
        <f>HYPERLINK("http://141.218.60.56/~jnz1568/getInfo.php?workbook=04_01.xlsx&amp;sheet=A0&amp;row=280&amp;col=11&amp;number=&amp;sourceID=11","")</f>
        <v/>
      </c>
      <c r="L280" s="4" t="str">
        <f>HYPERLINK("http://141.218.60.56/~jnz1568/getInfo.php?workbook=04_01.xlsx&amp;sheet=A0&amp;row=280&amp;col=12&amp;number=&amp;sourceID=11","")</f>
        <v/>
      </c>
      <c r="M280" s="4" t="str">
        <f>HYPERLINK("http://141.218.60.56/~jnz1568/getInfo.php?workbook=04_01.xlsx&amp;sheet=A0&amp;row=280&amp;col=13&amp;number=&amp;sourceID=11","")</f>
        <v/>
      </c>
      <c r="N280" s="4" t="str">
        <f>HYPERLINK("http://141.218.60.56/~jnz1568/getInfo.php?workbook=04_01.xlsx&amp;sheet=A0&amp;row=280&amp;col=14&amp;number=0&amp;sourceID=12","0")</f>
        <v>0</v>
      </c>
      <c r="O280" s="4" t="str">
        <f>HYPERLINK("http://141.218.60.56/~jnz1568/getInfo.php?workbook=04_01.xlsx&amp;sheet=A0&amp;row=280&amp;col=15&amp;number=&amp;sourceID=12","")</f>
        <v/>
      </c>
      <c r="P280" s="4" t="str">
        <f>HYPERLINK("http://141.218.60.56/~jnz1568/getInfo.php?workbook=04_01.xlsx&amp;sheet=A0&amp;row=280&amp;col=16&amp;number=&amp;sourceID=12","")</f>
        <v/>
      </c>
      <c r="Q280" s="4" t="str">
        <f>HYPERLINK("http://141.218.60.56/~jnz1568/getInfo.php?workbook=04_01.xlsx&amp;sheet=A0&amp;row=280&amp;col=17&amp;number=0&amp;sourceID=12","0")</f>
        <v>0</v>
      </c>
      <c r="R280" s="4" t="str">
        <f>HYPERLINK("http://141.218.60.56/~jnz1568/getInfo.php?workbook=04_01.xlsx&amp;sheet=A0&amp;row=280&amp;col=18&amp;number=&amp;sourceID=12","")</f>
        <v/>
      </c>
      <c r="S280" s="4" t="str">
        <f>HYPERLINK("http://141.218.60.56/~jnz1568/getInfo.php?workbook=04_01.xlsx&amp;sheet=A0&amp;row=280&amp;col=19&amp;number=&amp;sourceID=12","")</f>
        <v/>
      </c>
      <c r="T280" s="4" t="str">
        <f>HYPERLINK("http://141.218.60.56/~jnz1568/getInfo.php?workbook=04_01.xlsx&amp;sheet=A0&amp;row=280&amp;col=20&amp;number=&amp;sourceID=12","")</f>
        <v/>
      </c>
      <c r="U280" s="4" t="str">
        <f>HYPERLINK("http://141.218.60.56/~jnz1568/getInfo.php?workbook=04_01.xlsx&amp;sheet=A0&amp;row=280&amp;col=21&amp;number=&amp;sourceID=20","")</f>
        <v/>
      </c>
    </row>
    <row r="281" spans="1:21">
      <c r="A281" s="3">
        <v>4</v>
      </c>
      <c r="B281" s="3">
        <v>1</v>
      </c>
      <c r="C281" s="3">
        <v>25</v>
      </c>
      <c r="D281" s="3">
        <v>21</v>
      </c>
      <c r="E281" s="3">
        <f>((1/(INDEX(E0!J$4:J$28,C281,1)-INDEX(E0!J$4:J$28,D281,1))))*100000000</f>
        <v>0</v>
      </c>
      <c r="F281" s="4" t="str">
        <f>HYPERLINK("http://141.218.60.56/~jnz1568/getInfo.php?workbook=04_01.xlsx&amp;sheet=A0&amp;row=281&amp;col=6&amp;number=&amp;sourceID=18","")</f>
        <v/>
      </c>
      <c r="G281" s="4" t="str">
        <f>HYPERLINK("http://141.218.60.56/~jnz1568/getInfo.php?workbook=04_01.xlsx&amp;sheet=A0&amp;row=281&amp;col=7&amp;number==&amp;sourceID=11","=")</f>
        <v>=</v>
      </c>
      <c r="H281" s="4" t="str">
        <f>HYPERLINK("http://141.218.60.56/~jnz1568/getInfo.php?workbook=04_01.xlsx&amp;sheet=A0&amp;row=281&amp;col=8&amp;number=&amp;sourceID=11","")</f>
        <v/>
      </c>
      <c r="I281" s="4" t="str">
        <f>HYPERLINK("http://141.218.60.56/~jnz1568/getInfo.php?workbook=04_01.xlsx&amp;sheet=A0&amp;row=281&amp;col=9&amp;number=&amp;sourceID=11","")</f>
        <v/>
      </c>
      <c r="J281" s="4" t="str">
        <f>HYPERLINK("http://141.218.60.56/~jnz1568/getInfo.php?workbook=04_01.xlsx&amp;sheet=A0&amp;row=281&amp;col=10&amp;number=0&amp;sourceID=11","0")</f>
        <v>0</v>
      </c>
      <c r="K281" s="4" t="str">
        <f>HYPERLINK("http://141.218.60.56/~jnz1568/getInfo.php?workbook=04_01.xlsx&amp;sheet=A0&amp;row=281&amp;col=11&amp;number=&amp;sourceID=11","")</f>
        <v/>
      </c>
      <c r="L281" s="4" t="str">
        <f>HYPERLINK("http://141.218.60.56/~jnz1568/getInfo.php?workbook=04_01.xlsx&amp;sheet=A0&amp;row=281&amp;col=12&amp;number=0&amp;sourceID=11","0")</f>
        <v>0</v>
      </c>
      <c r="M281" s="4" t="str">
        <f>HYPERLINK("http://141.218.60.56/~jnz1568/getInfo.php?workbook=04_01.xlsx&amp;sheet=A0&amp;row=281&amp;col=13&amp;number=&amp;sourceID=11","")</f>
        <v/>
      </c>
      <c r="N281" s="4" t="str">
        <f>HYPERLINK("http://141.218.60.56/~jnz1568/getInfo.php?workbook=04_01.xlsx&amp;sheet=A0&amp;row=281&amp;col=14&amp;number=0&amp;sourceID=12","0")</f>
        <v>0</v>
      </c>
      <c r="O281" s="4" t="str">
        <f>HYPERLINK("http://141.218.60.56/~jnz1568/getInfo.php?workbook=04_01.xlsx&amp;sheet=A0&amp;row=281&amp;col=15&amp;number=&amp;sourceID=12","")</f>
        <v/>
      </c>
      <c r="P281" s="4" t="str">
        <f>HYPERLINK("http://141.218.60.56/~jnz1568/getInfo.php?workbook=04_01.xlsx&amp;sheet=A0&amp;row=281&amp;col=16&amp;number=&amp;sourceID=12","")</f>
        <v/>
      </c>
      <c r="Q281" s="4" t="str">
        <f>HYPERLINK("http://141.218.60.56/~jnz1568/getInfo.php?workbook=04_01.xlsx&amp;sheet=A0&amp;row=281&amp;col=17&amp;number=0&amp;sourceID=12","0")</f>
        <v>0</v>
      </c>
      <c r="R281" s="4" t="str">
        <f>HYPERLINK("http://141.218.60.56/~jnz1568/getInfo.php?workbook=04_01.xlsx&amp;sheet=A0&amp;row=281&amp;col=18&amp;number=&amp;sourceID=12","")</f>
        <v/>
      </c>
      <c r="S281" s="4" t="str">
        <f>HYPERLINK("http://141.218.60.56/~jnz1568/getInfo.php?workbook=04_01.xlsx&amp;sheet=A0&amp;row=281&amp;col=19&amp;number=0&amp;sourceID=12","0")</f>
        <v>0</v>
      </c>
      <c r="T281" s="4" t="str">
        <f>HYPERLINK("http://141.218.60.56/~jnz1568/getInfo.php?workbook=04_01.xlsx&amp;sheet=A0&amp;row=281&amp;col=20&amp;number=&amp;sourceID=12","")</f>
        <v/>
      </c>
      <c r="U281" s="4" t="str">
        <f>HYPERLINK("http://141.218.60.56/~jnz1568/getInfo.php?workbook=04_01.xlsx&amp;sheet=A0&amp;row=281&amp;col=21&amp;number=&amp;sourceID=20","")</f>
        <v/>
      </c>
    </row>
    <row r="282" spans="1:21">
      <c r="A282" s="3">
        <v>4</v>
      </c>
      <c r="B282" s="3">
        <v>1</v>
      </c>
      <c r="C282" s="3">
        <v>25</v>
      </c>
      <c r="D282" s="3">
        <v>22</v>
      </c>
      <c r="E282" s="3">
        <f>((1/(INDEX(E0!J$4:J$28,C282,1)-INDEX(E0!J$4:J$28,D282,1))))*100000000</f>
        <v>0</v>
      </c>
      <c r="F282" s="4" t="str">
        <f>HYPERLINK("http://141.218.60.56/~jnz1568/getInfo.php?workbook=04_01.xlsx&amp;sheet=A0&amp;row=282&amp;col=6&amp;number=&amp;sourceID=18","")</f>
        <v/>
      </c>
      <c r="G282" s="4" t="str">
        <f>HYPERLINK("http://141.218.60.56/~jnz1568/getInfo.php?workbook=04_01.xlsx&amp;sheet=A0&amp;row=282&amp;col=7&amp;number==&amp;sourceID=11","=")</f>
        <v>=</v>
      </c>
      <c r="H282" s="4" t="str">
        <f>HYPERLINK("http://141.218.60.56/~jnz1568/getInfo.php?workbook=04_01.xlsx&amp;sheet=A0&amp;row=282&amp;col=8&amp;number=&amp;sourceID=11","")</f>
        <v/>
      </c>
      <c r="I282" s="4" t="str">
        <f>HYPERLINK("http://141.218.60.56/~jnz1568/getInfo.php?workbook=04_01.xlsx&amp;sheet=A0&amp;row=282&amp;col=9&amp;number=0&amp;sourceID=11","0")</f>
        <v>0</v>
      </c>
      <c r="J282" s="4" t="str">
        <f>HYPERLINK("http://141.218.60.56/~jnz1568/getInfo.php?workbook=04_01.xlsx&amp;sheet=A0&amp;row=282&amp;col=10&amp;number=&amp;sourceID=11","")</f>
        <v/>
      </c>
      <c r="K282" s="4" t="str">
        <f>HYPERLINK("http://141.218.60.56/~jnz1568/getInfo.php?workbook=04_01.xlsx&amp;sheet=A0&amp;row=282&amp;col=11&amp;number=&amp;sourceID=11","")</f>
        <v/>
      </c>
      <c r="L282" s="4" t="str">
        <f>HYPERLINK("http://141.218.60.56/~jnz1568/getInfo.php?workbook=04_01.xlsx&amp;sheet=A0&amp;row=282&amp;col=12&amp;number=&amp;sourceID=11","")</f>
        <v/>
      </c>
      <c r="M282" s="4" t="str">
        <f>HYPERLINK("http://141.218.60.56/~jnz1568/getInfo.php?workbook=04_01.xlsx&amp;sheet=A0&amp;row=282&amp;col=13&amp;number=0&amp;sourceID=11","0")</f>
        <v>0</v>
      </c>
      <c r="N282" s="4" t="str">
        <f>HYPERLINK("http://141.218.60.56/~jnz1568/getInfo.php?workbook=04_01.xlsx&amp;sheet=A0&amp;row=282&amp;col=14&amp;number=0&amp;sourceID=12","0")</f>
        <v>0</v>
      </c>
      <c r="O282" s="4" t="str">
        <f>HYPERLINK("http://141.218.60.56/~jnz1568/getInfo.php?workbook=04_01.xlsx&amp;sheet=A0&amp;row=282&amp;col=15&amp;number=&amp;sourceID=12","")</f>
        <v/>
      </c>
      <c r="P282" s="4" t="str">
        <f>HYPERLINK("http://141.218.60.56/~jnz1568/getInfo.php?workbook=04_01.xlsx&amp;sheet=A0&amp;row=282&amp;col=16&amp;number=0&amp;sourceID=12","0")</f>
        <v>0</v>
      </c>
      <c r="Q282" s="4" t="str">
        <f>HYPERLINK("http://141.218.60.56/~jnz1568/getInfo.php?workbook=04_01.xlsx&amp;sheet=A0&amp;row=282&amp;col=17&amp;number=&amp;sourceID=12","")</f>
        <v/>
      </c>
      <c r="R282" s="4" t="str">
        <f>HYPERLINK("http://141.218.60.56/~jnz1568/getInfo.php?workbook=04_01.xlsx&amp;sheet=A0&amp;row=282&amp;col=18&amp;number=&amp;sourceID=12","")</f>
        <v/>
      </c>
      <c r="S282" s="4" t="str">
        <f>HYPERLINK("http://141.218.60.56/~jnz1568/getInfo.php?workbook=04_01.xlsx&amp;sheet=A0&amp;row=282&amp;col=19&amp;number=&amp;sourceID=12","")</f>
        <v/>
      </c>
      <c r="T282" s="4" t="str">
        <f>HYPERLINK("http://141.218.60.56/~jnz1568/getInfo.php?workbook=04_01.xlsx&amp;sheet=A0&amp;row=282&amp;col=20&amp;number=0&amp;sourceID=12","0")</f>
        <v>0</v>
      </c>
      <c r="U282" s="4" t="str">
        <f>HYPERLINK("http://141.218.60.56/~jnz1568/getInfo.php?workbook=04_01.xlsx&amp;sheet=A0&amp;row=282&amp;col=21&amp;number=&amp;sourceID=20","")</f>
        <v/>
      </c>
    </row>
    <row r="283" spans="1:21">
      <c r="A283" s="3">
        <v>4</v>
      </c>
      <c r="B283" s="3">
        <v>1</v>
      </c>
      <c r="C283" s="3">
        <v>25</v>
      </c>
      <c r="D283" s="3">
        <v>23</v>
      </c>
      <c r="E283" s="3">
        <f>((1/(INDEX(E0!J$4:J$28,C283,1)-INDEX(E0!J$4:J$28,D283,1))))*100000000</f>
        <v>0</v>
      </c>
      <c r="F283" s="4" t="str">
        <f>HYPERLINK("http://141.218.60.56/~jnz1568/getInfo.php?workbook=04_01.xlsx&amp;sheet=A0&amp;row=283&amp;col=6&amp;number=&amp;sourceID=18","")</f>
        <v/>
      </c>
      <c r="G283" s="4" t="str">
        <f>HYPERLINK("http://141.218.60.56/~jnz1568/getInfo.php?workbook=04_01.xlsx&amp;sheet=A0&amp;row=283&amp;col=7&amp;number==&amp;sourceID=11","=")</f>
        <v>=</v>
      </c>
      <c r="H283" s="4" t="str">
        <f>HYPERLINK("http://141.218.60.56/~jnz1568/getInfo.php?workbook=04_01.xlsx&amp;sheet=A0&amp;row=283&amp;col=8&amp;number=&amp;sourceID=11","")</f>
        <v/>
      </c>
      <c r="I283" s="4" t="str">
        <f>HYPERLINK("http://141.218.60.56/~jnz1568/getInfo.php?workbook=04_01.xlsx&amp;sheet=A0&amp;row=283&amp;col=9&amp;number=0&amp;sourceID=11","0")</f>
        <v>0</v>
      </c>
      <c r="J283" s="4" t="str">
        <f>HYPERLINK("http://141.218.60.56/~jnz1568/getInfo.php?workbook=04_01.xlsx&amp;sheet=A0&amp;row=283&amp;col=10&amp;number=&amp;sourceID=11","")</f>
        <v/>
      </c>
      <c r="K283" s="4" t="str">
        <f>HYPERLINK("http://141.218.60.56/~jnz1568/getInfo.php?workbook=04_01.xlsx&amp;sheet=A0&amp;row=283&amp;col=11&amp;number=2.569e-12&amp;sourceID=11","2.569e-12")</f>
        <v>2.569e-12</v>
      </c>
      <c r="L283" s="4" t="str">
        <f>HYPERLINK("http://141.218.60.56/~jnz1568/getInfo.php?workbook=04_01.xlsx&amp;sheet=A0&amp;row=283&amp;col=12&amp;number=&amp;sourceID=11","")</f>
        <v/>
      </c>
      <c r="M283" s="4" t="str">
        <f>HYPERLINK("http://141.218.60.56/~jnz1568/getInfo.php?workbook=04_01.xlsx&amp;sheet=A0&amp;row=283&amp;col=13&amp;number=0&amp;sourceID=11","0")</f>
        <v>0</v>
      </c>
      <c r="N283" s="4" t="str">
        <f>HYPERLINK("http://141.218.60.56/~jnz1568/getInfo.php?workbook=04_01.xlsx&amp;sheet=A0&amp;row=283&amp;col=14&amp;number=2.57e-12&amp;sourceID=12","2.57e-12")</f>
        <v>2.57e-12</v>
      </c>
      <c r="O283" s="4" t="str">
        <f>HYPERLINK("http://141.218.60.56/~jnz1568/getInfo.php?workbook=04_01.xlsx&amp;sheet=A0&amp;row=283&amp;col=15&amp;number=&amp;sourceID=12","")</f>
        <v/>
      </c>
      <c r="P283" s="4" t="str">
        <f>HYPERLINK("http://141.218.60.56/~jnz1568/getInfo.php?workbook=04_01.xlsx&amp;sheet=A0&amp;row=283&amp;col=16&amp;number=0&amp;sourceID=12","0")</f>
        <v>0</v>
      </c>
      <c r="Q283" s="4" t="str">
        <f>HYPERLINK("http://141.218.60.56/~jnz1568/getInfo.php?workbook=04_01.xlsx&amp;sheet=A0&amp;row=283&amp;col=17&amp;number=&amp;sourceID=12","")</f>
        <v/>
      </c>
      <c r="R283" s="4" t="str">
        <f>HYPERLINK("http://141.218.60.56/~jnz1568/getInfo.php?workbook=04_01.xlsx&amp;sheet=A0&amp;row=283&amp;col=18&amp;number=2.57e-12&amp;sourceID=12","2.57e-12")</f>
        <v>2.57e-12</v>
      </c>
      <c r="S283" s="4" t="str">
        <f>HYPERLINK("http://141.218.60.56/~jnz1568/getInfo.php?workbook=04_01.xlsx&amp;sheet=A0&amp;row=283&amp;col=19&amp;number=&amp;sourceID=12","")</f>
        <v/>
      </c>
      <c r="T283" s="4" t="str">
        <f>HYPERLINK("http://141.218.60.56/~jnz1568/getInfo.php?workbook=04_01.xlsx&amp;sheet=A0&amp;row=283&amp;col=20&amp;number=0&amp;sourceID=12","0")</f>
        <v>0</v>
      </c>
      <c r="U283" s="4" t="str">
        <f>HYPERLINK("http://141.218.60.56/~jnz1568/getInfo.php?workbook=04_01.xlsx&amp;sheet=A0&amp;row=283&amp;col=21&amp;number=&amp;sourceID=20","")</f>
        <v/>
      </c>
    </row>
    <row r="284" spans="1:21">
      <c r="A284" s="3">
        <v>4</v>
      </c>
      <c r="B284" s="3">
        <v>1</v>
      </c>
      <c r="C284" s="3">
        <v>25</v>
      </c>
      <c r="D284" s="3">
        <v>24</v>
      </c>
      <c r="E284" s="3">
        <f>((1/(INDEX(E0!J$4:J$28,C284,1)-INDEX(E0!J$4:J$28,D284,1))))*100000000</f>
        <v>0</v>
      </c>
      <c r="F284" s="4" t="str">
        <f>HYPERLINK("http://141.218.60.56/~jnz1568/getInfo.php?workbook=04_01.xlsx&amp;sheet=A0&amp;row=284&amp;col=6&amp;number=&amp;sourceID=18","")</f>
        <v/>
      </c>
      <c r="G284" s="4" t="str">
        <f>HYPERLINK("http://141.218.60.56/~jnz1568/getInfo.php?workbook=04_01.xlsx&amp;sheet=A0&amp;row=284&amp;col=7&amp;number==&amp;sourceID=11","=")</f>
        <v>=</v>
      </c>
      <c r="H284" s="4" t="str">
        <f>HYPERLINK("http://141.218.60.56/~jnz1568/getInfo.php?workbook=04_01.xlsx&amp;sheet=A0&amp;row=284&amp;col=8&amp;number=6.1052e-06&amp;sourceID=11","6.1052e-06")</f>
        <v>6.1052e-06</v>
      </c>
      <c r="I284" s="4" t="str">
        <f>HYPERLINK("http://141.218.60.56/~jnz1568/getInfo.php?workbook=04_01.xlsx&amp;sheet=A0&amp;row=284&amp;col=9&amp;number=&amp;sourceID=11","")</f>
        <v/>
      </c>
      <c r="J284" s="4" t="str">
        <f>HYPERLINK("http://141.218.60.56/~jnz1568/getInfo.php?workbook=04_01.xlsx&amp;sheet=A0&amp;row=284&amp;col=10&amp;number=0&amp;sourceID=11","0")</f>
        <v>0</v>
      </c>
      <c r="K284" s="4" t="str">
        <f>HYPERLINK("http://141.218.60.56/~jnz1568/getInfo.php?workbook=04_01.xlsx&amp;sheet=A0&amp;row=284&amp;col=11&amp;number=&amp;sourceID=11","")</f>
        <v/>
      </c>
      <c r="L284" s="4" t="str">
        <f>HYPERLINK("http://141.218.60.56/~jnz1568/getInfo.php?workbook=04_01.xlsx&amp;sheet=A0&amp;row=284&amp;col=12&amp;number=0&amp;sourceID=11","0")</f>
        <v>0</v>
      </c>
      <c r="M284" s="4" t="str">
        <f>HYPERLINK("http://141.218.60.56/~jnz1568/getInfo.php?workbook=04_01.xlsx&amp;sheet=A0&amp;row=284&amp;col=13&amp;number=&amp;sourceID=11","")</f>
        <v/>
      </c>
      <c r="N284" s="4" t="str">
        <f>HYPERLINK("http://141.218.60.56/~jnz1568/getInfo.php?workbook=04_01.xlsx&amp;sheet=A0&amp;row=284&amp;col=14&amp;number=6.1072e-06&amp;sourceID=12","6.1072e-06")</f>
        <v>6.1072e-06</v>
      </c>
      <c r="O284" s="4" t="str">
        <f>HYPERLINK("http://141.218.60.56/~jnz1568/getInfo.php?workbook=04_01.xlsx&amp;sheet=A0&amp;row=284&amp;col=15&amp;number=6.1072e-06&amp;sourceID=12","6.1072e-06")</f>
        <v>6.1072e-06</v>
      </c>
      <c r="P284" s="4" t="str">
        <f>HYPERLINK("http://141.218.60.56/~jnz1568/getInfo.php?workbook=04_01.xlsx&amp;sheet=A0&amp;row=284&amp;col=16&amp;number=&amp;sourceID=12","")</f>
        <v/>
      </c>
      <c r="Q284" s="4" t="str">
        <f>HYPERLINK("http://141.218.60.56/~jnz1568/getInfo.php?workbook=04_01.xlsx&amp;sheet=A0&amp;row=284&amp;col=17&amp;number=0&amp;sourceID=12","0")</f>
        <v>0</v>
      </c>
      <c r="R284" s="4" t="str">
        <f>HYPERLINK("http://141.218.60.56/~jnz1568/getInfo.php?workbook=04_01.xlsx&amp;sheet=A0&amp;row=284&amp;col=18&amp;number=&amp;sourceID=12","")</f>
        <v/>
      </c>
      <c r="S284" s="4" t="str">
        <f>HYPERLINK("http://141.218.60.56/~jnz1568/getInfo.php?workbook=04_01.xlsx&amp;sheet=A0&amp;row=284&amp;col=19&amp;number=0&amp;sourceID=12","0")</f>
        <v>0</v>
      </c>
      <c r="T284" s="4" t="str">
        <f>HYPERLINK("http://141.218.60.56/~jnz1568/getInfo.php?workbook=04_01.xlsx&amp;sheet=A0&amp;row=284&amp;col=20&amp;number=&amp;sourceID=12","")</f>
        <v/>
      </c>
      <c r="U284" s="4" t="str">
        <f>HYPERLINK("http://141.218.60.56/~jnz1568/getInfo.php?workbook=04_01.xlsx&amp;sheet=A0&amp;row=284&amp;col=21&amp;number=&amp;sourceID=20","")</f>
        <v/>
      </c>
    </row>
  </sheetData>
  <mergeCells count="1">
    <mergeCell ref="A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</vt:lpstr>
      <vt:lpstr>A0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2015-04-13T05:01:31Z</dcterms:created>
  <dcterms:modified xsi:type="dcterms:W3CDTF">2015-04-13T05:01:31Z</dcterms:modified>
</cp:coreProperties>
</file>