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<sst xmlns="http://schemas.openxmlformats.org/spreadsheetml/2006/main" count="102" uniqueCount="46">
  <si>
    <t>Fine-Structure Energy Levels for  B V</t>
  </si>
  <si>
    <t>S2</t>
  </si>
  <si>
    <t>S11</t>
  </si>
  <si>
    <t>S12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</si>
  <si>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</si>
  <si>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</si>
  <si>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</si>
  <si>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</si>
  <si>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</si>
  <si>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</si>
  <si>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</si>
  <si>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</si>
  <si>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</si>
  <si>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</si>
  <si>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</si>
  <si>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</si>
  <si>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</si>
  <si>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</si>
  <si>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</si>
  <si>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</si>
  <si>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</si>
  <si>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</si>
  <si>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</si>
  <si>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</si>
  <si>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</si>
  <si>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</si>
  <si>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</si>
  <si>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</si>
  <si>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</si>
  <si>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</si>
  <si>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</si>
  <si>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</si>
  <si>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</si>
  <si>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</si>
  <si>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fine-structure transitions in B V</t>
  </si>
  <si>
    <t>S18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</si>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</sst>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4.7109375" customWidth="1"/>
    <col min="11" max="11" width="13.7109375" customWidth="1"/>
    <col min="12" max="12" width="13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</row>
    <row r="3" spans="1:1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</row>
    <row r="4" spans="1:12">
      <c r="A4" s="3">
        <v>5</v>
      </c>
      <c r="B4" s="3">
        <v>1</v>
      </c>
      <c r="C4" s="3">
        <v>1</v>
      </c>
      <c r="D4" s="3" t="s">
        <v>14</v>
      </c>
      <c r="E4" s="3" t="s">
        <v>15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HYPERLINK("http://141.218.60.56/~jnz1568/getInfo.php?workbook=05_01.xlsx&amp;sheet=E0&amp;row=4&amp;col=10&amp;number=0&amp;sourceID=2","0")</f>
        <v>0</v>
      </c>
      <c r="K4" s="4" t="str">
        <f>HYPERLINK("http://141.218.60.56/~jnz1568/getInfo.php?workbook=05_01.xlsx&amp;sheet=E0&amp;row=4&amp;col=11&amp;number=0&amp;sourceID=11","0")</f>
        <v>0</v>
      </c>
      <c r="L4" s="4" t="str">
        <f>HYPERLINK("http://141.218.60.56/~jnz1568/getInfo.php?workbook=05_01.xlsx&amp;sheet=E0&amp;row=4&amp;col=12&amp;number=0&amp;sourceID=12","0")</f>
        <v>0</v>
      </c>
    </row>
    <row r="5" spans="1:12">
      <c r="A5" s="3">
        <v>5</v>
      </c>
      <c r="B5" s="3">
        <v>1</v>
      </c>
      <c r="C5" s="3">
        <f>+C4+1</f>
        <v>0</v>
      </c>
      <c r="D5" s="3" t="s">
        <v>16</v>
      </c>
      <c r="E5" s="3" t="s">
        <v>17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HYPERLINK("http://141.218.60.56/~jnz1568/getInfo.php?workbook=05_01.xlsx&amp;sheet=E0&amp;row=5&amp;col=10&amp;number=2057998.114&amp;sourceID=2","2057998.114")</f>
        <v>2057998.114</v>
      </c>
      <c r="K5" s="4" t="str">
        <f>HYPERLINK("http://141.218.60.56/~jnz1568/getInfo.php?workbook=05_01.xlsx&amp;sheet=E0&amp;row=5&amp;col=11&amp;number=2058100.2367&amp;sourceID=11","2058100.2367")</f>
        <v>2058100.2367</v>
      </c>
      <c r="L5" s="4" t="str">
        <f>HYPERLINK("http://141.218.60.56/~jnz1568/getInfo.php?workbook=05_01.xlsx&amp;sheet=E0&amp;row=5&amp;col=12&amp;number=2057998.2345&amp;sourceID=12","2057998.2345")</f>
        <v>2057998.2345</v>
      </c>
    </row>
    <row r="6" spans="1:12">
      <c r="A6" s="3">
        <v>5</v>
      </c>
      <c r="B6" s="3">
        <v>1</v>
      </c>
      <c r="C6" s="3">
        <f/>
        <v>0</v>
      </c>
      <c r="D6" s="3" t="s">
        <v>18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HYPERLINK("http://141.218.60.56/~jnz1568/getInfo.php?workbook=05_01.xlsx&amp;sheet=E0&amp;row=6&amp;col=10&amp;number=2058011.604&amp;sourceID=2","2058011.604")</f>
        <v>2058011.604</v>
      </c>
      <c r="K6" s="4" t="str">
        <f>HYPERLINK("http://141.218.60.56/~jnz1568/getInfo.php?workbook=05_01.xlsx&amp;sheet=E0&amp;row=6&amp;col=11&amp;number=2058100.2367&amp;sourceID=11","2058100.2367")</f>
        <v>2058100.2367</v>
      </c>
      <c r="L6" s="4" t="str">
        <f>HYPERLINK("http://141.218.60.56/~jnz1568/getInfo.php?workbook=05_01.xlsx&amp;sheet=E0&amp;row=6&amp;col=12&amp;number=2058011.7081&amp;sourceID=12","2058011.7081")</f>
        <v>2058011.7081</v>
      </c>
    </row>
    <row r="7" spans="1:12">
      <c r="A7" s="3">
        <v>5</v>
      </c>
      <c r="B7" s="3">
        <v>1</v>
      </c>
      <c r="C7" s="3">
        <f/>
        <v>0</v>
      </c>
      <c r="D7" s="3" t="s">
        <v>16</v>
      </c>
      <c r="E7" s="3" t="s">
        <v>17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HYPERLINK("http://141.218.60.56/~jnz1568/getInfo.php?workbook=05_01.xlsx&amp;sheet=E0&amp;row=7&amp;col=10&amp;number=2058227.0843&amp;sourceID=2","2058227.0843")</f>
        <v>2058227.0843</v>
      </c>
      <c r="K7" s="4" t="str">
        <f>HYPERLINK("http://141.218.60.56/~jnz1568/getInfo.php?workbook=05_01.xlsx&amp;sheet=E0&amp;row=7&amp;col=11&amp;number=2058328.6834&amp;sourceID=11","2058328.6834")</f>
        <v>2058328.6834</v>
      </c>
      <c r="L7" s="4" t="str">
        <f>HYPERLINK("http://141.218.60.56/~jnz1568/getInfo.php?workbook=05_01.xlsx&amp;sheet=E0&amp;row=7&amp;col=12&amp;number=2058227.2091&amp;sourceID=12","2058227.2091")</f>
        <v>2058227.2091</v>
      </c>
    </row>
    <row r="8" spans="1:12">
      <c r="A8" s="3">
        <v>5</v>
      </c>
      <c r="B8" s="3">
        <v>1</v>
      </c>
      <c r="C8" s="3">
        <f/>
        <v>0</v>
      </c>
      <c r="D8" s="3" t="s">
        <v>19</v>
      </c>
      <c r="E8" s="3" t="s">
        <v>17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HYPERLINK("http://141.218.60.56/~jnz1568/getInfo.php?workbook=05_01.xlsx&amp;sheet=E0&amp;row=8&amp;col=10&amp;number=2439195.6697&amp;sourceID=2","2439195.6697")</f>
        <v>2439195.6697</v>
      </c>
      <c r="K8" s="4" t="str">
        <f>HYPERLINK("http://141.218.60.56/~jnz1568/getInfo.php?workbook=05_01.xlsx&amp;sheet=E0&amp;row=8&amp;col=11&amp;number=2439297.6014&amp;sourceID=11","2439297.6014")</f>
        <v>2439297.6014</v>
      </c>
      <c r="L8" s="4" t="str">
        <f>HYPERLINK("http://141.218.60.56/~jnz1568/getInfo.php?workbook=05_01.xlsx&amp;sheet=E0&amp;row=8&amp;col=12&amp;number=2439195.8023&amp;sourceID=12","2439195.8023")</f>
        <v>2439195.8023</v>
      </c>
    </row>
    <row r="9" spans="1:12">
      <c r="A9" s="3">
        <v>5</v>
      </c>
      <c r="B9" s="3">
        <v>1</v>
      </c>
      <c r="C9" s="3">
        <f/>
        <v>0</v>
      </c>
      <c r="D9" s="3" t="s">
        <v>20</v>
      </c>
      <c r="E9" s="3" t="s">
        <v>15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HYPERLINK("http://141.218.60.56/~jnz1568/getInfo.php?workbook=05_01.xlsx&amp;sheet=E0&amp;row=9&amp;col=10&amp;number=2439199.6964&amp;sourceID=2","2439199.6964")</f>
        <v>2439199.6964</v>
      </c>
      <c r="K9" s="4" t="str">
        <f>HYPERLINK("http://141.218.60.56/~jnz1568/getInfo.php?workbook=05_01.xlsx&amp;sheet=E0&amp;row=9&amp;col=11&amp;number=2439297.6014&amp;sourceID=11","2439297.6014")</f>
        <v>2439297.6014</v>
      </c>
      <c r="L9" s="4" t="str">
        <f>HYPERLINK("http://141.218.60.56/~jnz1568/getInfo.php?workbook=05_01.xlsx&amp;sheet=E0&amp;row=9&amp;col=12&amp;number=2439199.8362&amp;sourceID=12","2439199.8362")</f>
        <v>2439199.8362</v>
      </c>
    </row>
    <row r="10" spans="1:12">
      <c r="A10" s="3">
        <v>5</v>
      </c>
      <c r="B10" s="3">
        <v>1</v>
      </c>
      <c r="C10" s="3">
        <f/>
        <v>0</v>
      </c>
      <c r="D10" s="3" t="s">
        <v>21</v>
      </c>
      <c r="E10" s="3" t="s">
        <v>22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HYPERLINK("http://141.218.60.56/~jnz1568/getInfo.php?workbook=05_01.xlsx&amp;sheet=E0&amp;row=10&amp;col=10&amp;number=2439263.40188&amp;sourceID=2","2439263.40188")</f>
        <v>2439263.40188</v>
      </c>
      <c r="K10" s="4" t="str">
        <f>HYPERLINK("http://141.218.60.56/~jnz1568/getInfo.php?workbook=05_01.xlsx&amp;sheet=E0&amp;row=10&amp;col=11&amp;number=2439365.2912&amp;sourceID=11","2439365.2912")</f>
        <v>2439365.2912</v>
      </c>
      <c r="L10" s="4" t="str">
        <f>HYPERLINK("http://141.218.60.56/~jnz1568/getInfo.php?workbook=05_01.xlsx&amp;sheet=E0&amp;row=10&amp;col=12&amp;number=2439263.5345&amp;sourceID=12","2439263.5345")</f>
        <v>2439263.5345</v>
      </c>
    </row>
    <row r="11" spans="1:12">
      <c r="A11" s="3">
        <v>5</v>
      </c>
      <c r="B11" s="3">
        <v>1</v>
      </c>
      <c r="C11" s="3">
        <f/>
        <v>0</v>
      </c>
      <c r="D11" s="3" t="s">
        <v>19</v>
      </c>
      <c r="E11" s="3" t="s">
        <v>17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HYPERLINK("http://141.218.60.56/~jnz1568/getInfo.php?workbook=05_01.xlsx&amp;sheet=E0&amp;row=11&amp;col=10&amp;number=2439263.5145&amp;sourceID=2","2439263.5145")</f>
        <v>2439263.5145</v>
      </c>
      <c r="K11" s="4" t="str">
        <f>HYPERLINK("http://141.218.60.56/~jnz1568/getInfo.php?workbook=05_01.xlsx&amp;sheet=E0&amp;row=11&amp;col=11&amp;number=2439365.2912&amp;sourceID=11","2439365.2912")</f>
        <v>2439365.2912</v>
      </c>
      <c r="L11" s="4" t="str">
        <f>HYPERLINK("http://141.218.60.56/~jnz1568/getInfo.php?workbook=05_01.xlsx&amp;sheet=E0&amp;row=11&amp;col=12&amp;number=2439263.6471&amp;sourceID=12","2439263.6471")</f>
        <v>2439263.6471</v>
      </c>
    </row>
    <row r="12" spans="1:12">
      <c r="A12" s="3">
        <v>5</v>
      </c>
      <c r="B12" s="3">
        <v>1</v>
      </c>
      <c r="C12" s="3">
        <f/>
        <v>0</v>
      </c>
      <c r="D12" s="3" t="s">
        <v>21</v>
      </c>
      <c r="E12" s="3" t="s">
        <v>22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HYPERLINK("http://141.218.60.56/~jnz1568/getInfo.php?workbook=05_01.xlsx&amp;sheet=E0&amp;row=12&amp;col=10&amp;number=2439286.00322&amp;sourceID=2","2439286.00322")</f>
        <v>2439286.00322</v>
      </c>
      <c r="K12" s="4" t="str">
        <f>HYPERLINK("http://141.218.60.56/~jnz1568/getInfo.php?workbook=05_01.xlsx&amp;sheet=E0&amp;row=12&amp;col=11&amp;number=2439387.8402&amp;sourceID=11","2439387.8402")</f>
        <v>2439387.8402</v>
      </c>
      <c r="L12" s="4" t="str">
        <f>HYPERLINK("http://141.218.60.56/~jnz1568/getInfo.php?workbook=05_01.xlsx&amp;sheet=E0&amp;row=12&amp;col=12&amp;number=2439286.1358&amp;sourceID=12","2439286.1358")</f>
        <v>2439286.1358</v>
      </c>
    </row>
    <row r="13" spans="1:12">
      <c r="A13" s="3">
        <v>5</v>
      </c>
      <c r="B13" s="3">
        <v>1</v>
      </c>
      <c r="C13" s="3">
        <f/>
        <v>0</v>
      </c>
      <c r="D13" s="3" t="s">
        <v>23</v>
      </c>
      <c r="E13" s="3" t="s">
        <v>17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HYPERLINK("http://141.218.60.56/~jnz1568/getInfo.php?workbook=05_01.xlsx&amp;sheet=E0&amp;row=13&amp;col=10&amp;number=2572605.5062&amp;sourceID=2","2572605.5062")</f>
        <v>2572605.5062</v>
      </c>
      <c r="K13" s="4" t="str">
        <f>HYPERLINK("http://141.218.60.56/~jnz1568/getInfo.php?workbook=05_01.xlsx&amp;sheet=E0&amp;row=13&amp;col=11&amp;number=2572707.3961&amp;sourceID=11","2572707.3961")</f>
        <v>2572707.3961</v>
      </c>
      <c r="L13" s="4" t="str">
        <f>HYPERLINK("http://141.218.60.56/~jnz1568/getInfo.php?workbook=05_01.xlsx&amp;sheet=E0&amp;row=13&amp;col=12&amp;number=2572605.6413&amp;sourceID=12","2572605.6413")</f>
        <v>2572605.6413</v>
      </c>
    </row>
    <row r="14" spans="1:12">
      <c r="A14" s="3">
        <v>5</v>
      </c>
      <c r="B14" s="3">
        <v>1</v>
      </c>
      <c r="C14" s="3">
        <f/>
        <v>0</v>
      </c>
      <c r="D14" s="3" t="s">
        <v>24</v>
      </c>
      <c r="E14" s="3" t="s">
        <v>15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HYPERLINK("http://141.218.60.56/~jnz1568/getInfo.php?workbook=05_01.xlsx&amp;sheet=E0&amp;row=14&amp;col=10&amp;number=2572607.2098&amp;sourceID=2","2572607.2098")</f>
        <v>2572607.2098</v>
      </c>
      <c r="K14" s="4" t="str">
        <f>HYPERLINK("http://141.218.60.56/~jnz1568/getInfo.php?workbook=05_01.xlsx&amp;sheet=E0&amp;row=14&amp;col=11&amp;number=2572707.3961&amp;sourceID=11","2572707.3961")</f>
        <v>2572707.3961</v>
      </c>
      <c r="L14" s="4" t="str">
        <f>HYPERLINK("http://141.218.60.56/~jnz1568/getInfo.php?workbook=05_01.xlsx&amp;sheet=E0&amp;row=14&amp;col=12&amp;number=2572607.3479&amp;sourceID=12","2572607.3479")</f>
        <v>2572607.3479</v>
      </c>
    </row>
    <row r="15" spans="1:12">
      <c r="A15" s="3">
        <v>5</v>
      </c>
      <c r="B15" s="3">
        <v>1</v>
      </c>
      <c r="C15" s="3">
        <f/>
        <v>0</v>
      </c>
      <c r="D15" s="3" t="s">
        <v>25</v>
      </c>
      <c r="E15" s="3" t="s">
        <v>22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HYPERLINK("http://141.218.60.56/~jnz1568/getInfo.php?workbook=05_01.xlsx&amp;sheet=E0&amp;row=15&amp;col=10&amp;number=2572634.0793&amp;sourceID=2","2572634.0793")</f>
        <v>2572634.0793</v>
      </c>
      <c r="K15" s="4" t="str">
        <f>HYPERLINK("http://141.218.60.56/~jnz1568/getInfo.php?workbook=05_01.xlsx&amp;sheet=E0&amp;row=15&amp;col=11&amp;number=2572735.9519&amp;sourceID=11","2572735.9519")</f>
        <v>2572735.9519</v>
      </c>
      <c r="L15" s="4" t="str">
        <f>HYPERLINK("http://141.218.60.56/~jnz1568/getInfo.php?workbook=05_01.xlsx&amp;sheet=E0&amp;row=15&amp;col=12&amp;number=2572634.2144&amp;sourceID=12","2572634.2144")</f>
        <v>2572634.2144</v>
      </c>
    </row>
    <row r="16" spans="1:12">
      <c r="A16" s="3">
        <v>5</v>
      </c>
      <c r="B16" s="3">
        <v>1</v>
      </c>
      <c r="C16" s="3">
        <f/>
        <v>0</v>
      </c>
      <c r="D16" s="3" t="s">
        <v>23</v>
      </c>
      <c r="E16" s="3" t="s">
        <v>17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HYPERLINK("http://141.218.60.56/~jnz1568/getInfo.php?workbook=05_01.xlsx&amp;sheet=E0&amp;row=16&amp;col=10&amp;number=2572634.1274&amp;sourceID=2","2572634.1274")</f>
        <v>2572634.1274</v>
      </c>
      <c r="K16" s="4" t="str">
        <f>HYPERLINK("http://141.218.60.56/~jnz1568/getInfo.php?workbook=05_01.xlsx&amp;sheet=E0&amp;row=16&amp;col=11&amp;number=2572735.9519&amp;sourceID=11","2572735.9519")</f>
        <v>2572735.9519</v>
      </c>
      <c r="L16" s="4" t="str">
        <f>HYPERLINK("http://141.218.60.56/~jnz1568/getInfo.php?workbook=05_01.xlsx&amp;sheet=E0&amp;row=16&amp;col=12&amp;number=2572634.2625&amp;sourceID=12","2572634.2625")</f>
        <v>2572634.2625</v>
      </c>
    </row>
    <row r="17" spans="1:12">
      <c r="A17" s="3">
        <v>5</v>
      </c>
      <c r="B17" s="3">
        <v>1</v>
      </c>
      <c r="C17" s="3">
        <f/>
        <v>0</v>
      </c>
      <c r="D17" s="3" t="s">
        <v>26</v>
      </c>
      <c r="E17" s="3" t="s">
        <v>27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HYPERLINK("http://141.218.60.56/~jnz1568/getInfo.php?workbook=05_01.xlsx&amp;sheet=E0&amp;row=17&amp;col=10&amp;number=2572643.5973&amp;sourceID=2","2572643.5973")</f>
        <v>2572643.5973</v>
      </c>
      <c r="K17" s="4" t="str">
        <f>HYPERLINK("http://141.218.60.56/~jnz1568/getInfo.php?workbook=05_01.xlsx&amp;sheet=E0&amp;row=17&amp;col=11&amp;number=2572745.4651&amp;sourceID=11","2572745.4651")</f>
        <v>2572745.4651</v>
      </c>
      <c r="L17" s="4" t="str">
        <f>HYPERLINK("http://141.218.60.56/~jnz1568/getInfo.php?workbook=05_01.xlsx&amp;sheet=E0&amp;row=17&amp;col=12&amp;number=2572643.7323&amp;sourceID=12","2572643.7323")</f>
        <v>2572643.7323</v>
      </c>
    </row>
    <row r="18" spans="1:12">
      <c r="A18" s="3">
        <v>5</v>
      </c>
      <c r="B18" s="3">
        <v>1</v>
      </c>
      <c r="C18" s="3">
        <f/>
        <v>0</v>
      </c>
      <c r="D18" s="3" t="s">
        <v>25</v>
      </c>
      <c r="E18" s="3" t="s">
        <v>22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HYPERLINK("http://141.218.60.56/~jnz1568/getInfo.php?workbook=05_01.xlsx&amp;sheet=E0&amp;row=18&amp;col=10&amp;number=2572643.6145&amp;sourceID=2","2572643.6145")</f>
        <v>2572643.6145</v>
      </c>
      <c r="K18" s="4" t="str">
        <f>HYPERLINK("http://141.218.60.56/~jnz1568/getInfo.php?workbook=05_01.xlsx&amp;sheet=E0&amp;row=18&amp;col=11&amp;number=2572745.4651&amp;sourceID=11","2572745.4651")</f>
        <v>2572745.4651</v>
      </c>
      <c r="L18" s="4" t="str">
        <f>HYPERLINK("http://141.218.60.56/~jnz1568/getInfo.php?workbook=05_01.xlsx&amp;sheet=E0&amp;row=18&amp;col=12&amp;number=2572643.7496&amp;sourceID=12","2572643.7496")</f>
        <v>2572643.7496</v>
      </c>
    </row>
    <row r="19" spans="1:12">
      <c r="A19" s="3">
        <v>5</v>
      </c>
      <c r="B19" s="3">
        <v>1</v>
      </c>
      <c r="C19" s="3">
        <f/>
        <v>0</v>
      </c>
      <c r="D19" s="3" t="s">
        <v>26</v>
      </c>
      <c r="E19" s="3" t="s">
        <v>27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HYPERLINK("http://141.218.60.56/~jnz1568/getInfo.php?workbook=05_01.xlsx&amp;sheet=E0&amp;row=19&amp;col=10&amp;number=2572648.3642&amp;sourceID=2","2572648.3642")</f>
        <v>2572648.3642</v>
      </c>
      <c r="K19" s="4" t="str">
        <f>HYPERLINK("http://141.218.60.56/~jnz1568/getInfo.php?workbook=05_01.xlsx&amp;sheet=E0&amp;row=19&amp;col=11&amp;number=2572750.2209&amp;sourceID=11","2572750.2209")</f>
        <v>2572750.2209</v>
      </c>
      <c r="L19" s="4" t="str">
        <f>HYPERLINK("http://141.218.60.56/~jnz1568/getInfo.php?workbook=05_01.xlsx&amp;sheet=E0&amp;row=19&amp;col=12&amp;number=2572648.4993&amp;sourceID=12","2572648.4993")</f>
        <v>2572648.4993</v>
      </c>
    </row>
    <row r="20" spans="1:12">
      <c r="A20" s="3">
        <v>5</v>
      </c>
      <c r="B20" s="3">
        <v>1</v>
      </c>
      <c r="C20" s="3">
        <f/>
        <v>0</v>
      </c>
      <c r="D20" s="3" t="s">
        <v>28</v>
      </c>
      <c r="E20" s="3" t="s">
        <v>17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HYPERLINK("http://141.218.60.56/~jnz1568/getInfo.php?workbook=05_01.xlsx&amp;sheet=E0&amp;row=20&amp;col=10&amp;number=2634351.2278&amp;sourceID=2","2634351.2278")</f>
        <v>2634351.2278</v>
      </c>
      <c r="K20" s="4" t="str">
        <f>HYPERLINK("http://141.218.60.56/~jnz1568/getInfo.php?workbook=05_01.xlsx&amp;sheet=E0&amp;row=20&amp;col=11&amp;number=2634453.1035&amp;sourceID=11","2634453.1035")</f>
        <v>2634453.1035</v>
      </c>
      <c r="L20" s="4" t="str">
        <f>HYPERLINK("http://141.218.60.56/~jnz1568/getInfo.php?workbook=05_01.xlsx&amp;sheet=E0&amp;row=20&amp;col=12&amp;number=2634351.364&amp;sourceID=12","2634351.364")</f>
        <v>2634351.364</v>
      </c>
    </row>
    <row r="21" spans="1:12">
      <c r="A21" s="3">
        <v>5</v>
      </c>
      <c r="B21" s="3">
        <v>1</v>
      </c>
      <c r="C21" s="3">
        <f/>
        <v>0</v>
      </c>
      <c r="D21" s="3" t="s">
        <v>29</v>
      </c>
      <c r="E21" s="3" t="s">
        <v>15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HYPERLINK("http://141.218.60.56/~jnz1568/getInfo.php?workbook=05_01.xlsx&amp;sheet=E0&amp;row=21&amp;col=10&amp;number=2634352.1013&amp;sourceID=2","2634352.1013")</f>
        <v>2634352.1013</v>
      </c>
      <c r="K21" s="4" t="str">
        <f>HYPERLINK("http://141.218.60.56/~jnz1568/getInfo.php?workbook=05_01.xlsx&amp;sheet=E0&amp;row=21&amp;col=11&amp;number=2634453.1035&amp;sourceID=11","2634453.1035")</f>
        <v>2634453.1035</v>
      </c>
      <c r="L21" s="4" t="str">
        <f>HYPERLINK("http://141.218.60.56/~jnz1568/getInfo.php?workbook=05_01.xlsx&amp;sheet=E0&amp;row=21&amp;col=12&amp;number=2634352.239&amp;sourceID=12","2634352.239")</f>
        <v>2634352.239</v>
      </c>
    </row>
    <row r="22" spans="1:12">
      <c r="A22" s="3">
        <v>5</v>
      </c>
      <c r="B22" s="3">
        <v>1</v>
      </c>
      <c r="C22" s="3">
        <f/>
        <v>0</v>
      </c>
      <c r="D22" s="3" t="s">
        <v>30</v>
      </c>
      <c r="E22" s="3" t="s">
        <v>22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HYPERLINK("http://141.218.60.56/~jnz1568/getInfo.php?workbook=05_01.xlsx&amp;sheet=E0&amp;row=22&amp;col=10&amp;number=2634365.8566&amp;sourceID=2","2634365.8566")</f>
        <v>2634365.8566</v>
      </c>
      <c r="K22" s="4" t="str">
        <f>HYPERLINK("http://141.218.60.56/~jnz1568/getInfo.php?workbook=05_01.xlsx&amp;sheet=E0&amp;row=22&amp;col=11&amp;number=2634467.7237&amp;sourceID=11","2634467.7237")</f>
        <v>2634467.7237</v>
      </c>
      <c r="L22" s="4" t="str">
        <f>HYPERLINK("http://141.218.60.56/~jnz1568/getInfo.php?workbook=05_01.xlsx&amp;sheet=E0&amp;row=22&amp;col=12&amp;number=2634365.9928&amp;sourceID=12","2634365.9928")</f>
        <v>2634365.9928</v>
      </c>
    </row>
    <row r="23" spans="1:12">
      <c r="A23" s="3">
        <v>5</v>
      </c>
      <c r="B23" s="3">
        <v>1</v>
      </c>
      <c r="C23" s="3">
        <f/>
        <v>0</v>
      </c>
      <c r="D23" s="3" t="s">
        <v>28</v>
      </c>
      <c r="E23" s="3" t="s">
        <v>17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HYPERLINK("http://141.218.60.56/~jnz1568/getInfo.php?workbook=05_01.xlsx&amp;sheet=E0&amp;row=23&amp;col=10&amp;number=2634365.88141&amp;sourceID=2","2634365.88141")</f>
        <v>2634365.88141</v>
      </c>
      <c r="K23" s="4" t="str">
        <f>HYPERLINK("http://141.218.60.56/~jnz1568/getInfo.php?workbook=05_01.xlsx&amp;sheet=E0&amp;row=23&amp;col=11&amp;number=2634467.7237&amp;sourceID=11","2634467.7237")</f>
        <v>2634467.7237</v>
      </c>
      <c r="L23" s="4" t="str">
        <f>HYPERLINK("http://141.218.60.56/~jnz1568/getInfo.php?workbook=05_01.xlsx&amp;sheet=E0&amp;row=23&amp;col=12&amp;number=2634366.0176&amp;sourceID=12","2634366.0176")</f>
        <v>2634366.0176</v>
      </c>
    </row>
    <row r="24" spans="1:12">
      <c r="A24" s="3">
        <v>5</v>
      </c>
      <c r="B24" s="3">
        <v>1</v>
      </c>
      <c r="C24" s="3">
        <f/>
        <v>0</v>
      </c>
      <c r="D24" s="3" t="s">
        <v>31</v>
      </c>
      <c r="E24" s="3" t="s">
        <v>27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HYPERLINK("http://141.218.60.56/~jnz1568/getInfo.php?workbook=05_01.xlsx&amp;sheet=E0&amp;row=24&amp;col=10&amp;number=2634370.7298&amp;sourceID=2","2634370.7298")</f>
        <v>2634370.7298</v>
      </c>
      <c r="K24" s="4" t="str">
        <f>HYPERLINK("http://141.218.60.56/~jnz1568/getInfo.php?workbook=05_01.xlsx&amp;sheet=E0&amp;row=24&amp;col=11&amp;number=2634472.5944&amp;sourceID=11","2634472.5944")</f>
        <v>2634472.5944</v>
      </c>
      <c r="L24" s="4" t="str">
        <f>HYPERLINK("http://141.218.60.56/~jnz1568/getInfo.php?workbook=05_01.xlsx&amp;sheet=E0&amp;row=24&amp;col=12&amp;number=2634370.866&amp;sourceID=12","2634370.866")</f>
        <v>2634370.866</v>
      </c>
    </row>
    <row r="25" spans="1:12">
      <c r="A25" s="3">
        <v>5</v>
      </c>
      <c r="B25" s="3">
        <v>1</v>
      </c>
      <c r="C25" s="3">
        <f/>
        <v>0</v>
      </c>
      <c r="D25" s="3" t="s">
        <v>30</v>
      </c>
      <c r="E25" s="3" t="s">
        <v>22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HYPERLINK("http://141.218.60.56/~jnz1568/getInfo.php?workbook=05_01.xlsx&amp;sheet=E0&amp;row=25&amp;col=10&amp;number=2634370.7386&amp;sourceID=2","2634370.7386")</f>
        <v>2634370.7386</v>
      </c>
      <c r="K25" s="4" t="str">
        <f>HYPERLINK("http://141.218.60.56/~jnz1568/getInfo.php?workbook=05_01.xlsx&amp;sheet=E0&amp;row=25&amp;col=11&amp;number=2634472.5944&amp;sourceID=11","2634472.5944")</f>
        <v>2634472.5944</v>
      </c>
      <c r="L25" s="4" t="str">
        <f>HYPERLINK("http://141.218.60.56/~jnz1568/getInfo.php?workbook=05_01.xlsx&amp;sheet=E0&amp;row=25&amp;col=12&amp;number=2634370.8748&amp;sourceID=12","2634370.8748")</f>
        <v>2634370.8748</v>
      </c>
    </row>
    <row r="26" spans="1:12">
      <c r="A26" s="3">
        <v>5</v>
      </c>
      <c r="B26" s="3">
        <v>1</v>
      </c>
      <c r="C26" s="3">
        <f/>
        <v>0</v>
      </c>
      <c r="D26" s="3" t="s">
        <v>32</v>
      </c>
      <c r="E26" s="3" t="s">
        <v>33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HYPERLINK("http://141.218.60.56/~jnz1568/getInfo.php?workbook=05_01.xlsx&amp;sheet=E0&amp;row=26&amp;col=10&amp;number=2634373.16583&amp;sourceID=2","2634373.16583")</f>
        <v>2634373.16583</v>
      </c>
      <c r="K26" s="4" t="str">
        <f>HYPERLINK("http://141.218.60.56/~jnz1568/getInfo.php?workbook=05_01.xlsx&amp;sheet=E0&amp;row=26&amp;col=11&amp;number=2634475.0294&amp;sourceID=11","2634475.0294")</f>
        <v>2634475.0294</v>
      </c>
      <c r="L26" s="4" t="str">
        <f>HYPERLINK("http://141.218.60.56/~jnz1568/getInfo.php?workbook=05_01.xlsx&amp;sheet=E0&amp;row=26&amp;col=12&amp;number=2634373.302&amp;sourceID=12","2634373.302")</f>
        <v>2634373.302</v>
      </c>
    </row>
    <row r="27" spans="1:12">
      <c r="A27" s="3">
        <v>5</v>
      </c>
      <c r="B27" s="3">
        <v>1</v>
      </c>
      <c r="C27" s="3">
        <f/>
        <v>0</v>
      </c>
      <c r="D27" s="3" t="s">
        <v>31</v>
      </c>
      <c r="E27" s="3" t="s">
        <v>27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HYPERLINK("http://141.218.60.56/~jnz1568/getInfo.php?workbook=05_01.xlsx&amp;sheet=E0&amp;row=27&amp;col=10&amp;number=2634373.1704&amp;sourceID=2","2634373.1704")</f>
        <v>2634373.1704</v>
      </c>
      <c r="K27" s="4" t="str">
        <f>HYPERLINK("http://141.218.60.56/~jnz1568/getInfo.php?workbook=05_01.xlsx&amp;sheet=E0&amp;row=27&amp;col=11&amp;number=2634475.0294&amp;sourceID=11","2634475.0294")</f>
        <v>2634475.0294</v>
      </c>
      <c r="L27" s="4" t="str">
        <f>HYPERLINK("http://141.218.60.56/~jnz1568/getInfo.php?workbook=05_01.xlsx&amp;sheet=E0&amp;row=27&amp;col=12&amp;number=2634373.3066&amp;sourceID=12","2634373.3066")</f>
        <v>2634373.3066</v>
      </c>
    </row>
    <row r="28" spans="1:12">
      <c r="A28" s="3">
        <v>5</v>
      </c>
      <c r="B28" s="3">
        <v>1</v>
      </c>
      <c r="C28" s="3">
        <f/>
        <v>0</v>
      </c>
      <c r="D28" s="3" t="s">
        <v>32</v>
      </c>
      <c r="E28" s="3" t="s">
        <v>33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HYPERLINK("http://141.218.60.56/~jnz1568/getInfo.php?workbook=05_01.xlsx&amp;sheet=E0&amp;row=28&amp;col=10&amp;number=2634374.63015&amp;sourceID=2","2634374.63015")</f>
        <v>2634374.63015</v>
      </c>
      <c r="K28" s="4" t="str">
        <f>HYPERLINK("http://141.218.60.56/~jnz1568/getInfo.php?workbook=05_01.xlsx&amp;sheet=E0&amp;row=28&amp;col=11&amp;number=2634476.4904&amp;sourceID=11","2634476.4904")</f>
        <v>2634476.4904</v>
      </c>
      <c r="L28" s="4" t="str">
        <f>HYPERLINK("http://141.218.60.56/~jnz1568/getInfo.php?workbook=05_01.xlsx&amp;sheet=E0&amp;row=28&amp;col=12&amp;number=2634374.7663&amp;sourceID=12","2634374.7663")</f>
        <v>2634374.7663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84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3.7109375" customWidth="1"/>
    <col min="9" max="9" width="11.7109375" customWidth="1"/>
    <col min="10" max="10" width="11.7109375" customWidth="1"/>
    <col min="11" max="11" width="11.7109375" customWidth="1"/>
    <col min="12" max="12" width="11.7109375" customWidth="1"/>
    <col min="13" max="13" width="11.7109375" customWidth="1"/>
    <col min="14" max="14" width="13.7109375" customWidth="1"/>
    <col min="15" max="15" width="13.7109375" customWidth="1"/>
    <col min="16" max="16" width="11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</cols>
  <sheetData>
    <row r="1" spans="1:20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/>
      <c r="B2" s="2"/>
      <c r="C2" s="2"/>
      <c r="D2" s="2"/>
      <c r="E2" s="2"/>
      <c r="F2" s="2" t="s">
        <v>35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</row>
    <row r="3" spans="1:20">
      <c r="A3" s="2" t="s">
        <v>4</v>
      </c>
      <c r="B3" s="2" t="s">
        <v>5</v>
      </c>
      <c r="C3" s="2" t="s">
        <v>36</v>
      </c>
      <c r="D3" s="2" t="s">
        <v>6</v>
      </c>
      <c r="E3" s="2" t="s">
        <v>37</v>
      </c>
      <c r="F3" s="2" t="s">
        <v>38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39</v>
      </c>
      <c r="O3" s="2" t="s">
        <v>40</v>
      </c>
      <c r="P3" s="2" t="s">
        <v>41</v>
      </c>
      <c r="Q3" s="2" t="s">
        <v>42</v>
      </c>
      <c r="R3" s="2" t="s">
        <v>43</v>
      </c>
      <c r="S3" s="2" t="s">
        <v>44</v>
      </c>
      <c r="T3" s="2" t="s">
        <v>45</v>
      </c>
    </row>
    <row r="4" spans="1:20">
      <c r="A4" s="3">
        <v>5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HYPERLINK("http://141.218.60.56/~jnz1568/getInfo.php?workbook=05_01.xlsx&amp;sheet=A0&amp;row=4&amp;col=6&amp;number=&amp;sourceID=18","")</f>
        <v/>
      </c>
      <c r="G4" s="4" t="str">
        <f>HYPERLINK("http://141.218.60.56/~jnz1568/getInfo.php?workbook=05_01.xlsx&amp;sheet=A0&amp;row=4&amp;col=7&amp;number==SUM(H4:M4)&amp;sourceID=11","=SUM(H4:M4)")</f>
        <v>=SUM(H4:M4)</v>
      </c>
      <c r="H4" s="4" t="str">
        <f>HYPERLINK("http://141.218.60.56/~jnz1568/getInfo.php?workbook=05_01.xlsx&amp;sheet=A0&amp;row=4&amp;col=8&amp;number=391810000000&amp;sourceID=11","391810000000")</f>
        <v>391810000000</v>
      </c>
      <c r="I4" s="4" t="str">
        <f>HYPERLINK("http://141.218.60.56/~jnz1568/getInfo.php?workbook=05_01.xlsx&amp;sheet=A0&amp;row=4&amp;col=9&amp;number=&amp;sourceID=11","")</f>
        <v/>
      </c>
      <c r="J4" s="4" t="str">
        <f>HYPERLINK("http://141.218.60.56/~jnz1568/getInfo.php?workbook=05_01.xlsx&amp;sheet=A0&amp;row=4&amp;col=10&amp;number=&amp;sourceID=11","")</f>
        <v/>
      </c>
      <c r="K4" s="4" t="str">
        <f>HYPERLINK("http://141.218.60.56/~jnz1568/getInfo.php?workbook=05_01.xlsx&amp;sheet=A0&amp;row=4&amp;col=11&amp;number=&amp;sourceID=11","")</f>
        <v/>
      </c>
      <c r="L4" s="4" t="str">
        <f>HYPERLINK("http://141.218.60.56/~jnz1568/getInfo.php?workbook=05_01.xlsx&amp;sheet=A0&amp;row=4&amp;col=12&amp;number=&amp;sourceID=11","")</f>
        <v/>
      </c>
      <c r="M4" s="4" t="str">
        <f>HYPERLINK("http://141.218.60.56/~jnz1568/getInfo.php?workbook=05_01.xlsx&amp;sheet=A0&amp;row=4&amp;col=13&amp;number=&amp;sourceID=11","")</f>
        <v/>
      </c>
      <c r="N4" s="4" t="str">
        <f>HYPERLINK("http://141.218.60.56/~jnz1568/getInfo.php?workbook=05_01.xlsx&amp;sheet=A0&amp;row=4&amp;col=14&amp;number=391830000000&amp;sourceID=12","391830000000")</f>
        <v>391830000000</v>
      </c>
      <c r="O4" s="4" t="str">
        <f>HYPERLINK("http://141.218.60.56/~jnz1568/getInfo.php?workbook=05_01.xlsx&amp;sheet=A0&amp;row=4&amp;col=15&amp;number=391830000000&amp;sourceID=12","391830000000")</f>
        <v>391830000000</v>
      </c>
      <c r="P4" s="4" t="str">
        <f>HYPERLINK("http://141.218.60.56/~jnz1568/getInfo.php?workbook=05_01.xlsx&amp;sheet=A0&amp;row=4&amp;col=16&amp;number=&amp;sourceID=12","")</f>
        <v/>
      </c>
      <c r="Q4" s="4" t="str">
        <f>HYPERLINK("http://141.218.60.56/~jnz1568/getInfo.php?workbook=05_01.xlsx&amp;sheet=A0&amp;row=4&amp;col=17&amp;number=&amp;sourceID=12","")</f>
        <v/>
      </c>
      <c r="R4" s="4" t="str">
        <f>HYPERLINK("http://141.218.60.56/~jnz1568/getInfo.php?workbook=05_01.xlsx&amp;sheet=A0&amp;row=4&amp;col=18&amp;number=&amp;sourceID=12","")</f>
        <v/>
      </c>
      <c r="S4" s="4" t="str">
        <f>HYPERLINK("http://141.218.60.56/~jnz1568/getInfo.php?workbook=05_01.xlsx&amp;sheet=A0&amp;row=4&amp;col=19&amp;number=&amp;sourceID=12","")</f>
        <v/>
      </c>
      <c r="T4" s="4" t="str">
        <f>HYPERLINK("http://141.218.60.56/~jnz1568/getInfo.php?workbook=05_01.xlsx&amp;sheet=A0&amp;row=4&amp;col=20&amp;number=&amp;sourceID=12","")</f>
        <v/>
      </c>
    </row>
    <row r="5" spans="1:20">
      <c r="A5" s="3">
        <v>5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HYPERLINK("http://141.218.60.56/~jnz1568/getInfo.php?workbook=05_01.xlsx&amp;sheet=A0&amp;row=5&amp;col=6&amp;number=128470&amp;sourceID=18","128470")</f>
        <v>128470</v>
      </c>
      <c r="G5" s="4" t="str">
        <f>HYPERLINK("http://141.218.60.56/~jnz1568/getInfo.php?workbook=05_01.xlsx&amp;sheet=A0&amp;row=5&amp;col=7&amp;number=&amp;sourceID=11","")</f>
        <v/>
      </c>
      <c r="H5" s="4" t="str">
        <f>HYPERLINK("http://141.218.60.56/~jnz1568/getInfo.php?workbook=05_01.xlsx&amp;sheet=A0&amp;row=5&amp;col=8&amp;number=&amp;sourceID=11","")</f>
        <v/>
      </c>
      <c r="I5" s="4" t="str">
        <f>HYPERLINK("http://141.218.60.56/~jnz1568/getInfo.php?workbook=05_01.xlsx&amp;sheet=A0&amp;row=5&amp;col=9&amp;number=&amp;sourceID=11","")</f>
        <v/>
      </c>
      <c r="J5" s="4" t="str">
        <f>HYPERLINK("http://141.218.60.56/~jnz1568/getInfo.php?workbook=05_01.xlsx&amp;sheet=A0&amp;row=5&amp;col=10&amp;number=&amp;sourceID=11","")</f>
        <v/>
      </c>
      <c r="K5" s="4" t="str">
        <f>HYPERLINK("http://141.218.60.56/~jnz1568/getInfo.php?workbook=05_01.xlsx&amp;sheet=A0&amp;row=5&amp;col=11&amp;number=24.406&amp;sourceID=11","24.406")</f>
        <v>24.406</v>
      </c>
      <c r="L5" s="4" t="str">
        <f>HYPERLINK("http://141.218.60.56/~jnz1568/getInfo.php?workbook=05_01.xlsx&amp;sheet=A0&amp;row=5&amp;col=12&amp;number=&amp;sourceID=11","")</f>
        <v/>
      </c>
      <c r="M5" s="4" t="str">
        <f>HYPERLINK("http://141.218.60.56/~jnz1568/getInfo.php?workbook=05_01.xlsx&amp;sheet=A0&amp;row=5&amp;col=13&amp;number=&amp;sourceID=11","")</f>
        <v/>
      </c>
      <c r="N5" s="4" t="str">
        <f>HYPERLINK("http://141.218.60.56/~jnz1568/getInfo.php?workbook=05_01.xlsx&amp;sheet=A0&amp;row=5&amp;col=14&amp;number=&amp;sourceID=12","")</f>
        <v/>
      </c>
      <c r="O5" s="4" t="str">
        <f>HYPERLINK("http://141.218.60.56/~jnz1568/getInfo.php?workbook=05_01.xlsx&amp;sheet=A0&amp;row=5&amp;col=15&amp;number=&amp;sourceID=12","")</f>
        <v/>
      </c>
      <c r="P5" s="4" t="str">
        <f>HYPERLINK("http://141.218.60.56/~jnz1568/getInfo.php?workbook=05_01.xlsx&amp;sheet=A0&amp;row=5&amp;col=16&amp;number=&amp;sourceID=12","")</f>
        <v/>
      </c>
      <c r="Q5" s="4" t="str">
        <f>HYPERLINK("http://141.218.60.56/~jnz1568/getInfo.php?workbook=05_01.xlsx&amp;sheet=A0&amp;row=5&amp;col=17&amp;number=&amp;sourceID=12","")</f>
        <v/>
      </c>
      <c r="R5" s="4" t="str">
        <f>HYPERLINK("http://141.218.60.56/~jnz1568/getInfo.php?workbook=05_01.xlsx&amp;sheet=A0&amp;row=5&amp;col=18&amp;number=24.407&amp;sourceID=12","24.407")</f>
        <v>24.407</v>
      </c>
      <c r="S5" s="4" t="str">
        <f>HYPERLINK("http://141.218.60.56/~jnz1568/getInfo.php?workbook=05_01.xlsx&amp;sheet=A0&amp;row=5&amp;col=19&amp;number=&amp;sourceID=12","")</f>
        <v/>
      </c>
      <c r="T5" s="4" t="str">
        <f>HYPERLINK("http://141.218.60.56/~jnz1568/getInfo.php?workbook=05_01.xlsx&amp;sheet=A0&amp;row=5&amp;col=20&amp;number=&amp;sourceID=12","")</f>
        <v/>
      </c>
    </row>
    <row r="6" spans="1:20">
      <c r="A6" s="3">
        <v>5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HYPERLINK("http://141.218.60.56/~jnz1568/getInfo.php?workbook=05_01.xlsx&amp;sheet=A0&amp;row=6&amp;col=6&amp;number=&amp;sourceID=18","")</f>
        <v/>
      </c>
      <c r="G6" s="4" t="str">
        <f>HYPERLINK("http://141.218.60.56/~jnz1568/getInfo.php?workbook=05_01.xlsx&amp;sheet=A0&amp;row=6&amp;col=7&amp;number==SUM(H6:M6)&amp;sourceID=11","=SUM(H6:M6)")</f>
        <v>=SUM(H6:M6)</v>
      </c>
      <c r="H6" s="4" t="str">
        <f>HYPERLINK("http://141.218.60.56/~jnz1568/getInfo.php?workbook=05_01.xlsx&amp;sheet=A0&amp;row=6&amp;col=8&amp;number=391630000000&amp;sourceID=11","391630000000")</f>
        <v>391630000000</v>
      </c>
      <c r="I6" s="4" t="str">
        <f>HYPERLINK("http://141.218.60.56/~jnz1568/getInfo.php?workbook=05_01.xlsx&amp;sheet=A0&amp;row=6&amp;col=9&amp;number=&amp;sourceID=11","")</f>
        <v/>
      </c>
      <c r="J6" s="4" t="str">
        <f>HYPERLINK("http://141.218.60.56/~jnz1568/getInfo.php?workbook=05_01.xlsx&amp;sheet=A0&amp;row=6&amp;col=10&amp;number=&amp;sourceID=11","")</f>
        <v/>
      </c>
      <c r="K6" s="4" t="str">
        <f>HYPERLINK("http://141.218.60.56/~jnz1568/getInfo.php?workbook=05_01.xlsx&amp;sheet=A0&amp;row=6&amp;col=11&amp;number=&amp;sourceID=11","")</f>
        <v/>
      </c>
      <c r="L6" s="4" t="str">
        <f>HYPERLINK("http://141.218.60.56/~jnz1568/getInfo.php?workbook=05_01.xlsx&amp;sheet=A0&amp;row=6&amp;col=12&amp;number=18314&amp;sourceID=11","18314")</f>
        <v>18314</v>
      </c>
      <c r="M6" s="4" t="str">
        <f>HYPERLINK("http://141.218.60.56/~jnz1568/getInfo.php?workbook=05_01.xlsx&amp;sheet=A0&amp;row=6&amp;col=13&amp;number=&amp;sourceID=11","")</f>
        <v/>
      </c>
      <c r="N6" s="4" t="str">
        <f>HYPERLINK("http://141.218.60.56/~jnz1568/getInfo.php?workbook=05_01.xlsx&amp;sheet=A0&amp;row=6&amp;col=14&amp;number=391650000000&amp;sourceID=12","391650000000")</f>
        <v>391650000000</v>
      </c>
      <c r="O6" s="4" t="str">
        <f>HYPERLINK("http://141.218.60.56/~jnz1568/getInfo.php?workbook=05_01.xlsx&amp;sheet=A0&amp;row=6&amp;col=15&amp;number=391650000000&amp;sourceID=12","391650000000")</f>
        <v>391650000000</v>
      </c>
      <c r="P6" s="4" t="str">
        <f>HYPERLINK("http://141.218.60.56/~jnz1568/getInfo.php?workbook=05_01.xlsx&amp;sheet=A0&amp;row=6&amp;col=16&amp;number=&amp;sourceID=12","")</f>
        <v/>
      </c>
      <c r="Q6" s="4" t="str">
        <f>HYPERLINK("http://141.218.60.56/~jnz1568/getInfo.php?workbook=05_01.xlsx&amp;sheet=A0&amp;row=6&amp;col=17&amp;number=&amp;sourceID=12","")</f>
        <v/>
      </c>
      <c r="R6" s="4" t="str">
        <f>HYPERLINK("http://141.218.60.56/~jnz1568/getInfo.php?workbook=05_01.xlsx&amp;sheet=A0&amp;row=6&amp;col=18&amp;number=&amp;sourceID=12","")</f>
        <v/>
      </c>
      <c r="S6" s="4" t="str">
        <f>HYPERLINK("http://141.218.60.56/~jnz1568/getInfo.php?workbook=05_01.xlsx&amp;sheet=A0&amp;row=6&amp;col=19&amp;number=18315&amp;sourceID=12","18315")</f>
        <v>18315</v>
      </c>
      <c r="T6" s="4" t="str">
        <f>HYPERLINK("http://141.218.60.56/~jnz1568/getInfo.php?workbook=05_01.xlsx&amp;sheet=A0&amp;row=6&amp;col=20&amp;number=&amp;sourceID=12","")</f>
        <v/>
      </c>
    </row>
    <row r="7" spans="1:20">
      <c r="A7" s="3">
        <v>5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HYPERLINK("http://141.218.60.56/~jnz1568/getInfo.php?workbook=05_01.xlsx&amp;sheet=A0&amp;row=7&amp;col=6&amp;number=&amp;sourceID=18","")</f>
        <v/>
      </c>
      <c r="G7" s="4" t="str">
        <f>HYPERLINK("http://141.218.60.56/~jnz1568/getInfo.php?workbook=05_01.xlsx&amp;sheet=A0&amp;row=7&amp;col=7&amp;number==&amp;sourceID=11","=")</f>
        <v>=</v>
      </c>
      <c r="H7" s="4" t="str">
        <f>HYPERLINK("http://141.218.60.56/~jnz1568/getInfo.php?workbook=05_01.xlsx&amp;sheet=A0&amp;row=7&amp;col=8&amp;number=&amp;sourceID=11","")</f>
        <v/>
      </c>
      <c r="I7" s="4" t="str">
        <f>HYPERLINK("http://141.218.60.56/~jnz1568/getInfo.php?workbook=05_01.xlsx&amp;sheet=A0&amp;row=7&amp;col=9&amp;number=2.0044e-11&amp;sourceID=11","2.0044e-11")</f>
        <v>2.0044e-11</v>
      </c>
      <c r="J7" s="4" t="str">
        <f>HYPERLINK("http://141.218.60.56/~jnz1568/getInfo.php?workbook=05_01.xlsx&amp;sheet=A0&amp;row=7&amp;col=10&amp;number=&amp;sourceID=11","")</f>
        <v/>
      </c>
      <c r="K7" s="4" t="str">
        <f>HYPERLINK("http://141.218.60.56/~jnz1568/getInfo.php?workbook=05_01.xlsx&amp;sheet=A0&amp;row=7&amp;col=11&amp;number=0.00010719&amp;sourceID=11","0.00010719")</f>
        <v>0.00010719</v>
      </c>
      <c r="L7" s="4" t="str">
        <f>HYPERLINK("http://141.218.60.56/~jnz1568/getInfo.php?workbook=05_01.xlsx&amp;sheet=A0&amp;row=7&amp;col=12&amp;number=&amp;sourceID=11","")</f>
        <v/>
      </c>
      <c r="M7" s="4" t="str">
        <f>HYPERLINK("http://141.218.60.56/~jnz1568/getInfo.php?workbook=05_01.xlsx&amp;sheet=A0&amp;row=7&amp;col=13&amp;number=&amp;sourceID=11","")</f>
        <v/>
      </c>
      <c r="N7" s="4" t="str">
        <f>HYPERLINK("http://141.218.60.56/~jnz1568/getInfo.php?workbook=05_01.xlsx&amp;sheet=A0&amp;row=7&amp;col=14&amp;number=0.00010719&amp;sourceID=12","0.00010719")</f>
        <v>0.00010719</v>
      </c>
      <c r="O7" s="4" t="str">
        <f>HYPERLINK("http://141.218.60.56/~jnz1568/getInfo.php?workbook=05_01.xlsx&amp;sheet=A0&amp;row=7&amp;col=15&amp;number=&amp;sourceID=12","")</f>
        <v/>
      </c>
      <c r="P7" s="4" t="str">
        <f>HYPERLINK("http://141.218.60.56/~jnz1568/getInfo.php?workbook=05_01.xlsx&amp;sheet=A0&amp;row=7&amp;col=16&amp;number=2.0045e-11&amp;sourceID=12","2.0045e-11")</f>
        <v>2.0045e-11</v>
      </c>
      <c r="Q7" s="4" t="str">
        <f>HYPERLINK("http://141.218.60.56/~jnz1568/getInfo.php?workbook=05_01.xlsx&amp;sheet=A0&amp;row=7&amp;col=17&amp;number=&amp;sourceID=12","")</f>
        <v/>
      </c>
      <c r="R7" s="4" t="str">
        <f>HYPERLINK("http://141.218.60.56/~jnz1568/getInfo.php?workbook=05_01.xlsx&amp;sheet=A0&amp;row=7&amp;col=18&amp;number=0.00010719&amp;sourceID=12","0.00010719")</f>
        <v>0.00010719</v>
      </c>
      <c r="S7" s="4" t="str">
        <f>HYPERLINK("http://141.218.60.56/~jnz1568/getInfo.php?workbook=05_01.xlsx&amp;sheet=A0&amp;row=7&amp;col=19&amp;number=&amp;sourceID=12","")</f>
        <v/>
      </c>
      <c r="T7" s="4" t="str">
        <f>HYPERLINK("http://141.218.60.56/~jnz1568/getInfo.php?workbook=05_01.xlsx&amp;sheet=A0&amp;row=7&amp;col=20&amp;number=&amp;sourceID=12","")</f>
        <v/>
      </c>
    </row>
    <row r="8" spans="1:20">
      <c r="A8" s="3">
        <v>5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HYPERLINK("http://141.218.60.56/~jnz1568/getInfo.php?workbook=05_01.xlsx&amp;sheet=A0&amp;row=8&amp;col=6&amp;number=&amp;sourceID=18","")</f>
        <v/>
      </c>
      <c r="G8" s="4" t="str">
        <f>HYPERLINK("http://141.218.60.56/~jnz1568/getInfo.php?workbook=05_01.xlsx&amp;sheet=A0&amp;row=8&amp;col=7&amp;number==&amp;sourceID=11","=")</f>
        <v>=</v>
      </c>
      <c r="H8" s="4" t="str">
        <f>HYPERLINK("http://141.218.60.56/~jnz1568/getInfo.php?workbook=05_01.xlsx&amp;sheet=A0&amp;row=8&amp;col=8&amp;number=8.6931&amp;sourceID=11","8.6931")</f>
        <v>8.6931</v>
      </c>
      <c r="I8" s="4" t="str">
        <f>HYPERLINK("http://141.218.60.56/~jnz1568/getInfo.php?workbook=05_01.xlsx&amp;sheet=A0&amp;row=8&amp;col=9&amp;number=&amp;sourceID=11","")</f>
        <v/>
      </c>
      <c r="J8" s="4" t="str">
        <f>HYPERLINK("http://141.218.60.56/~jnz1568/getInfo.php?workbook=05_01.xlsx&amp;sheet=A0&amp;row=8&amp;col=10&amp;number=&amp;sourceID=11","")</f>
        <v/>
      </c>
      <c r="K8" s="4" t="str">
        <f>HYPERLINK("http://141.218.60.56/~jnz1568/getInfo.php?workbook=05_01.xlsx&amp;sheet=A0&amp;row=8&amp;col=11&amp;number=&amp;sourceID=11","")</f>
        <v/>
      </c>
      <c r="L8" s="4" t="str">
        <f>HYPERLINK("http://141.218.60.56/~jnz1568/getInfo.php?workbook=05_01.xlsx&amp;sheet=A0&amp;row=8&amp;col=12&amp;number=5e-15&amp;sourceID=11","5e-15")</f>
        <v>5e-15</v>
      </c>
      <c r="M8" s="4" t="str">
        <f>HYPERLINK("http://141.218.60.56/~jnz1568/getInfo.php?workbook=05_01.xlsx&amp;sheet=A0&amp;row=8&amp;col=13&amp;number=&amp;sourceID=11","")</f>
        <v/>
      </c>
      <c r="N8" s="4" t="str">
        <f>HYPERLINK("http://141.218.60.56/~jnz1568/getInfo.php?workbook=05_01.xlsx&amp;sheet=A0&amp;row=8&amp;col=14&amp;number=8.6935&amp;sourceID=12","8.6935")</f>
        <v>8.6935</v>
      </c>
      <c r="O8" s="4" t="str">
        <f>HYPERLINK("http://141.218.60.56/~jnz1568/getInfo.php?workbook=05_01.xlsx&amp;sheet=A0&amp;row=8&amp;col=15&amp;number=8.6935&amp;sourceID=12","8.6935")</f>
        <v>8.6935</v>
      </c>
      <c r="P8" s="4" t="str">
        <f>HYPERLINK("http://141.218.60.56/~jnz1568/getInfo.php?workbook=05_01.xlsx&amp;sheet=A0&amp;row=8&amp;col=16&amp;number=&amp;sourceID=12","")</f>
        <v/>
      </c>
      <c r="Q8" s="4" t="str">
        <f>HYPERLINK("http://141.218.60.56/~jnz1568/getInfo.php?workbook=05_01.xlsx&amp;sheet=A0&amp;row=8&amp;col=17&amp;number=&amp;sourceID=12","")</f>
        <v/>
      </c>
      <c r="R8" s="4" t="str">
        <f>HYPERLINK("http://141.218.60.56/~jnz1568/getInfo.php?workbook=05_01.xlsx&amp;sheet=A0&amp;row=8&amp;col=18&amp;number=&amp;sourceID=12","")</f>
        <v/>
      </c>
      <c r="S8" s="4" t="str">
        <f>HYPERLINK("http://141.218.60.56/~jnz1568/getInfo.php?workbook=05_01.xlsx&amp;sheet=A0&amp;row=8&amp;col=19&amp;number=5e-15&amp;sourceID=12","5e-15")</f>
        <v>5e-15</v>
      </c>
      <c r="T8" s="4" t="str">
        <f>HYPERLINK("http://141.218.60.56/~jnz1568/getInfo.php?workbook=05_01.xlsx&amp;sheet=A0&amp;row=8&amp;col=20&amp;number=&amp;sourceID=12","")</f>
        <v/>
      </c>
    </row>
    <row r="9" spans="1:20">
      <c r="A9" s="3">
        <v>5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HYPERLINK("http://141.218.60.56/~jnz1568/getInfo.php?workbook=05_01.xlsx&amp;sheet=A0&amp;row=9&amp;col=6&amp;number=&amp;sourceID=18","")</f>
        <v/>
      </c>
      <c r="G9" s="4" t="str">
        <f>HYPERLINK("http://141.218.60.56/~jnz1568/getInfo.php?workbook=05_01.xlsx&amp;sheet=A0&amp;row=9&amp;col=7&amp;number==&amp;sourceID=11","=")</f>
        <v>=</v>
      </c>
      <c r="H9" s="4" t="str">
        <f>HYPERLINK("http://141.218.60.56/~jnz1568/getInfo.php?workbook=05_01.xlsx&amp;sheet=A0&amp;row=9&amp;col=8&amp;number=104560000000&amp;sourceID=11","104560000000")</f>
        <v>104560000000</v>
      </c>
      <c r="I9" s="4" t="str">
        <f>HYPERLINK("http://141.218.60.56/~jnz1568/getInfo.php?workbook=05_01.xlsx&amp;sheet=A0&amp;row=9&amp;col=9&amp;number=&amp;sourceID=11","")</f>
        <v/>
      </c>
      <c r="J9" s="4" t="str">
        <f>HYPERLINK("http://141.218.60.56/~jnz1568/getInfo.php?workbook=05_01.xlsx&amp;sheet=A0&amp;row=9&amp;col=10&amp;number=&amp;sourceID=11","")</f>
        <v/>
      </c>
      <c r="K9" s="4" t="str">
        <f>HYPERLINK("http://141.218.60.56/~jnz1568/getInfo.php?workbook=05_01.xlsx&amp;sheet=A0&amp;row=9&amp;col=11&amp;number=&amp;sourceID=11","")</f>
        <v/>
      </c>
      <c r="L9" s="4" t="str">
        <f>HYPERLINK("http://141.218.60.56/~jnz1568/getInfo.php?workbook=05_01.xlsx&amp;sheet=A0&amp;row=9&amp;col=12&amp;number=&amp;sourceID=11","")</f>
        <v/>
      </c>
      <c r="M9" s="4" t="str">
        <f>HYPERLINK("http://141.218.60.56/~jnz1568/getInfo.php?workbook=05_01.xlsx&amp;sheet=A0&amp;row=9&amp;col=13&amp;number=&amp;sourceID=11","")</f>
        <v/>
      </c>
      <c r="N9" s="4" t="str">
        <f>HYPERLINK("http://141.218.60.56/~jnz1568/getInfo.php?workbook=05_01.xlsx&amp;sheet=A0&amp;row=9&amp;col=14&amp;number=104570000000&amp;sourceID=12","104570000000")</f>
        <v>104570000000</v>
      </c>
      <c r="O9" s="4" t="str">
        <f>HYPERLINK("http://141.218.60.56/~jnz1568/getInfo.php?workbook=05_01.xlsx&amp;sheet=A0&amp;row=9&amp;col=15&amp;number=104570000000&amp;sourceID=12","104570000000")</f>
        <v>104570000000</v>
      </c>
      <c r="P9" s="4" t="str">
        <f>HYPERLINK("http://141.218.60.56/~jnz1568/getInfo.php?workbook=05_01.xlsx&amp;sheet=A0&amp;row=9&amp;col=16&amp;number=&amp;sourceID=12","")</f>
        <v/>
      </c>
      <c r="Q9" s="4" t="str">
        <f>HYPERLINK("http://141.218.60.56/~jnz1568/getInfo.php?workbook=05_01.xlsx&amp;sheet=A0&amp;row=9&amp;col=17&amp;number=&amp;sourceID=12","")</f>
        <v/>
      </c>
      <c r="R9" s="4" t="str">
        <f>HYPERLINK("http://141.218.60.56/~jnz1568/getInfo.php?workbook=05_01.xlsx&amp;sheet=A0&amp;row=9&amp;col=18&amp;number=&amp;sourceID=12","")</f>
        <v/>
      </c>
      <c r="S9" s="4" t="str">
        <f>HYPERLINK("http://141.218.60.56/~jnz1568/getInfo.php?workbook=05_01.xlsx&amp;sheet=A0&amp;row=9&amp;col=19&amp;number=&amp;sourceID=12","")</f>
        <v/>
      </c>
      <c r="T9" s="4" t="str">
        <f>HYPERLINK("http://141.218.60.56/~jnz1568/getInfo.php?workbook=05_01.xlsx&amp;sheet=A0&amp;row=9&amp;col=20&amp;number=&amp;sourceID=12","")</f>
        <v/>
      </c>
    </row>
    <row r="10" spans="1:20">
      <c r="A10" s="3">
        <v>5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HYPERLINK("http://141.218.60.56/~jnz1568/getInfo.php?workbook=05_01.xlsx&amp;sheet=A0&amp;row=10&amp;col=6&amp;number=&amp;sourceID=18","")</f>
        <v/>
      </c>
      <c r="G10" s="4" t="str">
        <f>HYPERLINK("http://141.218.60.56/~jnz1568/getInfo.php?workbook=05_01.xlsx&amp;sheet=A0&amp;row=10&amp;col=7&amp;number==&amp;sourceID=11","=")</f>
        <v>=</v>
      </c>
      <c r="H10" s="4" t="str">
        <f>HYPERLINK("http://141.218.60.56/~jnz1568/getInfo.php?workbook=05_01.xlsx&amp;sheet=A0&amp;row=10&amp;col=8&amp;number=&amp;sourceID=11","")</f>
        <v/>
      </c>
      <c r="I10" s="4" t="str">
        <f>HYPERLINK("http://141.218.60.56/~jnz1568/getInfo.php?workbook=05_01.xlsx&amp;sheet=A0&amp;row=10&amp;col=9&amp;number=&amp;sourceID=11","")</f>
        <v/>
      </c>
      <c r="J10" s="4" t="str">
        <f>HYPERLINK("http://141.218.60.56/~jnz1568/getInfo.php?workbook=05_01.xlsx&amp;sheet=A0&amp;row=10&amp;col=10&amp;number=&amp;sourceID=11","")</f>
        <v/>
      </c>
      <c r="K10" s="4" t="str">
        <f>HYPERLINK("http://141.218.60.56/~jnz1568/getInfo.php?workbook=05_01.xlsx&amp;sheet=A0&amp;row=10&amp;col=11&amp;number=0.0048019&amp;sourceID=11","0.0048019")</f>
        <v>0.0048019</v>
      </c>
      <c r="L10" s="4" t="str">
        <f>HYPERLINK("http://141.218.60.56/~jnz1568/getInfo.php?workbook=05_01.xlsx&amp;sheet=A0&amp;row=10&amp;col=12&amp;number=&amp;sourceID=11","")</f>
        <v/>
      </c>
      <c r="M10" s="4" t="str">
        <f>HYPERLINK("http://141.218.60.56/~jnz1568/getInfo.php?workbook=05_01.xlsx&amp;sheet=A0&amp;row=10&amp;col=13&amp;number=&amp;sourceID=11","")</f>
        <v/>
      </c>
      <c r="N10" s="4" t="str">
        <f>HYPERLINK("http://141.218.60.56/~jnz1568/getInfo.php?workbook=05_01.xlsx&amp;sheet=A0&amp;row=10&amp;col=14&amp;number=0.0048022&amp;sourceID=12","0.0048022")</f>
        <v>0.0048022</v>
      </c>
      <c r="O10" s="4" t="str">
        <f>HYPERLINK("http://141.218.60.56/~jnz1568/getInfo.php?workbook=05_01.xlsx&amp;sheet=A0&amp;row=10&amp;col=15&amp;number=&amp;sourceID=12","")</f>
        <v/>
      </c>
      <c r="P10" s="4" t="str">
        <f>HYPERLINK("http://141.218.60.56/~jnz1568/getInfo.php?workbook=05_01.xlsx&amp;sheet=A0&amp;row=10&amp;col=16&amp;number=&amp;sourceID=12","")</f>
        <v/>
      </c>
      <c r="Q10" s="4" t="str">
        <f>HYPERLINK("http://141.218.60.56/~jnz1568/getInfo.php?workbook=05_01.xlsx&amp;sheet=A0&amp;row=10&amp;col=17&amp;number=&amp;sourceID=12","")</f>
        <v/>
      </c>
      <c r="R10" s="4" t="str">
        <f>HYPERLINK("http://141.218.60.56/~jnz1568/getInfo.php?workbook=05_01.xlsx&amp;sheet=A0&amp;row=10&amp;col=18&amp;number=0.0048022&amp;sourceID=12","0.0048022")</f>
        <v>0.0048022</v>
      </c>
      <c r="S10" s="4" t="str">
        <f>HYPERLINK("http://141.218.60.56/~jnz1568/getInfo.php?workbook=05_01.xlsx&amp;sheet=A0&amp;row=10&amp;col=19&amp;number=&amp;sourceID=12","")</f>
        <v/>
      </c>
      <c r="T10" s="4" t="str">
        <f>HYPERLINK("http://141.218.60.56/~jnz1568/getInfo.php?workbook=05_01.xlsx&amp;sheet=A0&amp;row=10&amp;col=20&amp;number=&amp;sourceID=12","")</f>
        <v/>
      </c>
    </row>
    <row r="11" spans="1:20">
      <c r="A11" s="3">
        <v>5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HYPERLINK("http://141.218.60.56/~jnz1568/getInfo.php?workbook=05_01.xlsx&amp;sheet=A0&amp;row=11&amp;col=6&amp;number=&amp;sourceID=18","")</f>
        <v/>
      </c>
      <c r="G11" s="4" t="str">
        <f>HYPERLINK("http://141.218.60.56/~jnz1568/getInfo.php?workbook=05_01.xlsx&amp;sheet=A0&amp;row=11&amp;col=7&amp;number==&amp;sourceID=11","=")</f>
        <v>=</v>
      </c>
      <c r="H11" s="4" t="str">
        <f>HYPERLINK("http://141.218.60.56/~jnz1568/getInfo.php?workbook=05_01.xlsx&amp;sheet=A0&amp;row=11&amp;col=8&amp;number=14050000000&amp;sourceID=11","14050000000")</f>
        <v>14050000000</v>
      </c>
      <c r="I11" s="4" t="str">
        <f>HYPERLINK("http://141.218.60.56/~jnz1568/getInfo.php?workbook=05_01.xlsx&amp;sheet=A0&amp;row=11&amp;col=9&amp;number=&amp;sourceID=11","")</f>
        <v/>
      </c>
      <c r="J11" s="4" t="str">
        <f>HYPERLINK("http://141.218.60.56/~jnz1568/getInfo.php?workbook=05_01.xlsx&amp;sheet=A0&amp;row=11&amp;col=10&amp;number=&amp;sourceID=11","")</f>
        <v/>
      </c>
      <c r="K11" s="4" t="str">
        <f>HYPERLINK("http://141.218.60.56/~jnz1568/getInfo.php?workbook=05_01.xlsx&amp;sheet=A0&amp;row=11&amp;col=11&amp;number=&amp;sourceID=11","")</f>
        <v/>
      </c>
      <c r="L11" s="4" t="str">
        <f>HYPERLINK("http://141.218.60.56/~jnz1568/getInfo.php?workbook=05_01.xlsx&amp;sheet=A0&amp;row=11&amp;col=12&amp;number=&amp;sourceID=11","")</f>
        <v/>
      </c>
      <c r="M11" s="4" t="str">
        <f>HYPERLINK("http://141.218.60.56/~jnz1568/getInfo.php?workbook=05_01.xlsx&amp;sheet=A0&amp;row=11&amp;col=13&amp;number=&amp;sourceID=11","")</f>
        <v/>
      </c>
      <c r="N11" s="4" t="str">
        <f>HYPERLINK("http://141.218.60.56/~jnz1568/getInfo.php?workbook=05_01.xlsx&amp;sheet=A0&amp;row=11&amp;col=14&amp;number=14050000000&amp;sourceID=12","14050000000")</f>
        <v>14050000000</v>
      </c>
      <c r="O11" s="4" t="str">
        <f>HYPERLINK("http://141.218.60.56/~jnz1568/getInfo.php?workbook=05_01.xlsx&amp;sheet=A0&amp;row=11&amp;col=15&amp;number=14050000000&amp;sourceID=12","14050000000")</f>
        <v>14050000000</v>
      </c>
      <c r="P11" s="4" t="str">
        <f>HYPERLINK("http://141.218.60.56/~jnz1568/getInfo.php?workbook=05_01.xlsx&amp;sheet=A0&amp;row=11&amp;col=16&amp;number=&amp;sourceID=12","")</f>
        <v/>
      </c>
      <c r="Q11" s="4" t="str">
        <f>HYPERLINK("http://141.218.60.56/~jnz1568/getInfo.php?workbook=05_01.xlsx&amp;sheet=A0&amp;row=11&amp;col=17&amp;number=&amp;sourceID=12","")</f>
        <v/>
      </c>
      <c r="R11" s="4" t="str">
        <f>HYPERLINK("http://141.218.60.56/~jnz1568/getInfo.php?workbook=05_01.xlsx&amp;sheet=A0&amp;row=11&amp;col=18&amp;number=&amp;sourceID=12","")</f>
        <v/>
      </c>
      <c r="S11" s="4" t="str">
        <f>HYPERLINK("http://141.218.60.56/~jnz1568/getInfo.php?workbook=05_01.xlsx&amp;sheet=A0&amp;row=11&amp;col=19&amp;number=&amp;sourceID=12","")</f>
        <v/>
      </c>
      <c r="T11" s="4" t="str">
        <f>HYPERLINK("http://141.218.60.56/~jnz1568/getInfo.php?workbook=05_01.xlsx&amp;sheet=A0&amp;row=11&amp;col=20&amp;number=&amp;sourceID=12","")</f>
        <v/>
      </c>
    </row>
    <row r="12" spans="1:20">
      <c r="A12" s="3">
        <v>5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HYPERLINK("http://141.218.60.56/~jnz1568/getInfo.php?workbook=05_01.xlsx&amp;sheet=A0&amp;row=12&amp;col=6&amp;number=&amp;sourceID=18","")</f>
        <v/>
      </c>
      <c r="G12" s="4" t="str">
        <f>HYPERLINK("http://141.218.60.56/~jnz1568/getInfo.php?workbook=05_01.xlsx&amp;sheet=A0&amp;row=12&amp;col=7&amp;number==&amp;sourceID=11","=")</f>
        <v>=</v>
      </c>
      <c r="H12" s="4" t="str">
        <f>HYPERLINK("http://141.218.60.56/~jnz1568/getInfo.php?workbook=05_01.xlsx&amp;sheet=A0&amp;row=12&amp;col=8&amp;number=&amp;sourceID=11","")</f>
        <v/>
      </c>
      <c r="I12" s="4" t="str">
        <f>HYPERLINK("http://141.218.60.56/~jnz1568/getInfo.php?workbook=05_01.xlsx&amp;sheet=A0&amp;row=12&amp;col=9&amp;number=373820&amp;sourceID=11","373820")</f>
        <v>373820</v>
      </c>
      <c r="J12" s="4" t="str">
        <f>HYPERLINK("http://141.218.60.56/~jnz1568/getInfo.php?workbook=05_01.xlsx&amp;sheet=A0&amp;row=12&amp;col=10&amp;number=&amp;sourceID=11","")</f>
        <v/>
      </c>
      <c r="K12" s="4" t="str">
        <f>HYPERLINK("http://141.218.60.56/~jnz1568/getInfo.php?workbook=05_01.xlsx&amp;sheet=A0&amp;row=12&amp;col=11&amp;number=0.12608&amp;sourceID=11","0.12608")</f>
        <v>0.12608</v>
      </c>
      <c r="L12" s="4" t="str">
        <f>HYPERLINK("http://141.218.60.56/~jnz1568/getInfo.php?workbook=05_01.xlsx&amp;sheet=A0&amp;row=12&amp;col=12&amp;number=&amp;sourceID=11","")</f>
        <v/>
      </c>
      <c r="M12" s="4" t="str">
        <f>HYPERLINK("http://141.218.60.56/~jnz1568/getInfo.php?workbook=05_01.xlsx&amp;sheet=A0&amp;row=12&amp;col=13&amp;number=&amp;sourceID=11","")</f>
        <v/>
      </c>
      <c r="N12" s="4" t="str">
        <f>HYPERLINK("http://141.218.60.56/~jnz1568/getInfo.php?workbook=05_01.xlsx&amp;sheet=A0&amp;row=12&amp;col=14&amp;number=373840&amp;sourceID=12","373840")</f>
        <v>373840</v>
      </c>
      <c r="O12" s="4" t="str">
        <f>HYPERLINK("http://141.218.60.56/~jnz1568/getInfo.php?workbook=05_01.xlsx&amp;sheet=A0&amp;row=12&amp;col=15&amp;number=&amp;sourceID=12","")</f>
        <v/>
      </c>
      <c r="P12" s="4" t="str">
        <f>HYPERLINK("http://141.218.60.56/~jnz1568/getInfo.php?workbook=05_01.xlsx&amp;sheet=A0&amp;row=12&amp;col=16&amp;number=373840&amp;sourceID=12","373840")</f>
        <v>373840</v>
      </c>
      <c r="Q12" s="4" t="str">
        <f>HYPERLINK("http://141.218.60.56/~jnz1568/getInfo.php?workbook=05_01.xlsx&amp;sheet=A0&amp;row=12&amp;col=17&amp;number=&amp;sourceID=12","")</f>
        <v/>
      </c>
      <c r="R12" s="4" t="str">
        <f>HYPERLINK("http://141.218.60.56/~jnz1568/getInfo.php?workbook=05_01.xlsx&amp;sheet=A0&amp;row=12&amp;col=18&amp;number=0.12608&amp;sourceID=12","0.12608")</f>
        <v>0.12608</v>
      </c>
      <c r="S12" s="4" t="str">
        <f>HYPERLINK("http://141.218.60.56/~jnz1568/getInfo.php?workbook=05_01.xlsx&amp;sheet=A0&amp;row=12&amp;col=19&amp;number=&amp;sourceID=12","")</f>
        <v/>
      </c>
      <c r="T12" s="4" t="str">
        <f>HYPERLINK("http://141.218.60.56/~jnz1568/getInfo.php?workbook=05_01.xlsx&amp;sheet=A0&amp;row=12&amp;col=20&amp;number=&amp;sourceID=12","")</f>
        <v/>
      </c>
    </row>
    <row r="13" spans="1:20">
      <c r="A13" s="3">
        <v>5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HYPERLINK("http://141.218.60.56/~jnz1568/getInfo.php?workbook=05_01.xlsx&amp;sheet=A0&amp;row=13&amp;col=6&amp;number=&amp;sourceID=18","")</f>
        <v/>
      </c>
      <c r="G13" s="4" t="str">
        <f>HYPERLINK("http://141.218.60.56/~jnz1568/getInfo.php?workbook=05_01.xlsx&amp;sheet=A0&amp;row=13&amp;col=7&amp;number==&amp;sourceID=11","=")</f>
        <v>=</v>
      </c>
      <c r="H13" s="4" t="str">
        <f>HYPERLINK("http://141.218.60.56/~jnz1568/getInfo.php?workbook=05_01.xlsx&amp;sheet=A0&amp;row=13&amp;col=8&amp;number=&amp;sourceID=11","")</f>
        <v/>
      </c>
      <c r="I13" s="4" t="str">
        <f>HYPERLINK("http://141.218.60.56/~jnz1568/getInfo.php?workbook=05_01.xlsx&amp;sheet=A0&amp;row=13&amp;col=9&amp;number=&amp;sourceID=11","")</f>
        <v/>
      </c>
      <c r="J13" s="4" t="str">
        <f>HYPERLINK("http://141.218.60.56/~jnz1568/getInfo.php?workbook=05_01.xlsx&amp;sheet=A0&amp;row=13&amp;col=10&amp;number=&amp;sourceID=11","")</f>
        <v/>
      </c>
      <c r="K13" s="4" t="str">
        <f>HYPERLINK("http://141.218.60.56/~jnz1568/getInfo.php?workbook=05_01.xlsx&amp;sheet=A0&amp;row=13&amp;col=11&amp;number=10.846&amp;sourceID=11","10.846")</f>
        <v>10.846</v>
      </c>
      <c r="L13" s="4" t="str">
        <f>HYPERLINK("http://141.218.60.56/~jnz1568/getInfo.php?workbook=05_01.xlsx&amp;sheet=A0&amp;row=13&amp;col=12&amp;number=&amp;sourceID=11","")</f>
        <v/>
      </c>
      <c r="M13" s="4" t="str">
        <f>HYPERLINK("http://141.218.60.56/~jnz1568/getInfo.php?workbook=05_01.xlsx&amp;sheet=A0&amp;row=13&amp;col=13&amp;number=&amp;sourceID=11","")</f>
        <v/>
      </c>
      <c r="N13" s="4" t="str">
        <f>HYPERLINK("http://141.218.60.56/~jnz1568/getInfo.php?workbook=05_01.xlsx&amp;sheet=A0&amp;row=13&amp;col=14&amp;number=10.849&amp;sourceID=12","10.849")</f>
        <v>10.849</v>
      </c>
      <c r="O13" s="4" t="str">
        <f>HYPERLINK("http://141.218.60.56/~jnz1568/getInfo.php?workbook=05_01.xlsx&amp;sheet=A0&amp;row=13&amp;col=15&amp;number=&amp;sourceID=12","")</f>
        <v/>
      </c>
      <c r="P13" s="4" t="str">
        <f>HYPERLINK("http://141.218.60.56/~jnz1568/getInfo.php?workbook=05_01.xlsx&amp;sheet=A0&amp;row=13&amp;col=16&amp;number=&amp;sourceID=12","")</f>
        <v/>
      </c>
      <c r="Q13" s="4" t="str">
        <f>HYPERLINK("http://141.218.60.56/~jnz1568/getInfo.php?workbook=05_01.xlsx&amp;sheet=A0&amp;row=13&amp;col=17&amp;number=&amp;sourceID=12","")</f>
        <v/>
      </c>
      <c r="R13" s="4" t="str">
        <f>HYPERLINK("http://141.218.60.56/~jnz1568/getInfo.php?workbook=05_01.xlsx&amp;sheet=A0&amp;row=13&amp;col=18&amp;number=10.849&amp;sourceID=12","10.849")</f>
        <v>10.849</v>
      </c>
      <c r="S13" s="4" t="str">
        <f>HYPERLINK("http://141.218.60.56/~jnz1568/getInfo.php?workbook=05_01.xlsx&amp;sheet=A0&amp;row=13&amp;col=19&amp;number=&amp;sourceID=12","")</f>
        <v/>
      </c>
      <c r="T13" s="4" t="str">
        <f>HYPERLINK("http://141.218.60.56/~jnz1568/getInfo.php?workbook=05_01.xlsx&amp;sheet=A0&amp;row=13&amp;col=20&amp;number=&amp;sourceID=12","")</f>
        <v/>
      </c>
    </row>
    <row r="14" spans="1:20">
      <c r="A14" s="3">
        <v>5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HYPERLINK("http://141.218.60.56/~jnz1568/getInfo.php?workbook=05_01.xlsx&amp;sheet=A0&amp;row=14&amp;col=6&amp;number=&amp;sourceID=18","")</f>
        <v/>
      </c>
      <c r="G14" s="4" t="str">
        <f>HYPERLINK("http://141.218.60.56/~jnz1568/getInfo.php?workbook=05_01.xlsx&amp;sheet=A0&amp;row=14&amp;col=7&amp;number==&amp;sourceID=11","=")</f>
        <v>=</v>
      </c>
      <c r="H14" s="4" t="str">
        <f>HYPERLINK("http://141.218.60.56/~jnz1568/getInfo.php?workbook=05_01.xlsx&amp;sheet=A0&amp;row=14&amp;col=8&amp;number=1317100000&amp;sourceID=11","1317100000")</f>
        <v>1317100000</v>
      </c>
      <c r="I14" s="4" t="str">
        <f>HYPERLINK("http://141.218.60.56/~jnz1568/getInfo.php?workbook=05_01.xlsx&amp;sheet=A0&amp;row=14&amp;col=9&amp;number=&amp;sourceID=11","")</f>
        <v/>
      </c>
      <c r="J14" s="4" t="str">
        <f>HYPERLINK("http://141.218.60.56/~jnz1568/getInfo.php?workbook=05_01.xlsx&amp;sheet=A0&amp;row=14&amp;col=10&amp;number=&amp;sourceID=11","")</f>
        <v/>
      </c>
      <c r="K14" s="4" t="str">
        <f>HYPERLINK("http://141.218.60.56/~jnz1568/getInfo.php?workbook=05_01.xlsx&amp;sheet=A0&amp;row=14&amp;col=11&amp;number=&amp;sourceID=11","")</f>
        <v/>
      </c>
      <c r="L14" s="4" t="str">
        <f>HYPERLINK("http://141.218.60.56/~jnz1568/getInfo.php?workbook=05_01.xlsx&amp;sheet=A0&amp;row=14&amp;col=12&amp;number=&amp;sourceID=11","")</f>
        <v/>
      </c>
      <c r="M14" s="4" t="str">
        <f>HYPERLINK("http://141.218.60.56/~jnz1568/getInfo.php?workbook=05_01.xlsx&amp;sheet=A0&amp;row=14&amp;col=13&amp;number=&amp;sourceID=11","")</f>
        <v/>
      </c>
      <c r="N14" s="4" t="str">
        <f>HYPERLINK("http://141.218.60.56/~jnz1568/getInfo.php?workbook=05_01.xlsx&amp;sheet=A0&amp;row=14&amp;col=14&amp;number=1317100000&amp;sourceID=12","1317100000")</f>
        <v>1317100000</v>
      </c>
      <c r="O14" s="4" t="str">
        <f>HYPERLINK("http://141.218.60.56/~jnz1568/getInfo.php?workbook=05_01.xlsx&amp;sheet=A0&amp;row=14&amp;col=15&amp;number=1317100000&amp;sourceID=12","1317100000")</f>
        <v>1317100000</v>
      </c>
      <c r="P14" s="4" t="str">
        <f>HYPERLINK("http://141.218.60.56/~jnz1568/getInfo.php?workbook=05_01.xlsx&amp;sheet=A0&amp;row=14&amp;col=16&amp;number=&amp;sourceID=12","")</f>
        <v/>
      </c>
      <c r="Q14" s="4" t="str">
        <f>HYPERLINK("http://141.218.60.56/~jnz1568/getInfo.php?workbook=05_01.xlsx&amp;sheet=A0&amp;row=14&amp;col=17&amp;number=&amp;sourceID=12","")</f>
        <v/>
      </c>
      <c r="R14" s="4" t="str">
        <f>HYPERLINK("http://141.218.60.56/~jnz1568/getInfo.php?workbook=05_01.xlsx&amp;sheet=A0&amp;row=14&amp;col=18&amp;number=&amp;sourceID=12","")</f>
        <v/>
      </c>
      <c r="S14" s="4" t="str">
        <f>HYPERLINK("http://141.218.60.56/~jnz1568/getInfo.php?workbook=05_01.xlsx&amp;sheet=A0&amp;row=14&amp;col=19&amp;number=&amp;sourceID=12","")</f>
        <v/>
      </c>
      <c r="T14" s="4" t="str">
        <f>HYPERLINK("http://141.218.60.56/~jnz1568/getInfo.php?workbook=05_01.xlsx&amp;sheet=A0&amp;row=14&amp;col=20&amp;number=&amp;sourceID=12","")</f>
        <v/>
      </c>
    </row>
    <row r="15" spans="1:20">
      <c r="A15" s="3">
        <v>5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HYPERLINK("http://141.218.60.56/~jnz1568/getInfo.php?workbook=05_01.xlsx&amp;sheet=A0&amp;row=15&amp;col=6&amp;number=&amp;sourceID=18","")</f>
        <v/>
      </c>
      <c r="G15" s="4" t="str">
        <f>HYPERLINK("http://141.218.60.56/~jnz1568/getInfo.php?workbook=05_01.xlsx&amp;sheet=A0&amp;row=15&amp;col=7&amp;number==&amp;sourceID=11","=")</f>
        <v>=</v>
      </c>
      <c r="H15" s="4" t="str">
        <f>HYPERLINK("http://141.218.60.56/~jnz1568/getInfo.php?workbook=05_01.xlsx&amp;sheet=A0&amp;row=15&amp;col=8&amp;number=&amp;sourceID=11","")</f>
        <v/>
      </c>
      <c r="I15" s="4" t="str">
        <f>HYPERLINK("http://141.218.60.56/~jnz1568/getInfo.php?workbook=05_01.xlsx&amp;sheet=A0&amp;row=15&amp;col=9&amp;number=&amp;sourceID=11","")</f>
        <v/>
      </c>
      <c r="J15" s="4" t="str">
        <f>HYPERLINK("http://141.218.60.56/~jnz1568/getInfo.php?workbook=05_01.xlsx&amp;sheet=A0&amp;row=15&amp;col=10&amp;number=&amp;sourceID=11","")</f>
        <v/>
      </c>
      <c r="K15" s="4" t="str">
        <f>HYPERLINK("http://141.218.60.56/~jnz1568/getInfo.php?workbook=05_01.xlsx&amp;sheet=A0&amp;row=15&amp;col=11&amp;number=0.018375&amp;sourceID=11","0.018375")</f>
        <v>0.018375</v>
      </c>
      <c r="L15" s="4" t="str">
        <f>HYPERLINK("http://141.218.60.56/~jnz1568/getInfo.php?workbook=05_01.xlsx&amp;sheet=A0&amp;row=15&amp;col=12&amp;number=&amp;sourceID=11","")</f>
        <v/>
      </c>
      <c r="M15" s="4" t="str">
        <f>HYPERLINK("http://141.218.60.56/~jnz1568/getInfo.php?workbook=05_01.xlsx&amp;sheet=A0&amp;row=15&amp;col=13&amp;number=&amp;sourceID=11","")</f>
        <v/>
      </c>
      <c r="N15" s="4" t="str">
        <f>HYPERLINK("http://141.218.60.56/~jnz1568/getInfo.php?workbook=05_01.xlsx&amp;sheet=A0&amp;row=15&amp;col=14&amp;number=0.018376&amp;sourceID=12","0.018376")</f>
        <v>0.018376</v>
      </c>
      <c r="O15" s="4" t="str">
        <f>HYPERLINK("http://141.218.60.56/~jnz1568/getInfo.php?workbook=05_01.xlsx&amp;sheet=A0&amp;row=15&amp;col=15&amp;number=&amp;sourceID=12","")</f>
        <v/>
      </c>
      <c r="P15" s="4" t="str">
        <f>HYPERLINK("http://141.218.60.56/~jnz1568/getInfo.php?workbook=05_01.xlsx&amp;sheet=A0&amp;row=15&amp;col=16&amp;number=&amp;sourceID=12","")</f>
        <v/>
      </c>
      <c r="Q15" s="4" t="str">
        <f>HYPERLINK("http://141.218.60.56/~jnz1568/getInfo.php?workbook=05_01.xlsx&amp;sheet=A0&amp;row=15&amp;col=17&amp;number=&amp;sourceID=12","")</f>
        <v/>
      </c>
      <c r="R15" s="4" t="str">
        <f>HYPERLINK("http://141.218.60.56/~jnz1568/getInfo.php?workbook=05_01.xlsx&amp;sheet=A0&amp;row=15&amp;col=18&amp;number=0.018376&amp;sourceID=12","0.018376")</f>
        <v>0.018376</v>
      </c>
      <c r="S15" s="4" t="str">
        <f>HYPERLINK("http://141.218.60.56/~jnz1568/getInfo.php?workbook=05_01.xlsx&amp;sheet=A0&amp;row=15&amp;col=19&amp;number=&amp;sourceID=12","")</f>
        <v/>
      </c>
      <c r="T15" s="4" t="str">
        <f>HYPERLINK("http://141.218.60.56/~jnz1568/getInfo.php?workbook=05_01.xlsx&amp;sheet=A0&amp;row=15&amp;col=20&amp;number=&amp;sourceID=12","")</f>
        <v/>
      </c>
    </row>
    <row r="16" spans="1:20">
      <c r="A16" s="3">
        <v>5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HYPERLINK("http://141.218.60.56/~jnz1568/getInfo.php?workbook=05_01.xlsx&amp;sheet=A0&amp;row=16&amp;col=6&amp;number=&amp;sourceID=18","")</f>
        <v/>
      </c>
      <c r="G16" s="4" t="str">
        <f>HYPERLINK("http://141.218.60.56/~jnz1568/getInfo.php?workbook=05_01.xlsx&amp;sheet=A0&amp;row=16&amp;col=7&amp;number==&amp;sourceID=11","=")</f>
        <v>=</v>
      </c>
      <c r="H16" s="4" t="str">
        <f>HYPERLINK("http://141.218.60.56/~jnz1568/getInfo.php?workbook=05_01.xlsx&amp;sheet=A0&amp;row=16&amp;col=8&amp;number=2641500000&amp;sourceID=11","2641500000")</f>
        <v>2641500000</v>
      </c>
      <c r="I16" s="4" t="str">
        <f>HYPERLINK("http://141.218.60.56/~jnz1568/getInfo.php?workbook=05_01.xlsx&amp;sheet=A0&amp;row=16&amp;col=9&amp;number=&amp;sourceID=11","")</f>
        <v/>
      </c>
      <c r="J16" s="4" t="str">
        <f>HYPERLINK("http://141.218.60.56/~jnz1568/getInfo.php?workbook=05_01.xlsx&amp;sheet=A0&amp;row=16&amp;col=10&amp;number=&amp;sourceID=11","")</f>
        <v/>
      </c>
      <c r="K16" s="4" t="str">
        <f>HYPERLINK("http://141.218.60.56/~jnz1568/getInfo.php?workbook=05_01.xlsx&amp;sheet=A0&amp;row=16&amp;col=11&amp;number=&amp;sourceID=11","")</f>
        <v/>
      </c>
      <c r="L16" s="4" t="str">
        <f>HYPERLINK("http://141.218.60.56/~jnz1568/getInfo.php?workbook=05_01.xlsx&amp;sheet=A0&amp;row=16&amp;col=12&amp;number=4.2333&amp;sourceID=11","4.2333")</f>
        <v>4.2333</v>
      </c>
      <c r="M16" s="4" t="str">
        <f>HYPERLINK("http://141.218.60.56/~jnz1568/getInfo.php?workbook=05_01.xlsx&amp;sheet=A0&amp;row=16&amp;col=13&amp;number=&amp;sourceID=11","")</f>
        <v/>
      </c>
      <c r="N16" s="4" t="str">
        <f>HYPERLINK("http://141.218.60.56/~jnz1568/getInfo.php?workbook=05_01.xlsx&amp;sheet=A0&amp;row=16&amp;col=14&amp;number=2641600000&amp;sourceID=12","2641600000")</f>
        <v>2641600000</v>
      </c>
      <c r="O16" s="4" t="str">
        <f>HYPERLINK("http://141.218.60.56/~jnz1568/getInfo.php?workbook=05_01.xlsx&amp;sheet=A0&amp;row=16&amp;col=15&amp;number=2641600000&amp;sourceID=12","2641600000")</f>
        <v>2641600000</v>
      </c>
      <c r="P16" s="4" t="str">
        <f>HYPERLINK("http://141.218.60.56/~jnz1568/getInfo.php?workbook=05_01.xlsx&amp;sheet=A0&amp;row=16&amp;col=16&amp;number=&amp;sourceID=12","")</f>
        <v/>
      </c>
      <c r="Q16" s="4" t="str">
        <f>HYPERLINK("http://141.218.60.56/~jnz1568/getInfo.php?workbook=05_01.xlsx&amp;sheet=A0&amp;row=16&amp;col=17&amp;number=&amp;sourceID=12","")</f>
        <v/>
      </c>
      <c r="R16" s="4" t="str">
        <f>HYPERLINK("http://141.218.60.56/~jnz1568/getInfo.php?workbook=05_01.xlsx&amp;sheet=A0&amp;row=16&amp;col=18&amp;number=&amp;sourceID=12","")</f>
        <v/>
      </c>
      <c r="S16" s="4" t="str">
        <f>HYPERLINK("http://141.218.60.56/~jnz1568/getInfo.php?workbook=05_01.xlsx&amp;sheet=A0&amp;row=16&amp;col=19&amp;number=4.2335&amp;sourceID=12","4.2335")</f>
        <v>4.2335</v>
      </c>
      <c r="T16" s="4" t="str">
        <f>HYPERLINK("http://141.218.60.56/~jnz1568/getInfo.php?workbook=05_01.xlsx&amp;sheet=A0&amp;row=16&amp;col=20&amp;number=&amp;sourceID=12","")</f>
        <v/>
      </c>
    </row>
    <row r="17" spans="1:20">
      <c r="A17" s="3">
        <v>5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HYPERLINK("http://141.218.60.56/~jnz1568/getInfo.php?workbook=05_01.xlsx&amp;sheet=A0&amp;row=17&amp;col=6&amp;number=&amp;sourceID=18","")</f>
        <v/>
      </c>
      <c r="G17" s="4" t="str">
        <f>HYPERLINK("http://141.218.60.56/~jnz1568/getInfo.php?workbook=05_01.xlsx&amp;sheet=A0&amp;row=17&amp;col=7&amp;number==&amp;sourceID=11","=")</f>
        <v>=</v>
      </c>
      <c r="H17" s="4" t="str">
        <f>HYPERLINK("http://141.218.60.56/~jnz1568/getInfo.php?workbook=05_01.xlsx&amp;sheet=A0&amp;row=17&amp;col=8&amp;number=&amp;sourceID=11","")</f>
        <v/>
      </c>
      <c r="I17" s="4" t="str">
        <f>HYPERLINK("http://141.218.60.56/~jnz1568/getInfo.php?workbook=05_01.xlsx&amp;sheet=A0&amp;row=17&amp;col=9&amp;number=9278300&amp;sourceID=11","9278300")</f>
        <v>9278300</v>
      </c>
      <c r="J17" s="4" t="str">
        <f>HYPERLINK("http://141.218.60.56/~jnz1568/getInfo.php?workbook=05_01.xlsx&amp;sheet=A0&amp;row=17&amp;col=10&amp;number=&amp;sourceID=11","")</f>
        <v/>
      </c>
      <c r="K17" s="4" t="str">
        <f>HYPERLINK("http://141.218.60.56/~jnz1568/getInfo.php?workbook=05_01.xlsx&amp;sheet=A0&amp;row=17&amp;col=11&amp;number=0.067722&amp;sourceID=11","0.067722")</f>
        <v>0.067722</v>
      </c>
      <c r="L17" s="4" t="str">
        <f>HYPERLINK("http://141.218.60.56/~jnz1568/getInfo.php?workbook=05_01.xlsx&amp;sheet=A0&amp;row=17&amp;col=12&amp;number=&amp;sourceID=11","")</f>
        <v/>
      </c>
      <c r="M17" s="4" t="str">
        <f>HYPERLINK("http://141.218.60.56/~jnz1568/getInfo.php?workbook=05_01.xlsx&amp;sheet=A0&amp;row=17&amp;col=13&amp;number=&amp;sourceID=11","")</f>
        <v/>
      </c>
      <c r="N17" s="4" t="str">
        <f>HYPERLINK("http://141.218.60.56/~jnz1568/getInfo.php?workbook=05_01.xlsx&amp;sheet=A0&amp;row=17&amp;col=14&amp;number=9278800&amp;sourceID=12","9278800")</f>
        <v>9278800</v>
      </c>
      <c r="O17" s="4" t="str">
        <f>HYPERLINK("http://141.218.60.56/~jnz1568/getInfo.php?workbook=05_01.xlsx&amp;sheet=A0&amp;row=17&amp;col=15&amp;number=&amp;sourceID=12","")</f>
        <v/>
      </c>
      <c r="P17" s="4" t="str">
        <f>HYPERLINK("http://141.218.60.56/~jnz1568/getInfo.php?workbook=05_01.xlsx&amp;sheet=A0&amp;row=17&amp;col=16&amp;number=9278800&amp;sourceID=12","9278800")</f>
        <v>9278800</v>
      </c>
      <c r="Q17" s="4" t="str">
        <f>HYPERLINK("http://141.218.60.56/~jnz1568/getInfo.php?workbook=05_01.xlsx&amp;sheet=A0&amp;row=17&amp;col=17&amp;number=&amp;sourceID=12","")</f>
        <v/>
      </c>
      <c r="R17" s="4" t="str">
        <f>HYPERLINK("http://141.218.60.56/~jnz1568/getInfo.php?workbook=05_01.xlsx&amp;sheet=A0&amp;row=17&amp;col=18&amp;number=0.067682&amp;sourceID=12","0.067682")</f>
        <v>0.067682</v>
      </c>
      <c r="S17" s="4" t="str">
        <f>HYPERLINK("http://141.218.60.56/~jnz1568/getInfo.php?workbook=05_01.xlsx&amp;sheet=A0&amp;row=17&amp;col=19&amp;number=&amp;sourceID=12","")</f>
        <v/>
      </c>
      <c r="T17" s="4" t="str">
        <f>HYPERLINK("http://141.218.60.56/~jnz1568/getInfo.php?workbook=05_01.xlsx&amp;sheet=A0&amp;row=17&amp;col=20&amp;number=&amp;sourceID=12","")</f>
        <v/>
      </c>
    </row>
    <row r="18" spans="1:20">
      <c r="A18" s="3">
        <v>5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HYPERLINK("http://141.218.60.56/~jnz1568/getInfo.php?workbook=05_01.xlsx&amp;sheet=A0&amp;row=18&amp;col=6&amp;number=&amp;sourceID=18","")</f>
        <v/>
      </c>
      <c r="G18" s="4" t="str">
        <f>HYPERLINK("http://141.218.60.56/~jnz1568/getInfo.php?workbook=05_01.xlsx&amp;sheet=A0&amp;row=18&amp;col=7&amp;number==&amp;sourceID=11","=")</f>
        <v>=</v>
      </c>
      <c r="H18" s="4" t="str">
        <f>HYPERLINK("http://141.218.60.56/~jnz1568/getInfo.php?workbook=05_01.xlsx&amp;sheet=A0&amp;row=18&amp;col=8&amp;number=33708000000&amp;sourceID=11","33708000000")</f>
        <v>33708000000</v>
      </c>
      <c r="I18" s="4" t="str">
        <f>HYPERLINK("http://141.218.60.56/~jnz1568/getInfo.php?workbook=05_01.xlsx&amp;sheet=A0&amp;row=18&amp;col=9&amp;number=&amp;sourceID=11","")</f>
        <v/>
      </c>
      <c r="J18" s="4" t="str">
        <f>HYPERLINK("http://141.218.60.56/~jnz1568/getInfo.php?workbook=05_01.xlsx&amp;sheet=A0&amp;row=18&amp;col=10&amp;number=&amp;sourceID=11","")</f>
        <v/>
      </c>
      <c r="K18" s="4" t="str">
        <f>HYPERLINK("http://141.218.60.56/~jnz1568/getInfo.php?workbook=05_01.xlsx&amp;sheet=A0&amp;row=18&amp;col=11&amp;number=&amp;sourceID=11","")</f>
        <v/>
      </c>
      <c r="L18" s="4" t="str">
        <f>HYPERLINK("http://141.218.60.56/~jnz1568/getInfo.php?workbook=05_01.xlsx&amp;sheet=A0&amp;row=18&amp;col=12&amp;number=2.163&amp;sourceID=11","2.163")</f>
        <v>2.163</v>
      </c>
      <c r="M18" s="4" t="str">
        <f>HYPERLINK("http://141.218.60.56/~jnz1568/getInfo.php?workbook=05_01.xlsx&amp;sheet=A0&amp;row=18&amp;col=13&amp;number=&amp;sourceID=11","")</f>
        <v/>
      </c>
      <c r="N18" s="4" t="str">
        <f>HYPERLINK("http://141.218.60.56/~jnz1568/getInfo.php?workbook=05_01.xlsx&amp;sheet=A0&amp;row=18&amp;col=14&amp;number=33710000000&amp;sourceID=12","33710000000")</f>
        <v>33710000000</v>
      </c>
      <c r="O18" s="4" t="str">
        <f>HYPERLINK("http://141.218.60.56/~jnz1568/getInfo.php?workbook=05_01.xlsx&amp;sheet=A0&amp;row=18&amp;col=15&amp;number=33710000000&amp;sourceID=12","33710000000")</f>
        <v>33710000000</v>
      </c>
      <c r="P18" s="4" t="str">
        <f>HYPERLINK("http://141.218.60.56/~jnz1568/getInfo.php?workbook=05_01.xlsx&amp;sheet=A0&amp;row=18&amp;col=16&amp;number=&amp;sourceID=12","")</f>
        <v/>
      </c>
      <c r="Q18" s="4" t="str">
        <f>HYPERLINK("http://141.218.60.56/~jnz1568/getInfo.php?workbook=05_01.xlsx&amp;sheet=A0&amp;row=18&amp;col=17&amp;number=&amp;sourceID=12","")</f>
        <v/>
      </c>
      <c r="R18" s="4" t="str">
        <f>HYPERLINK("http://141.218.60.56/~jnz1568/getInfo.php?workbook=05_01.xlsx&amp;sheet=A0&amp;row=18&amp;col=18&amp;number=&amp;sourceID=12","")</f>
        <v/>
      </c>
      <c r="S18" s="4" t="str">
        <f>HYPERLINK("http://141.218.60.56/~jnz1568/getInfo.php?workbook=05_01.xlsx&amp;sheet=A0&amp;row=18&amp;col=19&amp;number=2.1631&amp;sourceID=12","2.1631")</f>
        <v>2.1631</v>
      </c>
      <c r="T18" s="4" t="str">
        <f>HYPERLINK("http://141.218.60.56/~jnz1568/getInfo.php?workbook=05_01.xlsx&amp;sheet=A0&amp;row=18&amp;col=20&amp;number=&amp;sourceID=12","")</f>
        <v/>
      </c>
    </row>
    <row r="19" spans="1:20">
      <c r="A19" s="3">
        <v>5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HYPERLINK("http://141.218.60.56/~jnz1568/getInfo.php?workbook=05_01.xlsx&amp;sheet=A0&amp;row=19&amp;col=6&amp;number=&amp;sourceID=18","")</f>
        <v/>
      </c>
      <c r="G19" s="4" t="str">
        <f>HYPERLINK("http://141.218.60.56/~jnz1568/getInfo.php?workbook=05_01.xlsx&amp;sheet=A0&amp;row=19&amp;col=7&amp;number==&amp;sourceID=11","=")</f>
        <v>=</v>
      </c>
      <c r="H19" s="4" t="str">
        <f>HYPERLINK("http://141.218.60.56/~jnz1568/getInfo.php?workbook=05_01.xlsx&amp;sheet=A0&amp;row=19&amp;col=8&amp;number=&amp;sourceID=11","")</f>
        <v/>
      </c>
      <c r="I19" s="4" t="str">
        <f>HYPERLINK("http://141.218.60.56/~jnz1568/getInfo.php?workbook=05_01.xlsx&amp;sheet=A0&amp;row=19&amp;col=9&amp;number=798530&amp;sourceID=11","798530")</f>
        <v>798530</v>
      </c>
      <c r="J19" s="4" t="str">
        <f>HYPERLINK("http://141.218.60.56/~jnz1568/getInfo.php?workbook=05_01.xlsx&amp;sheet=A0&amp;row=19&amp;col=10&amp;number=&amp;sourceID=11","")</f>
        <v/>
      </c>
      <c r="K19" s="4" t="str">
        <f>HYPERLINK("http://141.218.60.56/~jnz1568/getInfo.php?workbook=05_01.xlsx&amp;sheet=A0&amp;row=19&amp;col=11&amp;number=0.0010276&amp;sourceID=11","0.0010276")</f>
        <v>0.0010276</v>
      </c>
      <c r="L19" s="4" t="str">
        <f>HYPERLINK("http://141.218.60.56/~jnz1568/getInfo.php?workbook=05_01.xlsx&amp;sheet=A0&amp;row=19&amp;col=12&amp;number=&amp;sourceID=11","")</f>
        <v/>
      </c>
      <c r="M19" s="4" t="str">
        <f>HYPERLINK("http://141.218.60.56/~jnz1568/getInfo.php?workbook=05_01.xlsx&amp;sheet=A0&amp;row=19&amp;col=13&amp;number=&amp;sourceID=11","")</f>
        <v/>
      </c>
      <c r="N19" s="4" t="str">
        <f>HYPERLINK("http://141.218.60.56/~jnz1568/getInfo.php?workbook=05_01.xlsx&amp;sheet=A0&amp;row=19&amp;col=14&amp;number=798570&amp;sourceID=12","798570")</f>
        <v>798570</v>
      </c>
      <c r="O19" s="4" t="str">
        <f>HYPERLINK("http://141.218.60.56/~jnz1568/getInfo.php?workbook=05_01.xlsx&amp;sheet=A0&amp;row=19&amp;col=15&amp;number=&amp;sourceID=12","")</f>
        <v/>
      </c>
      <c r="P19" s="4" t="str">
        <f>HYPERLINK("http://141.218.60.56/~jnz1568/getInfo.php?workbook=05_01.xlsx&amp;sheet=A0&amp;row=19&amp;col=16&amp;number=798570&amp;sourceID=12","798570")</f>
        <v>798570</v>
      </c>
      <c r="Q19" s="4" t="str">
        <f>HYPERLINK("http://141.218.60.56/~jnz1568/getInfo.php?workbook=05_01.xlsx&amp;sheet=A0&amp;row=19&amp;col=17&amp;number=&amp;sourceID=12","")</f>
        <v/>
      </c>
      <c r="R19" s="4" t="str">
        <f>HYPERLINK("http://141.218.60.56/~jnz1568/getInfo.php?workbook=05_01.xlsx&amp;sheet=A0&amp;row=19&amp;col=18&amp;number=0.0010277&amp;sourceID=12","0.0010277")</f>
        <v>0.0010277</v>
      </c>
      <c r="S19" s="4" t="str">
        <f>HYPERLINK("http://141.218.60.56/~jnz1568/getInfo.php?workbook=05_01.xlsx&amp;sheet=A0&amp;row=19&amp;col=19&amp;number=&amp;sourceID=12","")</f>
        <v/>
      </c>
      <c r="T19" s="4" t="str">
        <f>HYPERLINK("http://141.218.60.56/~jnz1568/getInfo.php?workbook=05_01.xlsx&amp;sheet=A0&amp;row=19&amp;col=20&amp;number=&amp;sourceID=12","")</f>
        <v/>
      </c>
    </row>
    <row r="20" spans="1:20">
      <c r="A20" s="3">
        <v>5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HYPERLINK("http://141.218.60.56/~jnz1568/getInfo.php?workbook=05_01.xlsx&amp;sheet=A0&amp;row=20&amp;col=6&amp;number=&amp;sourceID=18","")</f>
        <v/>
      </c>
      <c r="G20" s="4" t="str">
        <f>HYPERLINK("http://141.218.60.56/~jnz1568/getInfo.php?workbook=05_01.xlsx&amp;sheet=A0&amp;row=20&amp;col=7&amp;number==&amp;sourceID=11","=")</f>
        <v>=</v>
      </c>
      <c r="H20" s="4" t="str">
        <f>HYPERLINK("http://141.218.60.56/~jnz1568/getInfo.php?workbook=05_01.xlsx&amp;sheet=A0&amp;row=20&amp;col=8&amp;number=6737200000&amp;sourceID=11","6737200000")</f>
        <v>6737200000</v>
      </c>
      <c r="I20" s="4" t="str">
        <f>HYPERLINK("http://141.218.60.56/~jnz1568/getInfo.php?workbook=05_01.xlsx&amp;sheet=A0&amp;row=20&amp;col=9&amp;number=&amp;sourceID=11","")</f>
        <v/>
      </c>
      <c r="J20" s="4" t="str">
        <f>HYPERLINK("http://141.218.60.56/~jnz1568/getInfo.php?workbook=05_01.xlsx&amp;sheet=A0&amp;row=20&amp;col=10&amp;number=8.8427&amp;sourceID=11","8.8427")</f>
        <v>8.8427</v>
      </c>
      <c r="K20" s="4" t="str">
        <f>HYPERLINK("http://141.218.60.56/~jnz1568/getInfo.php?workbook=05_01.xlsx&amp;sheet=A0&amp;row=20&amp;col=11&amp;number=&amp;sourceID=11","")</f>
        <v/>
      </c>
      <c r="L20" s="4" t="str">
        <f>HYPERLINK("http://141.218.60.56/~jnz1568/getInfo.php?workbook=05_01.xlsx&amp;sheet=A0&amp;row=20&amp;col=12&amp;number=&amp;sourceID=11","")</f>
        <v/>
      </c>
      <c r="M20" s="4" t="str">
        <f>HYPERLINK("http://141.218.60.56/~jnz1568/getInfo.php?workbook=05_01.xlsx&amp;sheet=A0&amp;row=20&amp;col=13&amp;number=&amp;sourceID=11","")</f>
        <v/>
      </c>
      <c r="N20" s="4" t="str">
        <f>HYPERLINK("http://141.218.60.56/~jnz1568/getInfo.php?workbook=05_01.xlsx&amp;sheet=A0&amp;row=20&amp;col=14&amp;number=6737600000&amp;sourceID=12","6737600000")</f>
        <v>6737600000</v>
      </c>
      <c r="O20" s="4" t="str">
        <f>HYPERLINK("http://141.218.60.56/~jnz1568/getInfo.php?workbook=05_01.xlsx&amp;sheet=A0&amp;row=20&amp;col=15&amp;number=6737600000&amp;sourceID=12","6737600000")</f>
        <v>6737600000</v>
      </c>
      <c r="P20" s="4" t="str">
        <f>HYPERLINK("http://141.218.60.56/~jnz1568/getInfo.php?workbook=05_01.xlsx&amp;sheet=A0&amp;row=20&amp;col=16&amp;number=&amp;sourceID=12","")</f>
        <v/>
      </c>
      <c r="Q20" s="4" t="str">
        <f>HYPERLINK("http://141.218.60.56/~jnz1568/getInfo.php?workbook=05_01.xlsx&amp;sheet=A0&amp;row=20&amp;col=17&amp;number=8.8431&amp;sourceID=12","8.8431")</f>
        <v>8.8431</v>
      </c>
      <c r="R20" s="4" t="str">
        <f>HYPERLINK("http://141.218.60.56/~jnz1568/getInfo.php?workbook=05_01.xlsx&amp;sheet=A0&amp;row=20&amp;col=18&amp;number=&amp;sourceID=12","")</f>
        <v/>
      </c>
      <c r="S20" s="4" t="str">
        <f>HYPERLINK("http://141.218.60.56/~jnz1568/getInfo.php?workbook=05_01.xlsx&amp;sheet=A0&amp;row=20&amp;col=19&amp;number=&amp;sourceID=12","")</f>
        <v/>
      </c>
      <c r="T20" s="4" t="str">
        <f>HYPERLINK("http://141.218.60.56/~jnz1568/getInfo.php?workbook=05_01.xlsx&amp;sheet=A0&amp;row=20&amp;col=20&amp;number=&amp;sourceID=12","")</f>
        <v/>
      </c>
    </row>
    <row r="21" spans="1:20">
      <c r="A21" s="3">
        <v>5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HYPERLINK("http://141.218.60.56/~jnz1568/getInfo.php?workbook=05_01.xlsx&amp;sheet=A0&amp;row=21&amp;col=6&amp;number=&amp;sourceID=18","")</f>
        <v/>
      </c>
      <c r="G21" s="4" t="str">
        <f>HYPERLINK("http://141.218.60.56/~jnz1568/getInfo.php?workbook=05_01.xlsx&amp;sheet=A0&amp;row=21&amp;col=7&amp;number==&amp;sourceID=11","=")</f>
        <v>=</v>
      </c>
      <c r="H21" s="4" t="str">
        <f>HYPERLINK("http://141.218.60.56/~jnz1568/getInfo.php?workbook=05_01.xlsx&amp;sheet=A0&amp;row=21&amp;col=8&amp;number=0.84826&amp;sourceID=11","0.84826")</f>
        <v>0.84826</v>
      </c>
      <c r="I21" s="4" t="str">
        <f>HYPERLINK("http://141.218.60.56/~jnz1568/getInfo.php?workbook=05_01.xlsx&amp;sheet=A0&amp;row=21&amp;col=9&amp;number=&amp;sourceID=11","")</f>
        <v/>
      </c>
      <c r="J21" s="4" t="str">
        <f>HYPERLINK("http://141.218.60.56/~jnz1568/getInfo.php?workbook=05_01.xlsx&amp;sheet=A0&amp;row=21&amp;col=10&amp;number=&amp;sourceID=11","")</f>
        <v/>
      </c>
      <c r="K21" s="4" t="str">
        <f>HYPERLINK("http://141.218.60.56/~jnz1568/getInfo.php?workbook=05_01.xlsx&amp;sheet=A0&amp;row=21&amp;col=11&amp;number=&amp;sourceID=11","")</f>
        <v/>
      </c>
      <c r="L21" s="4" t="str">
        <f>HYPERLINK("http://141.218.60.56/~jnz1568/getInfo.php?workbook=05_01.xlsx&amp;sheet=A0&amp;row=21&amp;col=12&amp;number=0&amp;sourceID=11","0")</f>
        <v>0</v>
      </c>
      <c r="M21" s="4" t="str">
        <f>HYPERLINK("http://141.218.60.56/~jnz1568/getInfo.php?workbook=05_01.xlsx&amp;sheet=A0&amp;row=21&amp;col=13&amp;number=&amp;sourceID=11","")</f>
        <v/>
      </c>
      <c r="N21" s="4" t="str">
        <f>HYPERLINK("http://141.218.60.56/~jnz1568/getInfo.php?workbook=05_01.xlsx&amp;sheet=A0&amp;row=21&amp;col=14&amp;number=0.84831&amp;sourceID=12","0.84831")</f>
        <v>0.84831</v>
      </c>
      <c r="O21" s="4" t="str">
        <f>HYPERLINK("http://141.218.60.56/~jnz1568/getInfo.php?workbook=05_01.xlsx&amp;sheet=A0&amp;row=21&amp;col=15&amp;number=0.84831&amp;sourceID=12","0.84831")</f>
        <v>0.84831</v>
      </c>
      <c r="P21" s="4" t="str">
        <f>HYPERLINK("http://141.218.60.56/~jnz1568/getInfo.php?workbook=05_01.xlsx&amp;sheet=A0&amp;row=21&amp;col=16&amp;number=&amp;sourceID=12","")</f>
        <v/>
      </c>
      <c r="Q21" s="4" t="str">
        <f>HYPERLINK("http://141.218.60.56/~jnz1568/getInfo.php?workbook=05_01.xlsx&amp;sheet=A0&amp;row=21&amp;col=17&amp;number=&amp;sourceID=12","")</f>
        <v/>
      </c>
      <c r="R21" s="4" t="str">
        <f>HYPERLINK("http://141.218.60.56/~jnz1568/getInfo.php?workbook=05_01.xlsx&amp;sheet=A0&amp;row=21&amp;col=18&amp;number=&amp;sourceID=12","")</f>
        <v/>
      </c>
      <c r="S21" s="4" t="str">
        <f>HYPERLINK("http://141.218.60.56/~jnz1568/getInfo.php?workbook=05_01.xlsx&amp;sheet=A0&amp;row=21&amp;col=19&amp;number=0&amp;sourceID=12","0")</f>
        <v>0</v>
      </c>
      <c r="T21" s="4" t="str">
        <f>HYPERLINK("http://141.218.60.56/~jnz1568/getInfo.php?workbook=05_01.xlsx&amp;sheet=A0&amp;row=21&amp;col=20&amp;number=&amp;sourceID=12","")</f>
        <v/>
      </c>
    </row>
    <row r="22" spans="1:20">
      <c r="A22" s="3">
        <v>5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HYPERLINK("http://141.218.60.56/~jnz1568/getInfo.php?workbook=05_01.xlsx&amp;sheet=A0&amp;row=22&amp;col=6&amp;number=&amp;sourceID=18","")</f>
        <v/>
      </c>
      <c r="G22" s="4" t="str">
        <f>HYPERLINK("http://141.218.60.56/~jnz1568/getInfo.php?workbook=05_01.xlsx&amp;sheet=A0&amp;row=22&amp;col=7&amp;number==&amp;sourceID=11","=")</f>
        <v>=</v>
      </c>
      <c r="H22" s="4" t="str">
        <f>HYPERLINK("http://141.218.60.56/~jnz1568/getInfo.php?workbook=05_01.xlsx&amp;sheet=A0&amp;row=22&amp;col=8&amp;number=&amp;sourceID=11","")</f>
        <v/>
      </c>
      <c r="I22" s="4" t="str">
        <f>HYPERLINK("http://141.218.60.56/~jnz1568/getInfo.php?workbook=05_01.xlsx&amp;sheet=A0&amp;row=22&amp;col=9&amp;number=1.031e-12&amp;sourceID=11","1.031e-12")</f>
        <v>1.031e-12</v>
      </c>
      <c r="J22" s="4" t="str">
        <f>HYPERLINK("http://141.218.60.56/~jnz1568/getInfo.php?workbook=05_01.xlsx&amp;sheet=A0&amp;row=22&amp;col=10&amp;number=&amp;sourceID=11","")</f>
        <v/>
      </c>
      <c r="K22" s="4" t="str">
        <f>HYPERLINK("http://141.218.60.56/~jnz1568/getInfo.php?workbook=05_01.xlsx&amp;sheet=A0&amp;row=22&amp;col=11&amp;number=0&amp;sourceID=11","0")</f>
        <v>0</v>
      </c>
      <c r="L22" s="4" t="str">
        <f>HYPERLINK("http://141.218.60.56/~jnz1568/getInfo.php?workbook=05_01.xlsx&amp;sheet=A0&amp;row=22&amp;col=12&amp;number=&amp;sourceID=11","")</f>
        <v/>
      </c>
      <c r="M22" s="4" t="str">
        <f>HYPERLINK("http://141.218.60.56/~jnz1568/getInfo.php?workbook=05_01.xlsx&amp;sheet=A0&amp;row=22&amp;col=13&amp;number=&amp;sourceID=11","")</f>
        <v/>
      </c>
      <c r="N22" s="4" t="str">
        <f>HYPERLINK("http://141.218.60.56/~jnz1568/getInfo.php?workbook=05_01.xlsx&amp;sheet=A0&amp;row=22&amp;col=14&amp;number=1.031e-12&amp;sourceID=12","1.031e-12")</f>
        <v>1.031e-12</v>
      </c>
      <c r="O22" s="4" t="str">
        <f>HYPERLINK("http://141.218.60.56/~jnz1568/getInfo.php?workbook=05_01.xlsx&amp;sheet=A0&amp;row=22&amp;col=15&amp;number=&amp;sourceID=12","")</f>
        <v/>
      </c>
      <c r="P22" s="4" t="str">
        <f>HYPERLINK("http://141.218.60.56/~jnz1568/getInfo.php?workbook=05_01.xlsx&amp;sheet=A0&amp;row=22&amp;col=16&amp;number=1.031e-12&amp;sourceID=12","1.031e-12")</f>
        <v>1.031e-12</v>
      </c>
      <c r="Q22" s="4" t="str">
        <f>HYPERLINK("http://141.218.60.56/~jnz1568/getInfo.php?workbook=05_01.xlsx&amp;sheet=A0&amp;row=22&amp;col=17&amp;number=&amp;sourceID=12","")</f>
        <v/>
      </c>
      <c r="R22" s="4" t="str">
        <f>HYPERLINK("http://141.218.60.56/~jnz1568/getInfo.php?workbook=05_01.xlsx&amp;sheet=A0&amp;row=22&amp;col=18&amp;number=0&amp;sourceID=12","0")</f>
        <v>0</v>
      </c>
      <c r="S22" s="4" t="str">
        <f>HYPERLINK("http://141.218.60.56/~jnz1568/getInfo.php?workbook=05_01.xlsx&amp;sheet=A0&amp;row=22&amp;col=19&amp;number=&amp;sourceID=12","")</f>
        <v/>
      </c>
      <c r="T22" s="4" t="str">
        <f>HYPERLINK("http://141.218.60.56/~jnz1568/getInfo.php?workbook=05_01.xlsx&amp;sheet=A0&amp;row=22&amp;col=20&amp;number=&amp;sourceID=12","")</f>
        <v/>
      </c>
    </row>
    <row r="23" spans="1:20">
      <c r="A23" s="3">
        <v>5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HYPERLINK("http://141.218.60.56/~jnz1568/getInfo.php?workbook=05_01.xlsx&amp;sheet=A0&amp;row=23&amp;col=6&amp;number=&amp;sourceID=18","")</f>
        <v/>
      </c>
      <c r="G23" s="4" t="str">
        <f>HYPERLINK("http://141.218.60.56/~jnz1568/getInfo.php?workbook=05_01.xlsx&amp;sheet=A0&amp;row=23&amp;col=7&amp;number==&amp;sourceID=11","=")</f>
        <v>=</v>
      </c>
      <c r="H23" s="4" t="str">
        <f>HYPERLINK("http://141.218.60.56/~jnz1568/getInfo.php?workbook=05_01.xlsx&amp;sheet=A0&amp;row=23&amp;col=8&amp;number=104570000000&amp;sourceID=11","104570000000")</f>
        <v>104570000000</v>
      </c>
      <c r="I23" s="4" t="str">
        <f>HYPERLINK("http://141.218.60.56/~jnz1568/getInfo.php?workbook=05_01.xlsx&amp;sheet=A0&amp;row=23&amp;col=9&amp;number=&amp;sourceID=11","")</f>
        <v/>
      </c>
      <c r="J23" s="4" t="str">
        <f>HYPERLINK("http://141.218.60.56/~jnz1568/getInfo.php?workbook=05_01.xlsx&amp;sheet=A0&amp;row=23&amp;col=10&amp;number=&amp;sourceID=11","")</f>
        <v/>
      </c>
      <c r="K23" s="4" t="str">
        <f>HYPERLINK("http://141.218.60.56/~jnz1568/getInfo.php?workbook=05_01.xlsx&amp;sheet=A0&amp;row=23&amp;col=11&amp;number=&amp;sourceID=11","")</f>
        <v/>
      </c>
      <c r="L23" s="4" t="str">
        <f>HYPERLINK("http://141.218.60.56/~jnz1568/getInfo.php?workbook=05_01.xlsx&amp;sheet=A0&amp;row=23&amp;col=12&amp;number=6866.8&amp;sourceID=11","6866.8")</f>
        <v>6866.8</v>
      </c>
      <c r="M23" s="4" t="str">
        <f>HYPERLINK("http://141.218.60.56/~jnz1568/getInfo.php?workbook=05_01.xlsx&amp;sheet=A0&amp;row=23&amp;col=13&amp;number=&amp;sourceID=11","")</f>
        <v/>
      </c>
      <c r="N23" s="4" t="str">
        <f>HYPERLINK("http://141.218.60.56/~jnz1568/getInfo.php?workbook=05_01.xlsx&amp;sheet=A0&amp;row=23&amp;col=14&amp;number=104570000000&amp;sourceID=12","104570000000")</f>
        <v>104570000000</v>
      </c>
      <c r="O23" s="4" t="str">
        <f>HYPERLINK("http://141.218.60.56/~jnz1568/getInfo.php?workbook=05_01.xlsx&amp;sheet=A0&amp;row=23&amp;col=15&amp;number=104570000000&amp;sourceID=12","104570000000")</f>
        <v>104570000000</v>
      </c>
      <c r="P23" s="4" t="str">
        <f>HYPERLINK("http://141.218.60.56/~jnz1568/getInfo.php?workbook=05_01.xlsx&amp;sheet=A0&amp;row=23&amp;col=16&amp;number=&amp;sourceID=12","")</f>
        <v/>
      </c>
      <c r="Q23" s="4" t="str">
        <f>HYPERLINK("http://141.218.60.56/~jnz1568/getInfo.php?workbook=05_01.xlsx&amp;sheet=A0&amp;row=23&amp;col=17&amp;number=&amp;sourceID=12","")</f>
        <v/>
      </c>
      <c r="R23" s="4" t="str">
        <f>HYPERLINK("http://141.218.60.56/~jnz1568/getInfo.php?workbook=05_01.xlsx&amp;sheet=A0&amp;row=23&amp;col=18&amp;number=&amp;sourceID=12","")</f>
        <v/>
      </c>
      <c r="S23" s="4" t="str">
        <f>HYPERLINK("http://141.218.60.56/~jnz1568/getInfo.php?workbook=05_01.xlsx&amp;sheet=A0&amp;row=23&amp;col=19&amp;number=6867.2&amp;sourceID=12","6867.2")</f>
        <v>6867.2</v>
      </c>
      <c r="T23" s="4" t="str">
        <f>HYPERLINK("http://141.218.60.56/~jnz1568/getInfo.php?workbook=05_01.xlsx&amp;sheet=A0&amp;row=23&amp;col=20&amp;number=&amp;sourceID=12","")</f>
        <v/>
      </c>
    </row>
    <row r="24" spans="1:20">
      <c r="A24" s="3">
        <v>5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HYPERLINK("http://141.218.60.56/~jnz1568/getInfo.php?workbook=05_01.xlsx&amp;sheet=A0&amp;row=24&amp;col=6&amp;number=&amp;sourceID=18","")</f>
        <v/>
      </c>
      <c r="G24" s="4" t="str">
        <f>HYPERLINK("http://141.218.60.56/~jnz1568/getInfo.php?workbook=05_01.xlsx&amp;sheet=A0&amp;row=24&amp;col=7&amp;number==&amp;sourceID=11","=")</f>
        <v>=</v>
      </c>
      <c r="H24" s="4" t="str">
        <f>HYPERLINK("http://141.218.60.56/~jnz1568/getInfo.php?workbook=05_01.xlsx&amp;sheet=A0&amp;row=24&amp;col=8&amp;number=&amp;sourceID=11","")</f>
        <v/>
      </c>
      <c r="I24" s="4" t="str">
        <f>HYPERLINK("http://141.218.60.56/~jnz1568/getInfo.php?workbook=05_01.xlsx&amp;sheet=A0&amp;row=24&amp;col=9&amp;number=186980&amp;sourceID=11","186980")</f>
        <v>186980</v>
      </c>
      <c r="J24" s="4" t="str">
        <f>HYPERLINK("http://141.218.60.56/~jnz1568/getInfo.php?workbook=05_01.xlsx&amp;sheet=A0&amp;row=24&amp;col=10&amp;number=&amp;sourceID=11","")</f>
        <v/>
      </c>
      <c r="K24" s="4" t="str">
        <f>HYPERLINK("http://141.218.60.56/~jnz1568/getInfo.php?workbook=05_01.xlsx&amp;sheet=A0&amp;row=24&amp;col=11&amp;number=0.033099&amp;sourceID=11","0.033099")</f>
        <v>0.033099</v>
      </c>
      <c r="L24" s="4" t="str">
        <f>HYPERLINK("http://141.218.60.56/~jnz1568/getInfo.php?workbook=05_01.xlsx&amp;sheet=A0&amp;row=24&amp;col=12&amp;number=&amp;sourceID=11","")</f>
        <v/>
      </c>
      <c r="M24" s="4" t="str">
        <f>HYPERLINK("http://141.218.60.56/~jnz1568/getInfo.php?workbook=05_01.xlsx&amp;sheet=A0&amp;row=24&amp;col=13&amp;number=&amp;sourceID=11","")</f>
        <v/>
      </c>
      <c r="N24" s="4" t="str">
        <f>HYPERLINK("http://141.218.60.56/~jnz1568/getInfo.php?workbook=05_01.xlsx&amp;sheet=A0&amp;row=24&amp;col=14&amp;number=186990&amp;sourceID=12","186990")</f>
        <v>186990</v>
      </c>
      <c r="O24" s="4" t="str">
        <f>HYPERLINK("http://141.218.60.56/~jnz1568/getInfo.php?workbook=05_01.xlsx&amp;sheet=A0&amp;row=24&amp;col=15&amp;number=&amp;sourceID=12","")</f>
        <v/>
      </c>
      <c r="P24" s="4" t="str">
        <f>HYPERLINK("http://141.218.60.56/~jnz1568/getInfo.php?workbook=05_01.xlsx&amp;sheet=A0&amp;row=24&amp;col=16&amp;number=186990&amp;sourceID=12","186990")</f>
        <v>186990</v>
      </c>
      <c r="Q24" s="4" t="str">
        <f>HYPERLINK("http://141.218.60.56/~jnz1568/getInfo.php?workbook=05_01.xlsx&amp;sheet=A0&amp;row=24&amp;col=17&amp;number=&amp;sourceID=12","")</f>
        <v/>
      </c>
      <c r="R24" s="4" t="str">
        <f>HYPERLINK("http://141.218.60.56/~jnz1568/getInfo.php?workbook=05_01.xlsx&amp;sheet=A0&amp;row=24&amp;col=18&amp;number=0.033101&amp;sourceID=12","0.033101")</f>
        <v>0.033101</v>
      </c>
      <c r="S24" s="4" t="str">
        <f>HYPERLINK("http://141.218.60.56/~jnz1568/getInfo.php?workbook=05_01.xlsx&amp;sheet=A0&amp;row=24&amp;col=19&amp;number=&amp;sourceID=12","")</f>
        <v/>
      </c>
      <c r="T24" s="4" t="str">
        <f>HYPERLINK("http://141.218.60.56/~jnz1568/getInfo.php?workbook=05_01.xlsx&amp;sheet=A0&amp;row=24&amp;col=20&amp;number=&amp;sourceID=12","")</f>
        <v/>
      </c>
    </row>
    <row r="25" spans="1:20">
      <c r="A25" s="3">
        <v>5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HYPERLINK("http://141.218.60.56/~jnz1568/getInfo.php?workbook=05_01.xlsx&amp;sheet=A0&amp;row=25&amp;col=6&amp;number=&amp;sourceID=18","")</f>
        <v/>
      </c>
      <c r="G25" s="4" t="str">
        <f>HYPERLINK("http://141.218.60.56/~jnz1568/getInfo.php?workbook=05_01.xlsx&amp;sheet=A0&amp;row=25&amp;col=7&amp;number==&amp;sourceID=11","=")</f>
        <v>=</v>
      </c>
      <c r="H25" s="4" t="str">
        <f>HYPERLINK("http://141.218.60.56/~jnz1568/getInfo.php?workbook=05_01.xlsx&amp;sheet=A0&amp;row=25&amp;col=8&amp;number=14033000000&amp;sourceID=11","14033000000")</f>
        <v>14033000000</v>
      </c>
      <c r="I25" s="4" t="str">
        <f>HYPERLINK("http://141.218.60.56/~jnz1568/getInfo.php?workbook=05_01.xlsx&amp;sheet=A0&amp;row=25&amp;col=9&amp;number=&amp;sourceID=11","")</f>
        <v/>
      </c>
      <c r="J25" s="4" t="str">
        <f>HYPERLINK("http://141.218.60.56/~jnz1568/getInfo.php?workbook=05_01.xlsx&amp;sheet=A0&amp;row=25&amp;col=10&amp;number=&amp;sourceID=11","")</f>
        <v/>
      </c>
      <c r="K25" s="4" t="str">
        <f>HYPERLINK("http://141.218.60.56/~jnz1568/getInfo.php?workbook=05_01.xlsx&amp;sheet=A0&amp;row=25&amp;col=11&amp;number=&amp;sourceID=11","")</f>
        <v/>
      </c>
      <c r="L25" s="4" t="str">
        <f>HYPERLINK("http://141.218.60.56/~jnz1568/getInfo.php?workbook=05_01.xlsx&amp;sheet=A0&amp;row=25&amp;col=12&amp;number=22.518&amp;sourceID=11","22.518")</f>
        <v>22.518</v>
      </c>
      <c r="M25" s="4" t="str">
        <f>HYPERLINK("http://141.218.60.56/~jnz1568/getInfo.php?workbook=05_01.xlsx&amp;sheet=A0&amp;row=25&amp;col=13&amp;number=&amp;sourceID=11","")</f>
        <v/>
      </c>
      <c r="N25" s="4" t="str">
        <f>HYPERLINK("http://141.218.60.56/~jnz1568/getInfo.php?workbook=05_01.xlsx&amp;sheet=A0&amp;row=25&amp;col=14&amp;number=14033000000&amp;sourceID=12","14033000000")</f>
        <v>14033000000</v>
      </c>
      <c r="O25" s="4" t="str">
        <f>HYPERLINK("http://141.218.60.56/~jnz1568/getInfo.php?workbook=05_01.xlsx&amp;sheet=A0&amp;row=25&amp;col=15&amp;number=14033000000&amp;sourceID=12","14033000000")</f>
        <v>14033000000</v>
      </c>
      <c r="P25" s="4" t="str">
        <f>HYPERLINK("http://141.218.60.56/~jnz1568/getInfo.php?workbook=05_01.xlsx&amp;sheet=A0&amp;row=25&amp;col=16&amp;number=&amp;sourceID=12","")</f>
        <v/>
      </c>
      <c r="Q25" s="4" t="str">
        <f>HYPERLINK("http://141.218.60.56/~jnz1568/getInfo.php?workbook=05_01.xlsx&amp;sheet=A0&amp;row=25&amp;col=17&amp;number=&amp;sourceID=12","")</f>
        <v/>
      </c>
      <c r="R25" s="4" t="str">
        <f>HYPERLINK("http://141.218.60.56/~jnz1568/getInfo.php?workbook=05_01.xlsx&amp;sheet=A0&amp;row=25&amp;col=18&amp;number=&amp;sourceID=12","")</f>
        <v/>
      </c>
      <c r="S25" s="4" t="str">
        <f>HYPERLINK("http://141.218.60.56/~jnz1568/getInfo.php?workbook=05_01.xlsx&amp;sheet=A0&amp;row=25&amp;col=19&amp;number=22.52&amp;sourceID=12","22.52")</f>
        <v>22.52</v>
      </c>
      <c r="T25" s="4" t="str">
        <f>HYPERLINK("http://141.218.60.56/~jnz1568/getInfo.php?workbook=05_01.xlsx&amp;sheet=A0&amp;row=25&amp;col=20&amp;number=&amp;sourceID=12","")</f>
        <v/>
      </c>
    </row>
    <row r="26" spans="1:20">
      <c r="A26" s="3">
        <v>5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HYPERLINK("http://141.218.60.56/~jnz1568/getInfo.php?workbook=05_01.xlsx&amp;sheet=A0&amp;row=26&amp;col=6&amp;number=&amp;sourceID=18","")</f>
        <v/>
      </c>
      <c r="G26" s="4" t="str">
        <f>HYPERLINK("http://141.218.60.56/~jnz1568/getInfo.php?workbook=05_01.xlsx&amp;sheet=A0&amp;row=26&amp;col=7&amp;number==&amp;sourceID=11","=")</f>
        <v>=</v>
      </c>
      <c r="H26" s="4" t="str">
        <f>HYPERLINK("http://141.218.60.56/~jnz1568/getInfo.php?workbook=05_01.xlsx&amp;sheet=A0&amp;row=26&amp;col=8&amp;number=&amp;sourceID=11","")</f>
        <v/>
      </c>
      <c r="I26" s="4" t="str">
        <f>HYPERLINK("http://141.218.60.56/~jnz1568/getInfo.php?workbook=05_01.xlsx&amp;sheet=A0&amp;row=26&amp;col=9&amp;number=186860&amp;sourceID=11","186860")</f>
        <v>186860</v>
      </c>
      <c r="J26" s="4" t="str">
        <f>HYPERLINK("http://141.218.60.56/~jnz1568/getInfo.php?workbook=05_01.xlsx&amp;sheet=A0&amp;row=26&amp;col=10&amp;number=&amp;sourceID=11","")</f>
        <v/>
      </c>
      <c r="K26" s="4" t="str">
        <f>HYPERLINK("http://141.218.60.56/~jnz1568/getInfo.php?workbook=05_01.xlsx&amp;sheet=A0&amp;row=26&amp;col=11&amp;number=0.034509&amp;sourceID=11","0.034509")</f>
        <v>0.034509</v>
      </c>
      <c r="L26" s="4" t="str">
        <f>HYPERLINK("http://141.218.60.56/~jnz1568/getInfo.php?workbook=05_01.xlsx&amp;sheet=A0&amp;row=26&amp;col=12&amp;number=&amp;sourceID=11","")</f>
        <v/>
      </c>
      <c r="M26" s="4" t="str">
        <f>HYPERLINK("http://141.218.60.56/~jnz1568/getInfo.php?workbook=05_01.xlsx&amp;sheet=A0&amp;row=26&amp;col=13&amp;number=0.00063894&amp;sourceID=11","0.00063894")</f>
        <v>0.00063894</v>
      </c>
      <c r="N26" s="4" t="str">
        <f>HYPERLINK("http://141.218.60.56/~jnz1568/getInfo.php?workbook=05_01.xlsx&amp;sheet=A0&amp;row=26&amp;col=14&amp;number=186870&amp;sourceID=12","186870")</f>
        <v>186870</v>
      </c>
      <c r="O26" s="4" t="str">
        <f>HYPERLINK("http://141.218.60.56/~jnz1568/getInfo.php?workbook=05_01.xlsx&amp;sheet=A0&amp;row=26&amp;col=15&amp;number=&amp;sourceID=12","")</f>
        <v/>
      </c>
      <c r="P26" s="4" t="str">
        <f>HYPERLINK("http://141.218.60.56/~jnz1568/getInfo.php?workbook=05_01.xlsx&amp;sheet=A0&amp;row=26&amp;col=16&amp;number=186870&amp;sourceID=12","186870")</f>
        <v>186870</v>
      </c>
      <c r="Q26" s="4" t="str">
        <f>HYPERLINK("http://141.218.60.56/~jnz1568/getInfo.php?workbook=05_01.xlsx&amp;sheet=A0&amp;row=26&amp;col=17&amp;number=&amp;sourceID=12","")</f>
        <v/>
      </c>
      <c r="R26" s="4" t="str">
        <f>HYPERLINK("http://141.218.60.56/~jnz1568/getInfo.php?workbook=05_01.xlsx&amp;sheet=A0&amp;row=26&amp;col=18&amp;number=0.034511&amp;sourceID=12","0.034511")</f>
        <v>0.034511</v>
      </c>
      <c r="S26" s="4" t="str">
        <f>HYPERLINK("http://141.218.60.56/~jnz1568/getInfo.php?workbook=05_01.xlsx&amp;sheet=A0&amp;row=26&amp;col=19&amp;number=&amp;sourceID=12","")</f>
        <v/>
      </c>
      <c r="T26" s="4" t="str">
        <f>HYPERLINK("http://141.218.60.56/~jnz1568/getInfo.php?workbook=05_01.xlsx&amp;sheet=A0&amp;row=26&amp;col=20&amp;number=0.00063897&amp;sourceID=12","0.00063897")</f>
        <v>0.00063897</v>
      </c>
    </row>
    <row r="27" spans="1:20">
      <c r="A27" s="3">
        <v>5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HYPERLINK("http://141.218.60.56/~jnz1568/getInfo.php?workbook=05_01.xlsx&amp;sheet=A0&amp;row=27&amp;col=6&amp;number=&amp;sourceID=18","")</f>
        <v/>
      </c>
      <c r="G27" s="4" t="str">
        <f>HYPERLINK("http://141.218.60.56/~jnz1568/getInfo.php?workbook=05_01.xlsx&amp;sheet=A0&amp;row=27&amp;col=7&amp;number==&amp;sourceID=11","=")</f>
        <v>=</v>
      </c>
      <c r="H27" s="4" t="str">
        <f>HYPERLINK("http://141.218.60.56/~jnz1568/getInfo.php?workbook=05_01.xlsx&amp;sheet=A0&amp;row=27&amp;col=8&amp;number=&amp;sourceID=11","")</f>
        <v/>
      </c>
      <c r="I27" s="4" t="str">
        <f>HYPERLINK("http://141.218.60.56/~jnz1568/getInfo.php?workbook=05_01.xlsx&amp;sheet=A0&amp;row=27&amp;col=9&amp;number=1.649e-12&amp;sourceID=11","1.649e-12")</f>
        <v>1.649e-12</v>
      </c>
      <c r="J27" s="4" t="str">
        <f>HYPERLINK("http://141.218.60.56/~jnz1568/getInfo.php?workbook=05_01.xlsx&amp;sheet=A0&amp;row=27&amp;col=10&amp;number=&amp;sourceID=11","")</f>
        <v/>
      </c>
      <c r="K27" s="4" t="str">
        <f>HYPERLINK("http://141.218.60.56/~jnz1568/getInfo.php?workbook=05_01.xlsx&amp;sheet=A0&amp;row=27&amp;col=11&amp;number=2.7887e-06&amp;sourceID=11","2.7887e-06")</f>
        <v>2.7887e-06</v>
      </c>
      <c r="L27" s="4" t="str">
        <f>HYPERLINK("http://141.218.60.56/~jnz1568/getInfo.php?workbook=05_01.xlsx&amp;sheet=A0&amp;row=27&amp;col=12&amp;number=&amp;sourceID=11","")</f>
        <v/>
      </c>
      <c r="M27" s="4" t="str">
        <f>HYPERLINK("http://141.218.60.56/~jnz1568/getInfo.php?workbook=05_01.xlsx&amp;sheet=A0&amp;row=27&amp;col=13&amp;number=&amp;sourceID=11","")</f>
        <v/>
      </c>
      <c r="N27" s="4" t="str">
        <f>HYPERLINK("http://141.218.60.56/~jnz1568/getInfo.php?workbook=05_01.xlsx&amp;sheet=A0&amp;row=27&amp;col=14&amp;number=2.7888e-06&amp;sourceID=12","2.7888e-06")</f>
        <v>2.7888e-06</v>
      </c>
      <c r="O27" s="4" t="str">
        <f>HYPERLINK("http://141.218.60.56/~jnz1568/getInfo.php?workbook=05_01.xlsx&amp;sheet=A0&amp;row=27&amp;col=15&amp;number=&amp;sourceID=12","")</f>
        <v/>
      </c>
      <c r="P27" s="4" t="str">
        <f>HYPERLINK("http://141.218.60.56/~jnz1568/getInfo.php?workbook=05_01.xlsx&amp;sheet=A0&amp;row=27&amp;col=16&amp;number=1.649e-12&amp;sourceID=12","1.649e-12")</f>
        <v>1.649e-12</v>
      </c>
      <c r="Q27" s="4" t="str">
        <f>HYPERLINK("http://141.218.60.56/~jnz1568/getInfo.php?workbook=05_01.xlsx&amp;sheet=A0&amp;row=27&amp;col=17&amp;number=&amp;sourceID=12","")</f>
        <v/>
      </c>
      <c r="R27" s="4" t="str">
        <f>HYPERLINK("http://141.218.60.56/~jnz1568/getInfo.php?workbook=05_01.xlsx&amp;sheet=A0&amp;row=27&amp;col=18&amp;number=2.7888e-06&amp;sourceID=12","2.7888e-06")</f>
        <v>2.7888e-06</v>
      </c>
      <c r="S27" s="4" t="str">
        <f>HYPERLINK("http://141.218.60.56/~jnz1568/getInfo.php?workbook=05_01.xlsx&amp;sheet=A0&amp;row=27&amp;col=19&amp;number=&amp;sourceID=12","")</f>
        <v/>
      </c>
      <c r="T27" s="4" t="str">
        <f>HYPERLINK("http://141.218.60.56/~jnz1568/getInfo.php?workbook=05_01.xlsx&amp;sheet=A0&amp;row=27&amp;col=20&amp;number=&amp;sourceID=12","")</f>
        <v/>
      </c>
    </row>
    <row r="28" spans="1:20">
      <c r="A28" s="3">
        <v>5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HYPERLINK("http://141.218.60.56/~jnz1568/getInfo.php?workbook=05_01.xlsx&amp;sheet=A0&amp;row=28&amp;col=6&amp;number=&amp;sourceID=18","")</f>
        <v/>
      </c>
      <c r="G28" s="4" t="str">
        <f>HYPERLINK("http://141.218.60.56/~jnz1568/getInfo.php?workbook=05_01.xlsx&amp;sheet=A0&amp;row=28&amp;col=7&amp;number==&amp;sourceID=11","=")</f>
        <v>=</v>
      </c>
      <c r="H28" s="4" t="str">
        <f>HYPERLINK("http://141.218.60.56/~jnz1568/getInfo.php?workbook=05_01.xlsx&amp;sheet=A0&amp;row=28&amp;col=8&amp;number=1.357&amp;sourceID=11","1.357")</f>
        <v>1.357</v>
      </c>
      <c r="I28" s="4" t="str">
        <f>HYPERLINK("http://141.218.60.56/~jnz1568/getInfo.php?workbook=05_01.xlsx&amp;sheet=A0&amp;row=28&amp;col=9&amp;number=&amp;sourceID=11","")</f>
        <v/>
      </c>
      <c r="J28" s="4" t="str">
        <f>HYPERLINK("http://141.218.60.56/~jnz1568/getInfo.php?workbook=05_01.xlsx&amp;sheet=A0&amp;row=28&amp;col=10&amp;number=&amp;sourceID=11","")</f>
        <v/>
      </c>
      <c r="K28" s="4" t="str">
        <f>HYPERLINK("http://141.218.60.56/~jnz1568/getInfo.php?workbook=05_01.xlsx&amp;sheet=A0&amp;row=28&amp;col=11&amp;number=&amp;sourceID=11","")</f>
        <v/>
      </c>
      <c r="L28" s="4" t="str">
        <f>HYPERLINK("http://141.218.60.56/~jnz1568/getInfo.php?workbook=05_01.xlsx&amp;sheet=A0&amp;row=28&amp;col=12&amp;number=0&amp;sourceID=11","0")</f>
        <v>0</v>
      </c>
      <c r="M28" s="4" t="str">
        <f>HYPERLINK("http://141.218.60.56/~jnz1568/getInfo.php?workbook=05_01.xlsx&amp;sheet=A0&amp;row=28&amp;col=13&amp;number=&amp;sourceID=11","")</f>
        <v/>
      </c>
      <c r="N28" s="4" t="str">
        <f>HYPERLINK("http://141.218.60.56/~jnz1568/getInfo.php?workbook=05_01.xlsx&amp;sheet=A0&amp;row=28&amp;col=14&amp;number=1.3571&amp;sourceID=12","1.3571")</f>
        <v>1.3571</v>
      </c>
      <c r="O28" s="4" t="str">
        <f>HYPERLINK("http://141.218.60.56/~jnz1568/getInfo.php?workbook=05_01.xlsx&amp;sheet=A0&amp;row=28&amp;col=15&amp;number=1.3571&amp;sourceID=12","1.3571")</f>
        <v>1.3571</v>
      </c>
      <c r="P28" s="4" t="str">
        <f>HYPERLINK("http://141.218.60.56/~jnz1568/getInfo.php?workbook=05_01.xlsx&amp;sheet=A0&amp;row=28&amp;col=16&amp;number=&amp;sourceID=12","")</f>
        <v/>
      </c>
      <c r="Q28" s="4" t="str">
        <f>HYPERLINK("http://141.218.60.56/~jnz1568/getInfo.php?workbook=05_01.xlsx&amp;sheet=A0&amp;row=28&amp;col=17&amp;number=&amp;sourceID=12","")</f>
        <v/>
      </c>
      <c r="R28" s="4" t="str">
        <f>HYPERLINK("http://141.218.60.56/~jnz1568/getInfo.php?workbook=05_01.xlsx&amp;sheet=A0&amp;row=28&amp;col=18&amp;number=&amp;sourceID=12","")</f>
        <v/>
      </c>
      <c r="S28" s="4" t="str">
        <f>HYPERLINK("http://141.218.60.56/~jnz1568/getInfo.php?workbook=05_01.xlsx&amp;sheet=A0&amp;row=28&amp;col=19&amp;number=0&amp;sourceID=12","0")</f>
        <v>0</v>
      </c>
      <c r="T28" s="4" t="str">
        <f>HYPERLINK("http://141.218.60.56/~jnz1568/getInfo.php?workbook=05_01.xlsx&amp;sheet=A0&amp;row=28&amp;col=20&amp;number=&amp;sourceID=12","")</f>
        <v/>
      </c>
    </row>
    <row r="29" spans="1:20">
      <c r="A29" s="3">
        <v>5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HYPERLINK("http://141.218.60.56/~jnz1568/getInfo.php?workbook=05_01.xlsx&amp;sheet=A0&amp;row=29&amp;col=6&amp;number=&amp;sourceID=18","")</f>
        <v/>
      </c>
      <c r="G29" s="4" t="str">
        <f>HYPERLINK("http://141.218.60.56/~jnz1568/getInfo.php?workbook=05_01.xlsx&amp;sheet=A0&amp;row=29&amp;col=7&amp;number==&amp;sourceID=11","=")</f>
        <v>=</v>
      </c>
      <c r="H29" s="4" t="str">
        <f>HYPERLINK("http://141.218.60.56/~jnz1568/getInfo.php?workbook=05_01.xlsx&amp;sheet=A0&amp;row=29&amp;col=8&amp;number=&amp;sourceID=11","")</f>
        <v/>
      </c>
      <c r="I29" s="4" t="str">
        <f>HYPERLINK("http://141.218.60.56/~jnz1568/getInfo.php?workbook=05_01.xlsx&amp;sheet=A0&amp;row=29&amp;col=9&amp;number=9272100&amp;sourceID=11","9272100")</f>
        <v>9272100</v>
      </c>
      <c r="J29" s="4" t="str">
        <f>HYPERLINK("http://141.218.60.56/~jnz1568/getInfo.php?workbook=05_01.xlsx&amp;sheet=A0&amp;row=29&amp;col=10&amp;number=&amp;sourceID=11","")</f>
        <v/>
      </c>
      <c r="K29" s="4" t="str">
        <f>HYPERLINK("http://141.218.60.56/~jnz1568/getInfo.php?workbook=05_01.xlsx&amp;sheet=A0&amp;row=29&amp;col=11&amp;number=&amp;sourceID=11","")</f>
        <v/>
      </c>
      <c r="L29" s="4" t="str">
        <f>HYPERLINK("http://141.218.60.56/~jnz1568/getInfo.php?workbook=05_01.xlsx&amp;sheet=A0&amp;row=29&amp;col=12&amp;number=&amp;sourceID=11","")</f>
        <v/>
      </c>
      <c r="M29" s="4" t="str">
        <f>HYPERLINK("http://141.218.60.56/~jnz1568/getInfo.php?workbook=05_01.xlsx&amp;sheet=A0&amp;row=29&amp;col=13&amp;number=0.72198&amp;sourceID=11","0.72198")</f>
        <v>0.72198</v>
      </c>
      <c r="N29" s="4" t="str">
        <f>HYPERLINK("http://141.218.60.56/~jnz1568/getInfo.php?workbook=05_01.xlsx&amp;sheet=A0&amp;row=29&amp;col=14&amp;number=9272600&amp;sourceID=12","9272600")</f>
        <v>9272600</v>
      </c>
      <c r="O29" s="4" t="str">
        <f>HYPERLINK("http://141.218.60.56/~jnz1568/getInfo.php?workbook=05_01.xlsx&amp;sheet=A0&amp;row=29&amp;col=15&amp;number=&amp;sourceID=12","")</f>
        <v/>
      </c>
      <c r="P29" s="4" t="str">
        <f>HYPERLINK("http://141.218.60.56/~jnz1568/getInfo.php?workbook=05_01.xlsx&amp;sheet=A0&amp;row=29&amp;col=16&amp;number=9272600&amp;sourceID=12","9272600")</f>
        <v>9272600</v>
      </c>
      <c r="Q29" s="4" t="str">
        <f>HYPERLINK("http://141.218.60.56/~jnz1568/getInfo.php?workbook=05_01.xlsx&amp;sheet=A0&amp;row=29&amp;col=17&amp;number=&amp;sourceID=12","")</f>
        <v/>
      </c>
      <c r="R29" s="4" t="str">
        <f>HYPERLINK("http://141.218.60.56/~jnz1568/getInfo.php?workbook=05_01.xlsx&amp;sheet=A0&amp;row=29&amp;col=18&amp;number=&amp;sourceID=12","")</f>
        <v/>
      </c>
      <c r="S29" s="4" t="str">
        <f>HYPERLINK("http://141.218.60.56/~jnz1568/getInfo.php?workbook=05_01.xlsx&amp;sheet=A0&amp;row=29&amp;col=19&amp;number=&amp;sourceID=12","")</f>
        <v/>
      </c>
      <c r="T29" s="4" t="str">
        <f>HYPERLINK("http://141.218.60.56/~jnz1568/getInfo.php?workbook=05_01.xlsx&amp;sheet=A0&amp;row=29&amp;col=20&amp;number=0.72202&amp;sourceID=12","0.72202")</f>
        <v>0.72202</v>
      </c>
    </row>
    <row r="30" spans="1:20">
      <c r="A30" s="3">
        <v>5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HYPERLINK("http://141.218.60.56/~jnz1568/getInfo.php?workbook=05_01.xlsx&amp;sheet=A0&amp;row=30&amp;col=6&amp;number=&amp;sourceID=18","")</f>
        <v/>
      </c>
      <c r="G30" s="4" t="str">
        <f>HYPERLINK("http://141.218.60.56/~jnz1568/getInfo.php?workbook=05_01.xlsx&amp;sheet=A0&amp;row=30&amp;col=7&amp;number==&amp;sourceID=11","=")</f>
        <v>=</v>
      </c>
      <c r="H30" s="4" t="str">
        <f>HYPERLINK("http://141.218.60.56/~jnz1568/getInfo.php?workbook=05_01.xlsx&amp;sheet=A0&amp;row=30&amp;col=8&amp;number=&amp;sourceID=11","")</f>
        <v/>
      </c>
      <c r="I30" s="4" t="str">
        <f>HYPERLINK("http://141.218.60.56/~jnz1568/getInfo.php?workbook=05_01.xlsx&amp;sheet=A0&amp;row=30&amp;col=9&amp;number=&amp;sourceID=11","")</f>
        <v/>
      </c>
      <c r="J30" s="4" t="str">
        <f>HYPERLINK("http://141.218.60.56/~jnz1568/getInfo.php?workbook=05_01.xlsx&amp;sheet=A0&amp;row=30&amp;col=10&amp;number=4.9262&amp;sourceID=11","4.9262")</f>
        <v>4.9262</v>
      </c>
      <c r="K30" s="4" t="str">
        <f>HYPERLINK("http://141.218.60.56/~jnz1568/getInfo.php?workbook=05_01.xlsx&amp;sheet=A0&amp;row=30&amp;col=11&amp;number=&amp;sourceID=11","")</f>
        <v/>
      </c>
      <c r="L30" s="4" t="str">
        <f>HYPERLINK("http://141.218.60.56/~jnz1568/getInfo.php?workbook=05_01.xlsx&amp;sheet=A0&amp;row=30&amp;col=12&amp;number=15.386&amp;sourceID=11","15.386")</f>
        <v>15.386</v>
      </c>
      <c r="M30" s="4" t="str">
        <f>HYPERLINK("http://141.218.60.56/~jnz1568/getInfo.php?workbook=05_01.xlsx&amp;sheet=A0&amp;row=30&amp;col=13&amp;number=&amp;sourceID=11","")</f>
        <v/>
      </c>
      <c r="N30" s="4" t="str">
        <f>HYPERLINK("http://141.218.60.56/~jnz1568/getInfo.php?workbook=05_01.xlsx&amp;sheet=A0&amp;row=30&amp;col=14&amp;number=20.313&amp;sourceID=12","20.313")</f>
        <v>20.313</v>
      </c>
      <c r="O30" s="4" t="str">
        <f>HYPERLINK("http://141.218.60.56/~jnz1568/getInfo.php?workbook=05_01.xlsx&amp;sheet=A0&amp;row=30&amp;col=15&amp;number=&amp;sourceID=12","")</f>
        <v/>
      </c>
      <c r="P30" s="4" t="str">
        <f>HYPERLINK("http://141.218.60.56/~jnz1568/getInfo.php?workbook=05_01.xlsx&amp;sheet=A0&amp;row=30&amp;col=16&amp;number=&amp;sourceID=12","")</f>
        <v/>
      </c>
      <c r="Q30" s="4" t="str">
        <f>HYPERLINK("http://141.218.60.56/~jnz1568/getInfo.php?workbook=05_01.xlsx&amp;sheet=A0&amp;row=30&amp;col=17&amp;number=4.9264&amp;sourceID=12","4.9264")</f>
        <v>4.9264</v>
      </c>
      <c r="R30" s="4" t="str">
        <f>HYPERLINK("http://141.218.60.56/~jnz1568/getInfo.php?workbook=05_01.xlsx&amp;sheet=A0&amp;row=30&amp;col=18&amp;number=&amp;sourceID=12","")</f>
        <v/>
      </c>
      <c r="S30" s="4" t="str">
        <f>HYPERLINK("http://141.218.60.56/~jnz1568/getInfo.php?workbook=05_01.xlsx&amp;sheet=A0&amp;row=30&amp;col=19&amp;number=15.387&amp;sourceID=12","15.387")</f>
        <v>15.387</v>
      </c>
      <c r="T30" s="4" t="str">
        <f>HYPERLINK("http://141.218.60.56/~jnz1568/getInfo.php?workbook=05_01.xlsx&amp;sheet=A0&amp;row=30&amp;col=20&amp;number=&amp;sourceID=12","")</f>
        <v/>
      </c>
    </row>
    <row r="31" spans="1:20">
      <c r="A31" s="3">
        <v>5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HYPERLINK("http://141.218.60.56/~jnz1568/getInfo.php?workbook=05_01.xlsx&amp;sheet=A0&amp;row=31&amp;col=6&amp;number=&amp;sourceID=18","")</f>
        <v/>
      </c>
      <c r="G31" s="4" t="str">
        <f>HYPERLINK("http://141.218.60.56/~jnz1568/getInfo.php?workbook=05_01.xlsx&amp;sheet=A0&amp;row=31&amp;col=7&amp;number==&amp;sourceID=11","=")</f>
        <v>=</v>
      </c>
      <c r="H31" s="4" t="str">
        <f>HYPERLINK("http://141.218.60.56/~jnz1568/getInfo.php?workbook=05_01.xlsx&amp;sheet=A0&amp;row=31&amp;col=8&amp;number=&amp;sourceID=11","")</f>
        <v/>
      </c>
      <c r="I31" s="4" t="str">
        <f>HYPERLINK("http://141.218.60.56/~jnz1568/getInfo.php?workbook=05_01.xlsx&amp;sheet=A0&amp;row=31&amp;col=9&amp;number=798720&amp;sourceID=11","798720")</f>
        <v>798720</v>
      </c>
      <c r="J31" s="4" t="str">
        <f>HYPERLINK("http://141.218.60.56/~jnz1568/getInfo.php?workbook=05_01.xlsx&amp;sheet=A0&amp;row=31&amp;col=10&amp;number=&amp;sourceID=11","")</f>
        <v/>
      </c>
      <c r="K31" s="4" t="str">
        <f>HYPERLINK("http://141.218.60.56/~jnz1568/getInfo.php?workbook=05_01.xlsx&amp;sheet=A0&amp;row=31&amp;col=11&amp;number=&amp;sourceID=11","")</f>
        <v/>
      </c>
      <c r="L31" s="4" t="str">
        <f>HYPERLINK("http://141.218.60.56/~jnz1568/getInfo.php?workbook=05_01.xlsx&amp;sheet=A0&amp;row=31&amp;col=12&amp;number=&amp;sourceID=11","")</f>
        <v/>
      </c>
      <c r="M31" s="4" t="str">
        <f>HYPERLINK("http://141.218.60.56/~jnz1568/getInfo.php?workbook=05_01.xlsx&amp;sheet=A0&amp;row=31&amp;col=13&amp;number=0.0015192&amp;sourceID=11","0.0015192")</f>
        <v>0.0015192</v>
      </c>
      <c r="N31" s="4" t="str">
        <f>HYPERLINK("http://141.218.60.56/~jnz1568/getInfo.php?workbook=05_01.xlsx&amp;sheet=A0&amp;row=31&amp;col=14&amp;number=798760&amp;sourceID=12","798760")</f>
        <v>798760</v>
      </c>
      <c r="O31" s="4" t="str">
        <f>HYPERLINK("http://141.218.60.56/~jnz1568/getInfo.php?workbook=05_01.xlsx&amp;sheet=A0&amp;row=31&amp;col=15&amp;number=&amp;sourceID=12","")</f>
        <v/>
      </c>
      <c r="P31" s="4" t="str">
        <f>HYPERLINK("http://141.218.60.56/~jnz1568/getInfo.php?workbook=05_01.xlsx&amp;sheet=A0&amp;row=31&amp;col=16&amp;number=798760&amp;sourceID=12","798760")</f>
        <v>798760</v>
      </c>
      <c r="Q31" s="4" t="str">
        <f>HYPERLINK("http://141.218.60.56/~jnz1568/getInfo.php?workbook=05_01.xlsx&amp;sheet=A0&amp;row=31&amp;col=17&amp;number=&amp;sourceID=12","")</f>
        <v/>
      </c>
      <c r="R31" s="4" t="str">
        <f>HYPERLINK("http://141.218.60.56/~jnz1568/getInfo.php?workbook=05_01.xlsx&amp;sheet=A0&amp;row=31&amp;col=18&amp;number=&amp;sourceID=12","")</f>
        <v/>
      </c>
      <c r="S31" s="4" t="str">
        <f>HYPERLINK("http://141.218.60.56/~jnz1568/getInfo.php?workbook=05_01.xlsx&amp;sheet=A0&amp;row=31&amp;col=19&amp;number=&amp;sourceID=12","")</f>
        <v/>
      </c>
      <c r="T31" s="4" t="str">
        <f>HYPERLINK("http://141.218.60.56/~jnz1568/getInfo.php?workbook=05_01.xlsx&amp;sheet=A0&amp;row=31&amp;col=20&amp;number=0.0015193&amp;sourceID=12","0.0015193")</f>
        <v>0.0015193</v>
      </c>
    </row>
    <row r="32" spans="1:20">
      <c r="A32" s="3">
        <v>5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HYPERLINK("http://141.218.60.56/~jnz1568/getInfo.php?workbook=05_01.xlsx&amp;sheet=A0&amp;row=32&amp;col=6&amp;number=&amp;sourceID=18","")</f>
        <v/>
      </c>
      <c r="G32" s="4" t="str">
        <f>HYPERLINK("http://141.218.60.56/~jnz1568/getInfo.php?workbook=05_01.xlsx&amp;sheet=A0&amp;row=32&amp;col=7&amp;number==&amp;sourceID=11","=")</f>
        <v>=</v>
      </c>
      <c r="H32" s="4" t="str">
        <f>HYPERLINK("http://141.218.60.56/~jnz1568/getInfo.php?workbook=05_01.xlsx&amp;sheet=A0&amp;row=32&amp;col=8&amp;number=40425000000&amp;sourceID=11","40425000000")</f>
        <v>40425000000</v>
      </c>
      <c r="I32" s="4" t="str">
        <f>HYPERLINK("http://141.218.60.56/~jnz1568/getInfo.php?workbook=05_01.xlsx&amp;sheet=A0&amp;row=32&amp;col=9&amp;number=&amp;sourceID=11","")</f>
        <v/>
      </c>
      <c r="J32" s="4" t="str">
        <f>HYPERLINK("http://141.218.60.56/~jnz1568/getInfo.php?workbook=05_01.xlsx&amp;sheet=A0&amp;row=32&amp;col=10&amp;number=3.932&amp;sourceID=11","3.932")</f>
        <v>3.932</v>
      </c>
      <c r="K32" s="4" t="str">
        <f>HYPERLINK("http://141.218.60.56/~jnz1568/getInfo.php?workbook=05_01.xlsx&amp;sheet=A0&amp;row=32&amp;col=11&amp;number=&amp;sourceID=11","")</f>
        <v/>
      </c>
      <c r="L32" s="4" t="str">
        <f>HYPERLINK("http://141.218.60.56/~jnz1568/getInfo.php?workbook=05_01.xlsx&amp;sheet=A0&amp;row=32&amp;col=12&amp;number=83.991&amp;sourceID=11","83.991")</f>
        <v>83.991</v>
      </c>
      <c r="M32" s="4" t="str">
        <f>HYPERLINK("http://141.218.60.56/~jnz1568/getInfo.php?workbook=05_01.xlsx&amp;sheet=A0&amp;row=32&amp;col=13&amp;number=&amp;sourceID=11","")</f>
        <v/>
      </c>
      <c r="N32" s="4" t="str">
        <f>HYPERLINK("http://141.218.60.56/~jnz1568/getInfo.php?workbook=05_01.xlsx&amp;sheet=A0&amp;row=32&amp;col=14&amp;number=40427000000&amp;sourceID=12","40427000000")</f>
        <v>40427000000</v>
      </c>
      <c r="O32" s="4" t="str">
        <f>HYPERLINK("http://141.218.60.56/~jnz1568/getInfo.php?workbook=05_01.xlsx&amp;sheet=A0&amp;row=32&amp;col=15&amp;number=40427000000&amp;sourceID=12","40427000000")</f>
        <v>40427000000</v>
      </c>
      <c r="P32" s="4" t="str">
        <f>HYPERLINK("http://141.218.60.56/~jnz1568/getInfo.php?workbook=05_01.xlsx&amp;sheet=A0&amp;row=32&amp;col=16&amp;number=&amp;sourceID=12","")</f>
        <v/>
      </c>
      <c r="Q32" s="4" t="str">
        <f>HYPERLINK("http://141.218.60.56/~jnz1568/getInfo.php?workbook=05_01.xlsx&amp;sheet=A0&amp;row=32&amp;col=17&amp;number=3.9322&amp;sourceID=12","3.9322")</f>
        <v>3.9322</v>
      </c>
      <c r="R32" s="4" t="str">
        <f>HYPERLINK("http://141.218.60.56/~jnz1568/getInfo.php?workbook=05_01.xlsx&amp;sheet=A0&amp;row=32&amp;col=18&amp;number=&amp;sourceID=12","")</f>
        <v/>
      </c>
      <c r="S32" s="4" t="str">
        <f>HYPERLINK("http://141.218.60.56/~jnz1568/getInfo.php?workbook=05_01.xlsx&amp;sheet=A0&amp;row=32&amp;col=19&amp;number=83.995&amp;sourceID=12","83.995")</f>
        <v>83.995</v>
      </c>
      <c r="T32" s="4" t="str">
        <f>HYPERLINK("http://141.218.60.56/~jnz1568/getInfo.php?workbook=05_01.xlsx&amp;sheet=A0&amp;row=32&amp;col=20&amp;number=&amp;sourceID=12","")</f>
        <v/>
      </c>
    </row>
    <row r="33" spans="1:20">
      <c r="A33" s="3">
        <v>5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HYPERLINK("http://141.218.60.56/~jnz1568/getInfo.php?workbook=05_01.xlsx&amp;sheet=A0&amp;row=33&amp;col=6&amp;number=&amp;sourceID=18","")</f>
        <v/>
      </c>
      <c r="G33" s="4" t="str">
        <f>HYPERLINK("http://141.218.60.56/~jnz1568/getInfo.php?workbook=05_01.xlsx&amp;sheet=A0&amp;row=33&amp;col=7&amp;number==&amp;sourceID=11","=")</f>
        <v>=</v>
      </c>
      <c r="H33" s="4" t="str">
        <f>HYPERLINK("http://141.218.60.56/~jnz1568/getInfo.php?workbook=05_01.xlsx&amp;sheet=A0&amp;row=33&amp;col=8&amp;number=&amp;sourceID=11","")</f>
        <v/>
      </c>
      <c r="I33" s="4" t="str">
        <f>HYPERLINK("http://141.218.60.56/~jnz1568/getInfo.php?workbook=05_01.xlsx&amp;sheet=A0&amp;row=33&amp;col=9&amp;number=&amp;sourceID=11","")</f>
        <v/>
      </c>
      <c r="J33" s="4" t="str">
        <f>HYPERLINK("http://141.218.60.56/~jnz1568/getInfo.php?workbook=05_01.xlsx&amp;sheet=A0&amp;row=33&amp;col=10&amp;number=0&amp;sourceID=11","0")</f>
        <v>0</v>
      </c>
      <c r="K33" s="4" t="str">
        <f>HYPERLINK("http://141.218.60.56/~jnz1568/getInfo.php?workbook=05_01.xlsx&amp;sheet=A0&amp;row=33&amp;col=11&amp;number=&amp;sourceID=11","")</f>
        <v/>
      </c>
      <c r="L33" s="4" t="str">
        <f>HYPERLINK("http://141.218.60.56/~jnz1568/getInfo.php?workbook=05_01.xlsx&amp;sheet=A0&amp;row=33&amp;col=12&amp;number=0&amp;sourceID=11","0")</f>
        <v>0</v>
      </c>
      <c r="M33" s="4" t="str">
        <f>HYPERLINK("http://141.218.60.56/~jnz1568/getInfo.php?workbook=05_01.xlsx&amp;sheet=A0&amp;row=33&amp;col=13&amp;number=&amp;sourceID=11","")</f>
        <v/>
      </c>
      <c r="N33" s="4" t="str">
        <f>HYPERLINK("http://141.218.60.56/~jnz1568/getInfo.php?workbook=05_01.xlsx&amp;sheet=A0&amp;row=33&amp;col=14&amp;number=0&amp;sourceID=12","0")</f>
        <v>0</v>
      </c>
      <c r="O33" s="4" t="str">
        <f>HYPERLINK("http://141.218.60.56/~jnz1568/getInfo.php?workbook=05_01.xlsx&amp;sheet=A0&amp;row=33&amp;col=15&amp;number=&amp;sourceID=12","")</f>
        <v/>
      </c>
      <c r="P33" s="4" t="str">
        <f>HYPERLINK("http://141.218.60.56/~jnz1568/getInfo.php?workbook=05_01.xlsx&amp;sheet=A0&amp;row=33&amp;col=16&amp;number=&amp;sourceID=12","")</f>
        <v/>
      </c>
      <c r="Q33" s="4" t="str">
        <f>HYPERLINK("http://141.218.60.56/~jnz1568/getInfo.php?workbook=05_01.xlsx&amp;sheet=A0&amp;row=33&amp;col=17&amp;number=0&amp;sourceID=12","0")</f>
        <v>0</v>
      </c>
      <c r="R33" s="4" t="str">
        <f>HYPERLINK("http://141.218.60.56/~jnz1568/getInfo.php?workbook=05_01.xlsx&amp;sheet=A0&amp;row=33&amp;col=18&amp;number=&amp;sourceID=12","")</f>
        <v/>
      </c>
      <c r="S33" s="4" t="str">
        <f>HYPERLINK("http://141.218.60.56/~jnz1568/getInfo.php?workbook=05_01.xlsx&amp;sheet=A0&amp;row=33&amp;col=19&amp;number=0&amp;sourceID=12","0")</f>
        <v>0</v>
      </c>
      <c r="T33" s="4" t="str">
        <f>HYPERLINK("http://141.218.60.56/~jnz1568/getInfo.php?workbook=05_01.xlsx&amp;sheet=A0&amp;row=33&amp;col=20&amp;number=&amp;sourceID=12","")</f>
        <v/>
      </c>
    </row>
    <row r="34" spans="1:20">
      <c r="A34" s="3">
        <v>5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HYPERLINK("http://141.218.60.56/~jnz1568/getInfo.php?workbook=05_01.xlsx&amp;sheet=A0&amp;row=34&amp;col=6&amp;number=&amp;sourceID=18","")</f>
        <v/>
      </c>
      <c r="G34" s="4" t="str">
        <f>HYPERLINK("http://141.218.60.56/~jnz1568/getInfo.php?workbook=05_01.xlsx&amp;sheet=A0&amp;row=34&amp;col=7&amp;number==&amp;sourceID=11","=")</f>
        <v>=</v>
      </c>
      <c r="H34" s="4" t="str">
        <f>HYPERLINK("http://141.218.60.56/~jnz1568/getInfo.php?workbook=05_01.xlsx&amp;sheet=A0&amp;row=34&amp;col=8&amp;number=&amp;sourceID=11","")</f>
        <v/>
      </c>
      <c r="I34" s="4" t="str">
        <f>HYPERLINK("http://141.218.60.56/~jnz1568/getInfo.php?workbook=05_01.xlsx&amp;sheet=A0&amp;row=34&amp;col=9&amp;number=4.342e-12&amp;sourceID=11","4.342e-12")</f>
        <v>4.342e-12</v>
      </c>
      <c r="J34" s="4" t="str">
        <f>HYPERLINK("http://141.218.60.56/~jnz1568/getInfo.php?workbook=05_01.xlsx&amp;sheet=A0&amp;row=34&amp;col=10&amp;number=&amp;sourceID=11","")</f>
        <v/>
      </c>
      <c r="K34" s="4" t="str">
        <f>HYPERLINK("http://141.218.60.56/~jnz1568/getInfo.php?workbook=05_01.xlsx&amp;sheet=A0&amp;row=34&amp;col=11&amp;number=&amp;sourceID=11","")</f>
        <v/>
      </c>
      <c r="L34" s="4" t="str">
        <f>HYPERLINK("http://141.218.60.56/~jnz1568/getInfo.php?workbook=05_01.xlsx&amp;sheet=A0&amp;row=34&amp;col=12&amp;number=&amp;sourceID=11","")</f>
        <v/>
      </c>
      <c r="M34" s="4" t="str">
        <f>HYPERLINK("http://141.218.60.56/~jnz1568/getInfo.php?workbook=05_01.xlsx&amp;sheet=A0&amp;row=34&amp;col=13&amp;number=0&amp;sourceID=11","0")</f>
        <v>0</v>
      </c>
      <c r="N34" s="4" t="str">
        <f>HYPERLINK("http://141.218.60.56/~jnz1568/getInfo.php?workbook=05_01.xlsx&amp;sheet=A0&amp;row=34&amp;col=14&amp;number=4.342e-12&amp;sourceID=12","4.342e-12")</f>
        <v>4.342e-12</v>
      </c>
      <c r="O34" s="4" t="str">
        <f>HYPERLINK("http://141.218.60.56/~jnz1568/getInfo.php?workbook=05_01.xlsx&amp;sheet=A0&amp;row=34&amp;col=15&amp;number=&amp;sourceID=12","")</f>
        <v/>
      </c>
      <c r="P34" s="4" t="str">
        <f>HYPERLINK("http://141.218.60.56/~jnz1568/getInfo.php?workbook=05_01.xlsx&amp;sheet=A0&amp;row=34&amp;col=16&amp;number=4.342e-12&amp;sourceID=12","4.342e-12")</f>
        <v>4.342e-12</v>
      </c>
      <c r="Q34" s="4" t="str">
        <f>HYPERLINK("http://141.218.60.56/~jnz1568/getInfo.php?workbook=05_01.xlsx&amp;sheet=A0&amp;row=34&amp;col=17&amp;number=&amp;sourceID=12","")</f>
        <v/>
      </c>
      <c r="R34" s="4" t="str">
        <f>HYPERLINK("http://141.218.60.56/~jnz1568/getInfo.php?workbook=05_01.xlsx&amp;sheet=A0&amp;row=34&amp;col=18&amp;number=&amp;sourceID=12","")</f>
        <v/>
      </c>
      <c r="S34" s="4" t="str">
        <f>HYPERLINK("http://141.218.60.56/~jnz1568/getInfo.php?workbook=05_01.xlsx&amp;sheet=A0&amp;row=34&amp;col=19&amp;number=&amp;sourceID=12","")</f>
        <v/>
      </c>
      <c r="T34" s="4" t="str">
        <f>HYPERLINK("http://141.218.60.56/~jnz1568/getInfo.php?workbook=05_01.xlsx&amp;sheet=A0&amp;row=34&amp;col=20&amp;number=0&amp;sourceID=12","0")</f>
        <v>0</v>
      </c>
    </row>
    <row r="35" spans="1:20">
      <c r="A35" s="3">
        <v>5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HYPERLINK("http://141.218.60.56/~jnz1568/getInfo.php?workbook=05_01.xlsx&amp;sheet=A0&amp;row=35&amp;col=6&amp;number=&amp;sourceID=18","")</f>
        <v/>
      </c>
      <c r="G35" s="4" t="str">
        <f>HYPERLINK("http://141.218.60.56/~jnz1568/getInfo.php?workbook=05_01.xlsx&amp;sheet=A0&amp;row=35&amp;col=7&amp;number==&amp;sourceID=11","=")</f>
        <v>=</v>
      </c>
      <c r="H35" s="4" t="str">
        <f>HYPERLINK("http://141.218.60.56/~jnz1568/getInfo.php?workbook=05_01.xlsx&amp;sheet=A0&amp;row=35&amp;col=8&amp;number=&amp;sourceID=11","")</f>
        <v/>
      </c>
      <c r="I35" s="4" t="str">
        <f>HYPERLINK("http://141.218.60.56/~jnz1568/getInfo.php?workbook=05_01.xlsx&amp;sheet=A0&amp;row=35&amp;col=9&amp;number=1e-15&amp;sourceID=11","1e-15")</f>
        <v>1e-15</v>
      </c>
      <c r="J35" s="4" t="str">
        <f>HYPERLINK("http://141.218.60.56/~jnz1568/getInfo.php?workbook=05_01.xlsx&amp;sheet=A0&amp;row=35&amp;col=10&amp;number=&amp;sourceID=11","")</f>
        <v/>
      </c>
      <c r="K35" s="4" t="str">
        <f>HYPERLINK("http://141.218.60.56/~jnz1568/getInfo.php?workbook=05_01.xlsx&amp;sheet=A0&amp;row=35&amp;col=11&amp;number=1.2371e-07&amp;sourceID=11","1.2371e-07")</f>
        <v>1.2371e-07</v>
      </c>
      <c r="L35" s="4" t="str">
        <f>HYPERLINK("http://141.218.60.56/~jnz1568/getInfo.php?workbook=05_01.xlsx&amp;sheet=A0&amp;row=35&amp;col=12&amp;number=&amp;sourceID=11","")</f>
        <v/>
      </c>
      <c r="M35" s="4" t="str">
        <f>HYPERLINK("http://141.218.60.56/~jnz1568/getInfo.php?workbook=05_01.xlsx&amp;sheet=A0&amp;row=35&amp;col=13&amp;number=0&amp;sourceID=11","0")</f>
        <v>0</v>
      </c>
      <c r="N35" s="4" t="str">
        <f>HYPERLINK("http://141.218.60.56/~jnz1568/getInfo.php?workbook=05_01.xlsx&amp;sheet=A0&amp;row=35&amp;col=14&amp;number=1.2371e-07&amp;sourceID=12","1.2371e-07")</f>
        <v>1.2371e-07</v>
      </c>
      <c r="O35" s="4" t="str">
        <f>HYPERLINK("http://141.218.60.56/~jnz1568/getInfo.php?workbook=05_01.xlsx&amp;sheet=A0&amp;row=35&amp;col=15&amp;number=&amp;sourceID=12","")</f>
        <v/>
      </c>
      <c r="P35" s="4" t="str">
        <f>HYPERLINK("http://141.218.60.56/~jnz1568/getInfo.php?workbook=05_01.xlsx&amp;sheet=A0&amp;row=35&amp;col=16&amp;number=1e-15&amp;sourceID=12","1e-15")</f>
        <v>1e-15</v>
      </c>
      <c r="Q35" s="4" t="str">
        <f>HYPERLINK("http://141.218.60.56/~jnz1568/getInfo.php?workbook=05_01.xlsx&amp;sheet=A0&amp;row=35&amp;col=17&amp;number=&amp;sourceID=12","")</f>
        <v/>
      </c>
      <c r="R35" s="4" t="str">
        <f>HYPERLINK("http://141.218.60.56/~jnz1568/getInfo.php?workbook=05_01.xlsx&amp;sheet=A0&amp;row=35&amp;col=18&amp;number=1.2371e-07&amp;sourceID=12","1.2371e-07")</f>
        <v>1.2371e-07</v>
      </c>
      <c r="S35" s="4" t="str">
        <f>HYPERLINK("http://141.218.60.56/~jnz1568/getInfo.php?workbook=05_01.xlsx&amp;sheet=A0&amp;row=35&amp;col=19&amp;number=&amp;sourceID=12","")</f>
        <v/>
      </c>
      <c r="T35" s="4" t="str">
        <f>HYPERLINK("http://141.218.60.56/~jnz1568/getInfo.php?workbook=05_01.xlsx&amp;sheet=A0&amp;row=35&amp;col=20&amp;number=0&amp;sourceID=12","0")</f>
        <v>0</v>
      </c>
    </row>
    <row r="36" spans="1:20">
      <c r="A36" s="3">
        <v>5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HYPERLINK("http://141.218.60.56/~jnz1568/getInfo.php?workbook=05_01.xlsx&amp;sheet=A0&amp;row=36&amp;col=6&amp;number=&amp;sourceID=18","")</f>
        <v/>
      </c>
      <c r="G36" s="4" t="str">
        <f>HYPERLINK("http://141.218.60.56/~jnz1568/getInfo.php?workbook=05_01.xlsx&amp;sheet=A0&amp;row=36&amp;col=7&amp;number==&amp;sourceID=11","=")</f>
        <v>=</v>
      </c>
      <c r="H36" s="4" t="str">
        <f>HYPERLINK("http://141.218.60.56/~jnz1568/getInfo.php?workbook=05_01.xlsx&amp;sheet=A0&amp;row=36&amp;col=8&amp;number=0.037632&amp;sourceID=11","0.037632")</f>
        <v>0.037632</v>
      </c>
      <c r="I36" s="4" t="str">
        <f>HYPERLINK("http://141.218.60.56/~jnz1568/getInfo.php?workbook=05_01.xlsx&amp;sheet=A0&amp;row=36&amp;col=9&amp;number=&amp;sourceID=11","")</f>
        <v/>
      </c>
      <c r="J36" s="4" t="str">
        <f>HYPERLINK("http://141.218.60.56/~jnz1568/getInfo.php?workbook=05_01.xlsx&amp;sheet=A0&amp;row=36&amp;col=10&amp;number=0&amp;sourceID=11","0")</f>
        <v>0</v>
      </c>
      <c r="K36" s="4" t="str">
        <f>HYPERLINK("http://141.218.60.56/~jnz1568/getInfo.php?workbook=05_01.xlsx&amp;sheet=A0&amp;row=36&amp;col=11&amp;number=&amp;sourceID=11","")</f>
        <v/>
      </c>
      <c r="L36" s="4" t="str">
        <f>HYPERLINK("http://141.218.60.56/~jnz1568/getInfo.php?workbook=05_01.xlsx&amp;sheet=A0&amp;row=36&amp;col=12&amp;number=0&amp;sourceID=11","0")</f>
        <v>0</v>
      </c>
      <c r="M36" s="4" t="str">
        <f>HYPERLINK("http://141.218.60.56/~jnz1568/getInfo.php?workbook=05_01.xlsx&amp;sheet=A0&amp;row=36&amp;col=13&amp;number=&amp;sourceID=11","")</f>
        <v/>
      </c>
      <c r="N36" s="4" t="str">
        <f>HYPERLINK("http://141.218.60.56/~jnz1568/getInfo.php?workbook=05_01.xlsx&amp;sheet=A0&amp;row=36&amp;col=14&amp;number=0.037634&amp;sourceID=12","0.037634")</f>
        <v>0.037634</v>
      </c>
      <c r="O36" s="4" t="str">
        <f>HYPERLINK("http://141.218.60.56/~jnz1568/getInfo.php?workbook=05_01.xlsx&amp;sheet=A0&amp;row=36&amp;col=15&amp;number=0.037634&amp;sourceID=12","0.037634")</f>
        <v>0.037634</v>
      </c>
      <c r="P36" s="4" t="str">
        <f>HYPERLINK("http://141.218.60.56/~jnz1568/getInfo.php?workbook=05_01.xlsx&amp;sheet=A0&amp;row=36&amp;col=16&amp;number=&amp;sourceID=12","")</f>
        <v/>
      </c>
      <c r="Q36" s="4" t="str">
        <f>HYPERLINK("http://141.218.60.56/~jnz1568/getInfo.php?workbook=05_01.xlsx&amp;sheet=A0&amp;row=36&amp;col=17&amp;number=0&amp;sourceID=12","0")</f>
        <v>0</v>
      </c>
      <c r="R36" s="4" t="str">
        <f>HYPERLINK("http://141.218.60.56/~jnz1568/getInfo.php?workbook=05_01.xlsx&amp;sheet=A0&amp;row=36&amp;col=18&amp;number=&amp;sourceID=12","")</f>
        <v/>
      </c>
      <c r="S36" s="4" t="str">
        <f>HYPERLINK("http://141.218.60.56/~jnz1568/getInfo.php?workbook=05_01.xlsx&amp;sheet=A0&amp;row=36&amp;col=19&amp;number=0&amp;sourceID=12","0")</f>
        <v>0</v>
      </c>
      <c r="T36" s="4" t="str">
        <f>HYPERLINK("http://141.218.60.56/~jnz1568/getInfo.php?workbook=05_01.xlsx&amp;sheet=A0&amp;row=36&amp;col=20&amp;number=&amp;sourceID=12","")</f>
        <v/>
      </c>
    </row>
    <row r="37" spans="1:20">
      <c r="A37" s="3">
        <v>5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HYPERLINK("http://141.218.60.56/~jnz1568/getInfo.php?workbook=05_01.xlsx&amp;sheet=A0&amp;row=37&amp;col=6&amp;number=&amp;sourceID=18","")</f>
        <v/>
      </c>
      <c r="G37" s="4" t="str">
        <f>HYPERLINK("http://141.218.60.56/~jnz1568/getInfo.php?workbook=05_01.xlsx&amp;sheet=A0&amp;row=37&amp;col=7&amp;number==&amp;sourceID=11","=")</f>
        <v>=</v>
      </c>
      <c r="H37" s="4" t="str">
        <f>HYPERLINK("http://141.218.60.56/~jnz1568/getInfo.php?workbook=05_01.xlsx&amp;sheet=A0&amp;row=37&amp;col=8&amp;number=42621000000&amp;sourceID=11","42621000000")</f>
        <v>42621000000</v>
      </c>
      <c r="I37" s="4" t="str">
        <f>HYPERLINK("http://141.218.60.56/~jnz1568/getInfo.php?workbook=05_01.xlsx&amp;sheet=A0&amp;row=37&amp;col=9&amp;number=&amp;sourceID=11","")</f>
        <v/>
      </c>
      <c r="J37" s="4" t="str">
        <f>HYPERLINK("http://141.218.60.56/~jnz1568/getInfo.php?workbook=05_01.xlsx&amp;sheet=A0&amp;row=37&amp;col=10&amp;number=&amp;sourceID=11","")</f>
        <v/>
      </c>
      <c r="K37" s="4" t="str">
        <f>HYPERLINK("http://141.218.60.56/~jnz1568/getInfo.php?workbook=05_01.xlsx&amp;sheet=A0&amp;row=37&amp;col=11&amp;number=&amp;sourceID=11","")</f>
        <v/>
      </c>
      <c r="L37" s="4" t="str">
        <f>HYPERLINK("http://141.218.60.56/~jnz1568/getInfo.php?workbook=05_01.xlsx&amp;sheet=A0&amp;row=37&amp;col=12&amp;number=&amp;sourceID=11","")</f>
        <v/>
      </c>
      <c r="M37" s="4" t="str">
        <f>HYPERLINK("http://141.218.60.56/~jnz1568/getInfo.php?workbook=05_01.xlsx&amp;sheet=A0&amp;row=37&amp;col=13&amp;number=&amp;sourceID=11","")</f>
        <v/>
      </c>
      <c r="N37" s="4" t="str">
        <f>HYPERLINK("http://141.218.60.56/~jnz1568/getInfo.php?workbook=05_01.xlsx&amp;sheet=A0&amp;row=37&amp;col=14&amp;number=42624000000&amp;sourceID=12","42624000000")</f>
        <v>42624000000</v>
      </c>
      <c r="O37" s="4" t="str">
        <f>HYPERLINK("http://141.218.60.56/~jnz1568/getInfo.php?workbook=05_01.xlsx&amp;sheet=A0&amp;row=37&amp;col=15&amp;number=42624000000&amp;sourceID=12","42624000000")</f>
        <v>42624000000</v>
      </c>
      <c r="P37" s="4" t="str">
        <f>HYPERLINK("http://141.218.60.56/~jnz1568/getInfo.php?workbook=05_01.xlsx&amp;sheet=A0&amp;row=37&amp;col=16&amp;number=&amp;sourceID=12","")</f>
        <v/>
      </c>
      <c r="Q37" s="4" t="str">
        <f>HYPERLINK("http://141.218.60.56/~jnz1568/getInfo.php?workbook=05_01.xlsx&amp;sheet=A0&amp;row=37&amp;col=17&amp;number=&amp;sourceID=12","")</f>
        <v/>
      </c>
      <c r="R37" s="4" t="str">
        <f>HYPERLINK("http://141.218.60.56/~jnz1568/getInfo.php?workbook=05_01.xlsx&amp;sheet=A0&amp;row=37&amp;col=18&amp;number=&amp;sourceID=12","")</f>
        <v/>
      </c>
      <c r="S37" s="4" t="str">
        <f>HYPERLINK("http://141.218.60.56/~jnz1568/getInfo.php?workbook=05_01.xlsx&amp;sheet=A0&amp;row=37&amp;col=19&amp;number=&amp;sourceID=12","")</f>
        <v/>
      </c>
      <c r="T37" s="4" t="str">
        <f>HYPERLINK("http://141.218.60.56/~jnz1568/getInfo.php?workbook=05_01.xlsx&amp;sheet=A0&amp;row=37&amp;col=20&amp;number=&amp;sourceID=12","")</f>
        <v/>
      </c>
    </row>
    <row r="38" spans="1:20">
      <c r="A38" s="3">
        <v>5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HYPERLINK("http://141.218.60.56/~jnz1568/getInfo.php?workbook=05_01.xlsx&amp;sheet=A0&amp;row=38&amp;col=6&amp;number=&amp;sourceID=18","")</f>
        <v/>
      </c>
      <c r="G38" s="4" t="str">
        <f>HYPERLINK("http://141.218.60.56/~jnz1568/getInfo.php?workbook=05_01.xlsx&amp;sheet=A0&amp;row=38&amp;col=7&amp;number==&amp;sourceID=11","=")</f>
        <v>=</v>
      </c>
      <c r="H38" s="4" t="str">
        <f>HYPERLINK("http://141.218.60.56/~jnz1568/getInfo.php?workbook=05_01.xlsx&amp;sheet=A0&amp;row=38&amp;col=8&amp;number=&amp;sourceID=11","")</f>
        <v/>
      </c>
      <c r="I38" s="4" t="str">
        <f>HYPERLINK("http://141.218.60.56/~jnz1568/getInfo.php?workbook=05_01.xlsx&amp;sheet=A0&amp;row=38&amp;col=9&amp;number=&amp;sourceID=11","")</f>
        <v/>
      </c>
      <c r="J38" s="4" t="str">
        <f>HYPERLINK("http://141.218.60.56/~jnz1568/getInfo.php?workbook=05_01.xlsx&amp;sheet=A0&amp;row=38&amp;col=10&amp;number=&amp;sourceID=11","")</f>
        <v/>
      </c>
      <c r="K38" s="4" t="str">
        <f>HYPERLINK("http://141.218.60.56/~jnz1568/getInfo.php?workbook=05_01.xlsx&amp;sheet=A0&amp;row=38&amp;col=11&amp;number=0.0037686&amp;sourceID=11","0.0037686")</f>
        <v>0.0037686</v>
      </c>
      <c r="L38" s="4" t="str">
        <f>HYPERLINK("http://141.218.60.56/~jnz1568/getInfo.php?workbook=05_01.xlsx&amp;sheet=A0&amp;row=38&amp;col=12&amp;number=&amp;sourceID=11","")</f>
        <v/>
      </c>
      <c r="M38" s="4" t="str">
        <f>HYPERLINK("http://141.218.60.56/~jnz1568/getInfo.php?workbook=05_01.xlsx&amp;sheet=A0&amp;row=38&amp;col=13&amp;number=&amp;sourceID=11","")</f>
        <v/>
      </c>
      <c r="N38" s="4" t="str">
        <f>HYPERLINK("http://141.218.60.56/~jnz1568/getInfo.php?workbook=05_01.xlsx&amp;sheet=A0&amp;row=38&amp;col=14&amp;number=0.0037676&amp;sourceID=12","0.0037676")</f>
        <v>0.0037676</v>
      </c>
      <c r="O38" s="4" t="str">
        <f>HYPERLINK("http://141.218.60.56/~jnz1568/getInfo.php?workbook=05_01.xlsx&amp;sheet=A0&amp;row=38&amp;col=15&amp;number=&amp;sourceID=12","")</f>
        <v/>
      </c>
      <c r="P38" s="4" t="str">
        <f>HYPERLINK("http://141.218.60.56/~jnz1568/getInfo.php?workbook=05_01.xlsx&amp;sheet=A0&amp;row=38&amp;col=16&amp;number=&amp;sourceID=12","")</f>
        <v/>
      </c>
      <c r="Q38" s="4" t="str">
        <f>HYPERLINK("http://141.218.60.56/~jnz1568/getInfo.php?workbook=05_01.xlsx&amp;sheet=A0&amp;row=38&amp;col=17&amp;number=&amp;sourceID=12","")</f>
        <v/>
      </c>
      <c r="R38" s="4" t="str">
        <f>HYPERLINK("http://141.218.60.56/~jnz1568/getInfo.php?workbook=05_01.xlsx&amp;sheet=A0&amp;row=38&amp;col=18&amp;number=0.0037676&amp;sourceID=12","0.0037676")</f>
        <v>0.0037676</v>
      </c>
      <c r="S38" s="4" t="str">
        <f>HYPERLINK("http://141.218.60.56/~jnz1568/getInfo.php?workbook=05_01.xlsx&amp;sheet=A0&amp;row=38&amp;col=19&amp;number=&amp;sourceID=12","")</f>
        <v/>
      </c>
      <c r="T38" s="4" t="str">
        <f>HYPERLINK("http://141.218.60.56/~jnz1568/getInfo.php?workbook=05_01.xlsx&amp;sheet=A0&amp;row=38&amp;col=20&amp;number=&amp;sourceID=12","")</f>
        <v/>
      </c>
    </row>
    <row r="39" spans="1:20">
      <c r="A39" s="3">
        <v>5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HYPERLINK("http://141.218.60.56/~jnz1568/getInfo.php?workbook=05_01.xlsx&amp;sheet=A0&amp;row=39&amp;col=6&amp;number=&amp;sourceID=18","")</f>
        <v/>
      </c>
      <c r="G39" s="4" t="str">
        <f>HYPERLINK("http://141.218.60.56/~jnz1568/getInfo.php?workbook=05_01.xlsx&amp;sheet=A0&amp;row=39&amp;col=7&amp;number==&amp;sourceID=11","=")</f>
        <v>=</v>
      </c>
      <c r="H39" s="4" t="str">
        <f>HYPERLINK("http://141.218.60.56/~jnz1568/getInfo.php?workbook=05_01.xlsx&amp;sheet=A0&amp;row=39&amp;col=8&amp;number=6049900000&amp;sourceID=11","6049900000")</f>
        <v>6049900000</v>
      </c>
      <c r="I39" s="4" t="str">
        <f>HYPERLINK("http://141.218.60.56/~jnz1568/getInfo.php?workbook=05_01.xlsx&amp;sheet=A0&amp;row=39&amp;col=9&amp;number=&amp;sourceID=11","")</f>
        <v/>
      </c>
      <c r="J39" s="4" t="str">
        <f>HYPERLINK("http://141.218.60.56/~jnz1568/getInfo.php?workbook=05_01.xlsx&amp;sheet=A0&amp;row=39&amp;col=10&amp;number=&amp;sourceID=11","")</f>
        <v/>
      </c>
      <c r="K39" s="4" t="str">
        <f>HYPERLINK("http://141.218.60.56/~jnz1568/getInfo.php?workbook=05_01.xlsx&amp;sheet=A0&amp;row=39&amp;col=11&amp;number=&amp;sourceID=11","")</f>
        <v/>
      </c>
      <c r="L39" s="4" t="str">
        <f>HYPERLINK("http://141.218.60.56/~jnz1568/getInfo.php?workbook=05_01.xlsx&amp;sheet=A0&amp;row=39&amp;col=12&amp;number=&amp;sourceID=11","")</f>
        <v/>
      </c>
      <c r="M39" s="4" t="str">
        <f>HYPERLINK("http://141.218.60.56/~jnz1568/getInfo.php?workbook=05_01.xlsx&amp;sheet=A0&amp;row=39&amp;col=13&amp;number=&amp;sourceID=11","")</f>
        <v/>
      </c>
      <c r="N39" s="4" t="str">
        <f>HYPERLINK("http://141.218.60.56/~jnz1568/getInfo.php?workbook=05_01.xlsx&amp;sheet=A0&amp;row=39&amp;col=14&amp;number=6050200000&amp;sourceID=12","6050200000")</f>
        <v>6050200000</v>
      </c>
      <c r="O39" s="4" t="str">
        <f>HYPERLINK("http://141.218.60.56/~jnz1568/getInfo.php?workbook=05_01.xlsx&amp;sheet=A0&amp;row=39&amp;col=15&amp;number=6050200000&amp;sourceID=12","6050200000")</f>
        <v>6050200000</v>
      </c>
      <c r="P39" s="4" t="str">
        <f>HYPERLINK("http://141.218.60.56/~jnz1568/getInfo.php?workbook=05_01.xlsx&amp;sheet=A0&amp;row=39&amp;col=16&amp;number=&amp;sourceID=12","")</f>
        <v/>
      </c>
      <c r="Q39" s="4" t="str">
        <f>HYPERLINK("http://141.218.60.56/~jnz1568/getInfo.php?workbook=05_01.xlsx&amp;sheet=A0&amp;row=39&amp;col=17&amp;number=&amp;sourceID=12","")</f>
        <v/>
      </c>
      <c r="R39" s="4" t="str">
        <f>HYPERLINK("http://141.218.60.56/~jnz1568/getInfo.php?workbook=05_01.xlsx&amp;sheet=A0&amp;row=39&amp;col=18&amp;number=&amp;sourceID=12","")</f>
        <v/>
      </c>
      <c r="S39" s="4" t="str">
        <f>HYPERLINK("http://141.218.60.56/~jnz1568/getInfo.php?workbook=05_01.xlsx&amp;sheet=A0&amp;row=39&amp;col=19&amp;number=&amp;sourceID=12","")</f>
        <v/>
      </c>
      <c r="T39" s="4" t="str">
        <f>HYPERLINK("http://141.218.60.56/~jnz1568/getInfo.php?workbook=05_01.xlsx&amp;sheet=A0&amp;row=39&amp;col=20&amp;number=&amp;sourceID=12","")</f>
        <v/>
      </c>
    </row>
    <row r="40" spans="1:20">
      <c r="A40" s="3">
        <v>5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HYPERLINK("http://141.218.60.56/~jnz1568/getInfo.php?workbook=05_01.xlsx&amp;sheet=A0&amp;row=40&amp;col=6&amp;number=&amp;sourceID=18","")</f>
        <v/>
      </c>
      <c r="G40" s="4" t="str">
        <f>HYPERLINK("http://141.218.60.56/~jnz1568/getInfo.php?workbook=05_01.xlsx&amp;sheet=A0&amp;row=40&amp;col=7&amp;number==&amp;sourceID=11","=")</f>
        <v>=</v>
      </c>
      <c r="H40" s="4" t="str">
        <f>HYPERLINK("http://141.218.60.56/~jnz1568/getInfo.php?workbook=05_01.xlsx&amp;sheet=A0&amp;row=40&amp;col=8&amp;number=&amp;sourceID=11","")</f>
        <v/>
      </c>
      <c r="I40" s="4" t="str">
        <f>HYPERLINK("http://141.218.60.56/~jnz1568/getInfo.php?workbook=05_01.xlsx&amp;sheet=A0&amp;row=40&amp;col=9&amp;number=160880&amp;sourceID=11","160880")</f>
        <v>160880</v>
      </c>
      <c r="J40" s="4" t="str">
        <f>HYPERLINK("http://141.218.60.56/~jnz1568/getInfo.php?workbook=05_01.xlsx&amp;sheet=A0&amp;row=40&amp;col=10&amp;number=&amp;sourceID=11","")</f>
        <v/>
      </c>
      <c r="K40" s="4" t="str">
        <f>HYPERLINK("http://141.218.60.56/~jnz1568/getInfo.php?workbook=05_01.xlsx&amp;sheet=A0&amp;row=40&amp;col=11&amp;number=0.073543&amp;sourceID=11","0.073543")</f>
        <v>0.073543</v>
      </c>
      <c r="L40" s="4" t="str">
        <f>HYPERLINK("http://141.218.60.56/~jnz1568/getInfo.php?workbook=05_01.xlsx&amp;sheet=A0&amp;row=40&amp;col=12&amp;number=&amp;sourceID=11","")</f>
        <v/>
      </c>
      <c r="M40" s="4" t="str">
        <f>HYPERLINK("http://141.218.60.56/~jnz1568/getInfo.php?workbook=05_01.xlsx&amp;sheet=A0&amp;row=40&amp;col=13&amp;number=&amp;sourceID=11","")</f>
        <v/>
      </c>
      <c r="N40" s="4" t="str">
        <f>HYPERLINK("http://141.218.60.56/~jnz1568/getInfo.php?workbook=05_01.xlsx&amp;sheet=A0&amp;row=40&amp;col=14&amp;number=160890&amp;sourceID=12","160890")</f>
        <v>160890</v>
      </c>
      <c r="O40" s="4" t="str">
        <f>HYPERLINK("http://141.218.60.56/~jnz1568/getInfo.php?workbook=05_01.xlsx&amp;sheet=A0&amp;row=40&amp;col=15&amp;number=&amp;sourceID=12","")</f>
        <v/>
      </c>
      <c r="P40" s="4" t="str">
        <f>HYPERLINK("http://141.218.60.56/~jnz1568/getInfo.php?workbook=05_01.xlsx&amp;sheet=A0&amp;row=40&amp;col=16&amp;number=160890&amp;sourceID=12","160890")</f>
        <v>160890</v>
      </c>
      <c r="Q40" s="4" t="str">
        <f>HYPERLINK("http://141.218.60.56/~jnz1568/getInfo.php?workbook=05_01.xlsx&amp;sheet=A0&amp;row=40&amp;col=17&amp;number=&amp;sourceID=12","")</f>
        <v/>
      </c>
      <c r="R40" s="4" t="str">
        <f>HYPERLINK("http://141.218.60.56/~jnz1568/getInfo.php?workbook=05_01.xlsx&amp;sheet=A0&amp;row=40&amp;col=18&amp;number=0.073551&amp;sourceID=12","0.073551")</f>
        <v>0.073551</v>
      </c>
      <c r="S40" s="4" t="str">
        <f>HYPERLINK("http://141.218.60.56/~jnz1568/getInfo.php?workbook=05_01.xlsx&amp;sheet=A0&amp;row=40&amp;col=19&amp;number=&amp;sourceID=12","")</f>
        <v/>
      </c>
      <c r="T40" s="4" t="str">
        <f>HYPERLINK("http://141.218.60.56/~jnz1568/getInfo.php?workbook=05_01.xlsx&amp;sheet=A0&amp;row=40&amp;col=20&amp;number=&amp;sourceID=12","")</f>
        <v/>
      </c>
    </row>
    <row r="41" spans="1:20">
      <c r="A41" s="3">
        <v>5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HYPERLINK("http://141.218.60.56/~jnz1568/getInfo.php?workbook=05_01.xlsx&amp;sheet=A0&amp;row=41&amp;col=6&amp;number=&amp;sourceID=18","")</f>
        <v/>
      </c>
      <c r="G41" s="4" t="str">
        <f>HYPERLINK("http://141.218.60.56/~jnz1568/getInfo.php?workbook=05_01.xlsx&amp;sheet=A0&amp;row=41&amp;col=7&amp;number==&amp;sourceID=11","=")</f>
        <v>=</v>
      </c>
      <c r="H41" s="4" t="str">
        <f>HYPERLINK("http://141.218.60.56/~jnz1568/getInfo.php?workbook=05_01.xlsx&amp;sheet=A0&amp;row=41&amp;col=8&amp;number=&amp;sourceID=11","")</f>
        <v/>
      </c>
      <c r="I41" s="4" t="str">
        <f>HYPERLINK("http://141.218.60.56/~jnz1568/getInfo.php?workbook=05_01.xlsx&amp;sheet=A0&amp;row=41&amp;col=9&amp;number=&amp;sourceID=11","")</f>
        <v/>
      </c>
      <c r="J41" s="4" t="str">
        <f>HYPERLINK("http://141.218.60.56/~jnz1568/getInfo.php?workbook=05_01.xlsx&amp;sheet=A0&amp;row=41&amp;col=10&amp;number=&amp;sourceID=11","")</f>
        <v/>
      </c>
      <c r="K41" s="4" t="str">
        <f>HYPERLINK("http://141.218.60.56/~jnz1568/getInfo.php?workbook=05_01.xlsx&amp;sheet=A0&amp;row=41&amp;col=11&amp;number=6.2709e-05&amp;sourceID=11","6.2709e-05")</f>
        <v>6.2709e-05</v>
      </c>
      <c r="L41" s="4" t="str">
        <f>HYPERLINK("http://141.218.60.56/~jnz1568/getInfo.php?workbook=05_01.xlsx&amp;sheet=A0&amp;row=41&amp;col=12&amp;number=&amp;sourceID=11","")</f>
        <v/>
      </c>
      <c r="M41" s="4" t="str">
        <f>HYPERLINK("http://141.218.60.56/~jnz1568/getInfo.php?workbook=05_01.xlsx&amp;sheet=A0&amp;row=41&amp;col=13&amp;number=&amp;sourceID=11","")</f>
        <v/>
      </c>
      <c r="N41" s="4" t="str">
        <f>HYPERLINK("http://141.218.60.56/~jnz1568/getInfo.php?workbook=05_01.xlsx&amp;sheet=A0&amp;row=41&amp;col=14&amp;number=6.2712e-05&amp;sourceID=12","6.2712e-05")</f>
        <v>6.2712e-05</v>
      </c>
      <c r="O41" s="4" t="str">
        <f>HYPERLINK("http://141.218.60.56/~jnz1568/getInfo.php?workbook=05_01.xlsx&amp;sheet=A0&amp;row=41&amp;col=15&amp;number=&amp;sourceID=12","")</f>
        <v/>
      </c>
      <c r="P41" s="4" t="str">
        <f>HYPERLINK("http://141.218.60.56/~jnz1568/getInfo.php?workbook=05_01.xlsx&amp;sheet=A0&amp;row=41&amp;col=16&amp;number=&amp;sourceID=12","")</f>
        <v/>
      </c>
      <c r="Q41" s="4" t="str">
        <f>HYPERLINK("http://141.218.60.56/~jnz1568/getInfo.php?workbook=05_01.xlsx&amp;sheet=A0&amp;row=41&amp;col=17&amp;number=&amp;sourceID=12","")</f>
        <v/>
      </c>
      <c r="R41" s="4" t="str">
        <f>HYPERLINK("http://141.218.60.56/~jnz1568/getInfo.php?workbook=05_01.xlsx&amp;sheet=A0&amp;row=41&amp;col=18&amp;number=6.2712e-05&amp;sourceID=12","6.2712e-05")</f>
        <v>6.2712e-05</v>
      </c>
      <c r="S41" s="4" t="str">
        <f>HYPERLINK("http://141.218.60.56/~jnz1568/getInfo.php?workbook=05_01.xlsx&amp;sheet=A0&amp;row=41&amp;col=19&amp;number=&amp;sourceID=12","")</f>
        <v/>
      </c>
      <c r="T41" s="4" t="str">
        <f>HYPERLINK("http://141.218.60.56/~jnz1568/getInfo.php?workbook=05_01.xlsx&amp;sheet=A0&amp;row=41&amp;col=20&amp;number=&amp;sourceID=12","")</f>
        <v/>
      </c>
    </row>
    <row r="42" spans="1:20">
      <c r="A42" s="3">
        <v>5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HYPERLINK("http://141.218.60.56/~jnz1568/getInfo.php?workbook=05_01.xlsx&amp;sheet=A0&amp;row=42&amp;col=6&amp;number=&amp;sourceID=18","")</f>
        <v/>
      </c>
      <c r="G42" s="4" t="str">
        <f>HYPERLINK("http://141.218.60.56/~jnz1568/getInfo.php?workbook=05_01.xlsx&amp;sheet=A0&amp;row=42&amp;col=7&amp;number==&amp;sourceID=11","=")</f>
        <v>=</v>
      </c>
      <c r="H42" s="4" t="str">
        <f>HYPERLINK("http://141.218.60.56/~jnz1568/getInfo.php?workbook=05_01.xlsx&amp;sheet=A0&amp;row=42&amp;col=8&amp;number=1918100000&amp;sourceID=11","1918100000")</f>
        <v>1918100000</v>
      </c>
      <c r="I42" s="4" t="str">
        <f>HYPERLINK("http://141.218.60.56/~jnz1568/getInfo.php?workbook=05_01.xlsx&amp;sheet=A0&amp;row=42&amp;col=9&amp;number=&amp;sourceID=11","")</f>
        <v/>
      </c>
      <c r="J42" s="4" t="str">
        <f>HYPERLINK("http://141.218.60.56/~jnz1568/getInfo.php?workbook=05_01.xlsx&amp;sheet=A0&amp;row=42&amp;col=10&amp;number=&amp;sourceID=11","")</f>
        <v/>
      </c>
      <c r="K42" s="4" t="str">
        <f>HYPERLINK("http://141.218.60.56/~jnz1568/getInfo.php?workbook=05_01.xlsx&amp;sheet=A0&amp;row=42&amp;col=11&amp;number=&amp;sourceID=11","")</f>
        <v/>
      </c>
      <c r="L42" s="4" t="str">
        <f>HYPERLINK("http://141.218.60.56/~jnz1568/getInfo.php?workbook=05_01.xlsx&amp;sheet=A0&amp;row=42&amp;col=12&amp;number=&amp;sourceID=11","")</f>
        <v/>
      </c>
      <c r="M42" s="4" t="str">
        <f>HYPERLINK("http://141.218.60.56/~jnz1568/getInfo.php?workbook=05_01.xlsx&amp;sheet=A0&amp;row=42&amp;col=13&amp;number=&amp;sourceID=11","")</f>
        <v/>
      </c>
      <c r="N42" s="4" t="str">
        <f>HYPERLINK("http://141.218.60.56/~jnz1568/getInfo.php?workbook=05_01.xlsx&amp;sheet=A0&amp;row=42&amp;col=14&amp;number=1918200000&amp;sourceID=12","1918200000")</f>
        <v>1918200000</v>
      </c>
      <c r="O42" s="4" t="str">
        <f>HYPERLINK("http://141.218.60.56/~jnz1568/getInfo.php?workbook=05_01.xlsx&amp;sheet=A0&amp;row=42&amp;col=15&amp;number=1918200000&amp;sourceID=12","1918200000")</f>
        <v>1918200000</v>
      </c>
      <c r="P42" s="4" t="str">
        <f>HYPERLINK("http://141.218.60.56/~jnz1568/getInfo.php?workbook=05_01.xlsx&amp;sheet=A0&amp;row=42&amp;col=16&amp;number=&amp;sourceID=12","")</f>
        <v/>
      </c>
      <c r="Q42" s="4" t="str">
        <f>HYPERLINK("http://141.218.60.56/~jnz1568/getInfo.php?workbook=05_01.xlsx&amp;sheet=A0&amp;row=42&amp;col=17&amp;number=&amp;sourceID=12","")</f>
        <v/>
      </c>
      <c r="R42" s="4" t="str">
        <f>HYPERLINK("http://141.218.60.56/~jnz1568/getInfo.php?workbook=05_01.xlsx&amp;sheet=A0&amp;row=42&amp;col=18&amp;number=&amp;sourceID=12","")</f>
        <v/>
      </c>
      <c r="S42" s="4" t="str">
        <f>HYPERLINK("http://141.218.60.56/~jnz1568/getInfo.php?workbook=05_01.xlsx&amp;sheet=A0&amp;row=42&amp;col=19&amp;number=&amp;sourceID=12","")</f>
        <v/>
      </c>
      <c r="T42" s="4" t="str">
        <f>HYPERLINK("http://141.218.60.56/~jnz1568/getInfo.php?workbook=05_01.xlsx&amp;sheet=A0&amp;row=42&amp;col=20&amp;number=&amp;sourceID=12","")</f>
        <v/>
      </c>
    </row>
    <row r="43" spans="1:20">
      <c r="A43" s="3">
        <v>5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HYPERLINK("http://141.218.60.56/~jnz1568/getInfo.php?workbook=05_01.xlsx&amp;sheet=A0&amp;row=43&amp;col=6&amp;number=&amp;sourceID=18","")</f>
        <v/>
      </c>
      <c r="G43" s="4" t="str">
        <f>HYPERLINK("http://141.218.60.56/~jnz1568/getInfo.php?workbook=05_01.xlsx&amp;sheet=A0&amp;row=43&amp;col=7&amp;number==&amp;sourceID=11","=")</f>
        <v>=</v>
      </c>
      <c r="H43" s="4" t="str">
        <f>HYPERLINK("http://141.218.60.56/~jnz1568/getInfo.php?workbook=05_01.xlsx&amp;sheet=A0&amp;row=43&amp;col=8&amp;number=218200000&amp;sourceID=11","218200000")</f>
        <v>218200000</v>
      </c>
      <c r="I43" s="4" t="str">
        <f>HYPERLINK("http://141.218.60.56/~jnz1568/getInfo.php?workbook=05_01.xlsx&amp;sheet=A0&amp;row=43&amp;col=9&amp;number=&amp;sourceID=11","")</f>
        <v/>
      </c>
      <c r="J43" s="4" t="str">
        <f>HYPERLINK("http://141.218.60.56/~jnz1568/getInfo.php?workbook=05_01.xlsx&amp;sheet=A0&amp;row=43&amp;col=10&amp;number=&amp;sourceID=11","")</f>
        <v/>
      </c>
      <c r="K43" s="4" t="str">
        <f>HYPERLINK("http://141.218.60.56/~jnz1568/getInfo.php?workbook=05_01.xlsx&amp;sheet=A0&amp;row=43&amp;col=11&amp;number=&amp;sourceID=11","")</f>
        <v/>
      </c>
      <c r="L43" s="4" t="str">
        <f>HYPERLINK("http://141.218.60.56/~jnz1568/getInfo.php?workbook=05_01.xlsx&amp;sheet=A0&amp;row=43&amp;col=12&amp;number=0.0017134&amp;sourceID=11","0.0017134")</f>
        <v>0.0017134</v>
      </c>
      <c r="M43" s="4" t="str">
        <f>HYPERLINK("http://141.218.60.56/~jnz1568/getInfo.php?workbook=05_01.xlsx&amp;sheet=A0&amp;row=43&amp;col=13&amp;number=&amp;sourceID=11","")</f>
        <v/>
      </c>
      <c r="N43" s="4" t="str">
        <f>HYPERLINK("http://141.218.60.56/~jnz1568/getInfo.php?workbook=05_01.xlsx&amp;sheet=A0&amp;row=43&amp;col=14&amp;number=218210000&amp;sourceID=12","218210000")</f>
        <v>218210000</v>
      </c>
      <c r="O43" s="4" t="str">
        <f>HYPERLINK("http://141.218.60.56/~jnz1568/getInfo.php?workbook=05_01.xlsx&amp;sheet=A0&amp;row=43&amp;col=15&amp;number=218210000&amp;sourceID=12","218210000")</f>
        <v>218210000</v>
      </c>
      <c r="P43" s="4" t="str">
        <f>HYPERLINK("http://141.218.60.56/~jnz1568/getInfo.php?workbook=05_01.xlsx&amp;sheet=A0&amp;row=43&amp;col=16&amp;number=&amp;sourceID=12","")</f>
        <v/>
      </c>
      <c r="Q43" s="4" t="str">
        <f>HYPERLINK("http://141.218.60.56/~jnz1568/getInfo.php?workbook=05_01.xlsx&amp;sheet=A0&amp;row=43&amp;col=17&amp;number=&amp;sourceID=12","")</f>
        <v/>
      </c>
      <c r="R43" s="4" t="str">
        <f>HYPERLINK("http://141.218.60.56/~jnz1568/getInfo.php?workbook=05_01.xlsx&amp;sheet=A0&amp;row=43&amp;col=18&amp;number=&amp;sourceID=12","")</f>
        <v/>
      </c>
      <c r="S43" s="4" t="str">
        <f>HYPERLINK("http://141.218.60.56/~jnz1568/getInfo.php?workbook=05_01.xlsx&amp;sheet=A0&amp;row=43&amp;col=19&amp;number=0.0017135&amp;sourceID=12","0.0017135")</f>
        <v>0.0017135</v>
      </c>
      <c r="T43" s="4" t="str">
        <f>HYPERLINK("http://141.218.60.56/~jnz1568/getInfo.php?workbook=05_01.xlsx&amp;sheet=A0&amp;row=43&amp;col=20&amp;number=&amp;sourceID=12","")</f>
        <v/>
      </c>
    </row>
    <row r="44" spans="1:20">
      <c r="A44" s="3">
        <v>5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HYPERLINK("http://141.218.60.56/~jnz1568/getInfo.php?workbook=05_01.xlsx&amp;sheet=A0&amp;row=44&amp;col=6&amp;number=&amp;sourceID=18","")</f>
        <v/>
      </c>
      <c r="G44" s="4" t="str">
        <f>HYPERLINK("http://141.218.60.56/~jnz1568/getInfo.php?workbook=05_01.xlsx&amp;sheet=A0&amp;row=44&amp;col=7&amp;number==&amp;sourceID=11","=")</f>
        <v>=</v>
      </c>
      <c r="H44" s="4" t="str">
        <f>HYPERLINK("http://141.218.60.56/~jnz1568/getInfo.php?workbook=05_01.xlsx&amp;sheet=A0&amp;row=44&amp;col=8&amp;number=&amp;sourceID=11","")</f>
        <v/>
      </c>
      <c r="I44" s="4" t="str">
        <f>HYPERLINK("http://141.218.60.56/~jnz1568/getInfo.php?workbook=05_01.xlsx&amp;sheet=A0&amp;row=44&amp;col=9&amp;number=39873&amp;sourceID=11","39873")</f>
        <v>39873</v>
      </c>
      <c r="J44" s="4" t="str">
        <f>HYPERLINK("http://141.218.60.56/~jnz1568/getInfo.php?workbook=05_01.xlsx&amp;sheet=A0&amp;row=44&amp;col=10&amp;number=&amp;sourceID=11","")</f>
        <v/>
      </c>
      <c r="K44" s="4" t="str">
        <f>HYPERLINK("http://141.218.60.56/~jnz1568/getInfo.php?workbook=05_01.xlsx&amp;sheet=A0&amp;row=44&amp;col=11&amp;number=0.0052523&amp;sourceID=11","0.0052523")</f>
        <v>0.0052523</v>
      </c>
      <c r="L44" s="4" t="str">
        <f>HYPERLINK("http://141.218.60.56/~jnz1568/getInfo.php?workbook=05_01.xlsx&amp;sheet=A0&amp;row=44&amp;col=12&amp;number=&amp;sourceID=11","")</f>
        <v/>
      </c>
      <c r="M44" s="4" t="str">
        <f>HYPERLINK("http://141.218.60.56/~jnz1568/getInfo.php?workbook=05_01.xlsx&amp;sheet=A0&amp;row=44&amp;col=13&amp;number=&amp;sourceID=11","")</f>
        <v/>
      </c>
      <c r="N44" s="4" t="str">
        <f>HYPERLINK("http://141.218.60.56/~jnz1568/getInfo.php?workbook=05_01.xlsx&amp;sheet=A0&amp;row=44&amp;col=14&amp;number=39875&amp;sourceID=12","39875")</f>
        <v>39875</v>
      </c>
      <c r="O44" s="4" t="str">
        <f>HYPERLINK("http://141.218.60.56/~jnz1568/getInfo.php?workbook=05_01.xlsx&amp;sheet=A0&amp;row=44&amp;col=15&amp;number=&amp;sourceID=12","")</f>
        <v/>
      </c>
      <c r="P44" s="4" t="str">
        <f>HYPERLINK("http://141.218.60.56/~jnz1568/getInfo.php?workbook=05_01.xlsx&amp;sheet=A0&amp;row=44&amp;col=16&amp;number=39875&amp;sourceID=12","39875")</f>
        <v>39875</v>
      </c>
      <c r="Q44" s="4" t="str">
        <f>HYPERLINK("http://141.218.60.56/~jnz1568/getInfo.php?workbook=05_01.xlsx&amp;sheet=A0&amp;row=44&amp;col=17&amp;number=&amp;sourceID=12","")</f>
        <v/>
      </c>
      <c r="R44" s="4" t="str">
        <f>HYPERLINK("http://141.218.60.56/~jnz1568/getInfo.php?workbook=05_01.xlsx&amp;sheet=A0&amp;row=44&amp;col=18&amp;number=0.0052527&amp;sourceID=12","0.0052527")</f>
        <v>0.0052527</v>
      </c>
      <c r="S44" s="4" t="str">
        <f>HYPERLINK("http://141.218.60.56/~jnz1568/getInfo.php?workbook=05_01.xlsx&amp;sheet=A0&amp;row=44&amp;col=19&amp;number=&amp;sourceID=12","")</f>
        <v/>
      </c>
      <c r="T44" s="4" t="str">
        <f>HYPERLINK("http://141.218.60.56/~jnz1568/getInfo.php?workbook=05_01.xlsx&amp;sheet=A0&amp;row=44&amp;col=20&amp;number=&amp;sourceID=12","")</f>
        <v/>
      </c>
    </row>
    <row r="45" spans="1:20">
      <c r="A45" s="3">
        <v>5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HYPERLINK("http://141.218.60.56/~jnz1568/getInfo.php?workbook=05_01.xlsx&amp;sheet=A0&amp;row=45&amp;col=6&amp;number=&amp;sourceID=18","")</f>
        <v/>
      </c>
      <c r="G45" s="4" t="str">
        <f>HYPERLINK("http://141.218.60.56/~jnz1568/getInfo.php?workbook=05_01.xlsx&amp;sheet=A0&amp;row=45&amp;col=7&amp;number==&amp;sourceID=11","=")</f>
        <v>=</v>
      </c>
      <c r="H45" s="4" t="str">
        <f>HYPERLINK("http://141.218.60.56/~jnz1568/getInfo.php?workbook=05_01.xlsx&amp;sheet=A0&amp;row=45&amp;col=8&amp;number=&amp;sourceID=11","")</f>
        <v/>
      </c>
      <c r="I45" s="4" t="str">
        <f>HYPERLINK("http://141.218.60.56/~jnz1568/getInfo.php?workbook=05_01.xlsx&amp;sheet=A0&amp;row=45&amp;col=9&amp;number=&amp;sourceID=11","")</f>
        <v/>
      </c>
      <c r="J45" s="4" t="str">
        <f>HYPERLINK("http://141.218.60.56/~jnz1568/getInfo.php?workbook=05_01.xlsx&amp;sheet=A0&amp;row=45&amp;col=10&amp;number=0.18331&amp;sourceID=11","0.18331")</f>
        <v>0.18331</v>
      </c>
      <c r="K45" s="4" t="str">
        <f>HYPERLINK("http://141.218.60.56/~jnz1568/getInfo.php?workbook=05_01.xlsx&amp;sheet=A0&amp;row=45&amp;col=11&amp;number=&amp;sourceID=11","")</f>
        <v/>
      </c>
      <c r="L45" s="4" t="str">
        <f>HYPERLINK("http://141.218.60.56/~jnz1568/getInfo.php?workbook=05_01.xlsx&amp;sheet=A0&amp;row=45&amp;col=12&amp;number=0.018291&amp;sourceID=11","0.018291")</f>
        <v>0.018291</v>
      </c>
      <c r="M45" s="4" t="str">
        <f>HYPERLINK("http://141.218.60.56/~jnz1568/getInfo.php?workbook=05_01.xlsx&amp;sheet=A0&amp;row=45&amp;col=13&amp;number=&amp;sourceID=11","")</f>
        <v/>
      </c>
      <c r="N45" s="4" t="str">
        <f>HYPERLINK("http://141.218.60.56/~jnz1568/getInfo.php?workbook=05_01.xlsx&amp;sheet=A0&amp;row=45&amp;col=14&amp;number=0.20161&amp;sourceID=12","0.20161")</f>
        <v>0.20161</v>
      </c>
      <c r="O45" s="4" t="str">
        <f>HYPERLINK("http://141.218.60.56/~jnz1568/getInfo.php?workbook=05_01.xlsx&amp;sheet=A0&amp;row=45&amp;col=15&amp;number=&amp;sourceID=12","")</f>
        <v/>
      </c>
      <c r="P45" s="4" t="str">
        <f>HYPERLINK("http://141.218.60.56/~jnz1568/getInfo.php?workbook=05_01.xlsx&amp;sheet=A0&amp;row=45&amp;col=16&amp;number=&amp;sourceID=12","")</f>
        <v/>
      </c>
      <c r="Q45" s="4" t="str">
        <f>HYPERLINK("http://141.218.60.56/~jnz1568/getInfo.php?workbook=05_01.xlsx&amp;sheet=A0&amp;row=45&amp;col=17&amp;number=0.18332&amp;sourceID=12","0.18332")</f>
        <v>0.18332</v>
      </c>
      <c r="R45" s="4" t="str">
        <f>HYPERLINK("http://141.218.60.56/~jnz1568/getInfo.php?workbook=05_01.xlsx&amp;sheet=A0&amp;row=45&amp;col=18&amp;number=&amp;sourceID=12","")</f>
        <v/>
      </c>
      <c r="S45" s="4" t="str">
        <f>HYPERLINK("http://141.218.60.56/~jnz1568/getInfo.php?workbook=05_01.xlsx&amp;sheet=A0&amp;row=45&amp;col=19&amp;number=0.018292&amp;sourceID=12","0.018292")</f>
        <v>0.018292</v>
      </c>
      <c r="T45" s="4" t="str">
        <f>HYPERLINK("http://141.218.60.56/~jnz1568/getInfo.php?workbook=05_01.xlsx&amp;sheet=A0&amp;row=45&amp;col=20&amp;number=&amp;sourceID=12","")</f>
        <v/>
      </c>
    </row>
    <row r="46" spans="1:20">
      <c r="A46" s="3">
        <v>5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HYPERLINK("http://141.218.60.56/~jnz1568/getInfo.php?workbook=05_01.xlsx&amp;sheet=A0&amp;row=46&amp;col=6&amp;number=&amp;sourceID=18","")</f>
        <v/>
      </c>
      <c r="G46" s="4" t="str">
        <f>HYPERLINK("http://141.218.60.56/~jnz1568/getInfo.php?workbook=05_01.xlsx&amp;sheet=A0&amp;row=46&amp;col=7&amp;number==&amp;sourceID=11","=")</f>
        <v>=</v>
      </c>
      <c r="H46" s="4" t="str">
        <f>HYPERLINK("http://141.218.60.56/~jnz1568/getInfo.php?workbook=05_01.xlsx&amp;sheet=A0&amp;row=46&amp;col=8&amp;number=&amp;sourceID=11","")</f>
        <v/>
      </c>
      <c r="I46" s="4" t="str">
        <f>HYPERLINK("http://141.218.60.56/~jnz1568/getInfo.php?workbook=05_01.xlsx&amp;sheet=A0&amp;row=46&amp;col=9&amp;number=&amp;sourceID=11","")</f>
        <v/>
      </c>
      <c r="J46" s="4" t="str">
        <f>HYPERLINK("http://141.218.60.56/~jnz1568/getInfo.php?workbook=05_01.xlsx&amp;sheet=A0&amp;row=46&amp;col=10&amp;number=&amp;sourceID=11","")</f>
        <v/>
      </c>
      <c r="K46" s="4" t="str">
        <f>HYPERLINK("http://141.218.60.56/~jnz1568/getInfo.php?workbook=05_01.xlsx&amp;sheet=A0&amp;row=46&amp;col=11&amp;number=5.1869&amp;sourceID=11","5.1869")</f>
        <v>5.1869</v>
      </c>
      <c r="L46" s="4" t="str">
        <f>HYPERLINK("http://141.218.60.56/~jnz1568/getInfo.php?workbook=05_01.xlsx&amp;sheet=A0&amp;row=46&amp;col=12&amp;number=&amp;sourceID=11","")</f>
        <v/>
      </c>
      <c r="M46" s="4" t="str">
        <f>HYPERLINK("http://141.218.60.56/~jnz1568/getInfo.php?workbook=05_01.xlsx&amp;sheet=A0&amp;row=46&amp;col=13&amp;number=&amp;sourceID=11","")</f>
        <v/>
      </c>
      <c r="N46" s="4" t="str">
        <f>HYPERLINK("http://141.218.60.56/~jnz1568/getInfo.php?workbook=05_01.xlsx&amp;sheet=A0&amp;row=46&amp;col=14&amp;number=5.1836&amp;sourceID=12","5.1836")</f>
        <v>5.1836</v>
      </c>
      <c r="O46" s="4" t="str">
        <f>HYPERLINK("http://141.218.60.56/~jnz1568/getInfo.php?workbook=05_01.xlsx&amp;sheet=A0&amp;row=46&amp;col=15&amp;number=&amp;sourceID=12","")</f>
        <v/>
      </c>
      <c r="P46" s="4" t="str">
        <f>HYPERLINK("http://141.218.60.56/~jnz1568/getInfo.php?workbook=05_01.xlsx&amp;sheet=A0&amp;row=46&amp;col=16&amp;number=&amp;sourceID=12","")</f>
        <v/>
      </c>
      <c r="Q46" s="4" t="str">
        <f>HYPERLINK("http://141.218.60.56/~jnz1568/getInfo.php?workbook=05_01.xlsx&amp;sheet=A0&amp;row=46&amp;col=17&amp;number=&amp;sourceID=12","")</f>
        <v/>
      </c>
      <c r="R46" s="4" t="str">
        <f>HYPERLINK("http://141.218.60.56/~jnz1568/getInfo.php?workbook=05_01.xlsx&amp;sheet=A0&amp;row=46&amp;col=18&amp;number=5.1836&amp;sourceID=12","5.1836")</f>
        <v>5.1836</v>
      </c>
      <c r="S46" s="4" t="str">
        <f>HYPERLINK("http://141.218.60.56/~jnz1568/getInfo.php?workbook=05_01.xlsx&amp;sheet=A0&amp;row=46&amp;col=19&amp;number=&amp;sourceID=12","")</f>
        <v/>
      </c>
      <c r="T46" s="4" t="str">
        <f>HYPERLINK("http://141.218.60.56/~jnz1568/getInfo.php?workbook=05_01.xlsx&amp;sheet=A0&amp;row=46&amp;col=20&amp;number=&amp;sourceID=12","")</f>
        <v/>
      </c>
    </row>
    <row r="47" spans="1:20">
      <c r="A47" s="3">
        <v>5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HYPERLINK("http://141.218.60.56/~jnz1568/getInfo.php?workbook=05_01.xlsx&amp;sheet=A0&amp;row=47&amp;col=6&amp;number=&amp;sourceID=18","")</f>
        <v/>
      </c>
      <c r="G47" s="4" t="str">
        <f>HYPERLINK("http://141.218.60.56/~jnz1568/getInfo.php?workbook=05_01.xlsx&amp;sheet=A0&amp;row=47&amp;col=7&amp;number==&amp;sourceID=11","=")</f>
        <v>=</v>
      </c>
      <c r="H47" s="4" t="str">
        <f>HYPERLINK("http://141.218.60.56/~jnz1568/getInfo.php?workbook=05_01.xlsx&amp;sheet=A0&amp;row=47&amp;col=8&amp;number=537820000&amp;sourceID=11","537820000")</f>
        <v>537820000</v>
      </c>
      <c r="I47" s="4" t="str">
        <f>HYPERLINK("http://141.218.60.56/~jnz1568/getInfo.php?workbook=05_01.xlsx&amp;sheet=A0&amp;row=47&amp;col=9&amp;number=&amp;sourceID=11","")</f>
        <v/>
      </c>
      <c r="J47" s="4" t="str">
        <f>HYPERLINK("http://141.218.60.56/~jnz1568/getInfo.php?workbook=05_01.xlsx&amp;sheet=A0&amp;row=47&amp;col=10&amp;number=&amp;sourceID=11","")</f>
        <v/>
      </c>
      <c r="K47" s="4" t="str">
        <f>HYPERLINK("http://141.218.60.56/~jnz1568/getInfo.php?workbook=05_01.xlsx&amp;sheet=A0&amp;row=47&amp;col=11&amp;number=&amp;sourceID=11","")</f>
        <v/>
      </c>
      <c r="L47" s="4" t="str">
        <f>HYPERLINK("http://141.218.60.56/~jnz1568/getInfo.php?workbook=05_01.xlsx&amp;sheet=A0&amp;row=47&amp;col=12&amp;number=&amp;sourceID=11","")</f>
        <v/>
      </c>
      <c r="M47" s="4" t="str">
        <f>HYPERLINK("http://141.218.60.56/~jnz1568/getInfo.php?workbook=05_01.xlsx&amp;sheet=A0&amp;row=47&amp;col=13&amp;number=&amp;sourceID=11","")</f>
        <v/>
      </c>
      <c r="N47" s="4" t="str">
        <f>HYPERLINK("http://141.218.60.56/~jnz1568/getInfo.php?workbook=05_01.xlsx&amp;sheet=A0&amp;row=47&amp;col=14&amp;number=537840000&amp;sourceID=12","537840000")</f>
        <v>537840000</v>
      </c>
      <c r="O47" s="4" t="str">
        <f>HYPERLINK("http://141.218.60.56/~jnz1568/getInfo.php?workbook=05_01.xlsx&amp;sheet=A0&amp;row=47&amp;col=15&amp;number=537840000&amp;sourceID=12","537840000")</f>
        <v>537840000</v>
      </c>
      <c r="P47" s="4" t="str">
        <f>HYPERLINK("http://141.218.60.56/~jnz1568/getInfo.php?workbook=05_01.xlsx&amp;sheet=A0&amp;row=47&amp;col=16&amp;number=&amp;sourceID=12","")</f>
        <v/>
      </c>
      <c r="Q47" s="4" t="str">
        <f>HYPERLINK("http://141.218.60.56/~jnz1568/getInfo.php?workbook=05_01.xlsx&amp;sheet=A0&amp;row=47&amp;col=17&amp;number=&amp;sourceID=12","")</f>
        <v/>
      </c>
      <c r="R47" s="4" t="str">
        <f>HYPERLINK("http://141.218.60.56/~jnz1568/getInfo.php?workbook=05_01.xlsx&amp;sheet=A0&amp;row=47&amp;col=18&amp;number=&amp;sourceID=12","")</f>
        <v/>
      </c>
      <c r="S47" s="4" t="str">
        <f>HYPERLINK("http://141.218.60.56/~jnz1568/getInfo.php?workbook=05_01.xlsx&amp;sheet=A0&amp;row=47&amp;col=19&amp;number=&amp;sourceID=12","")</f>
        <v/>
      </c>
      <c r="T47" s="4" t="str">
        <f>HYPERLINK("http://141.218.60.56/~jnz1568/getInfo.php?workbook=05_01.xlsx&amp;sheet=A0&amp;row=47&amp;col=20&amp;number=&amp;sourceID=12","")</f>
        <v/>
      </c>
    </row>
    <row r="48" spans="1:20">
      <c r="A48" s="3">
        <v>5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HYPERLINK("http://141.218.60.56/~jnz1568/getInfo.php?workbook=05_01.xlsx&amp;sheet=A0&amp;row=48&amp;col=6&amp;number=&amp;sourceID=18","")</f>
        <v/>
      </c>
      <c r="G48" s="4" t="str">
        <f>HYPERLINK("http://141.218.60.56/~jnz1568/getInfo.php?workbook=05_01.xlsx&amp;sheet=A0&amp;row=48&amp;col=7&amp;number==&amp;sourceID=11","=")</f>
        <v>=</v>
      </c>
      <c r="H48" s="4" t="str">
        <f>HYPERLINK("http://141.218.60.56/~jnz1568/getInfo.php?workbook=05_01.xlsx&amp;sheet=A0&amp;row=48&amp;col=8&amp;number=&amp;sourceID=11","")</f>
        <v/>
      </c>
      <c r="I48" s="4" t="str">
        <f>HYPERLINK("http://141.218.60.56/~jnz1568/getInfo.php?workbook=05_01.xlsx&amp;sheet=A0&amp;row=48&amp;col=9&amp;number=&amp;sourceID=11","")</f>
        <v/>
      </c>
      <c r="J48" s="4" t="str">
        <f>HYPERLINK("http://141.218.60.56/~jnz1568/getInfo.php?workbook=05_01.xlsx&amp;sheet=A0&amp;row=48&amp;col=10&amp;number=&amp;sourceID=11","")</f>
        <v/>
      </c>
      <c r="K48" s="4" t="str">
        <f>HYPERLINK("http://141.218.60.56/~jnz1568/getInfo.php?workbook=05_01.xlsx&amp;sheet=A0&amp;row=48&amp;col=11&amp;number=0.015832&amp;sourceID=11","0.015832")</f>
        <v>0.015832</v>
      </c>
      <c r="L48" s="4" t="str">
        <f>HYPERLINK("http://141.218.60.56/~jnz1568/getInfo.php?workbook=05_01.xlsx&amp;sheet=A0&amp;row=48&amp;col=12&amp;number=&amp;sourceID=11","")</f>
        <v/>
      </c>
      <c r="M48" s="4" t="str">
        <f>HYPERLINK("http://141.218.60.56/~jnz1568/getInfo.php?workbook=05_01.xlsx&amp;sheet=A0&amp;row=48&amp;col=13&amp;number=&amp;sourceID=11","")</f>
        <v/>
      </c>
      <c r="N48" s="4" t="str">
        <f>HYPERLINK("http://141.218.60.56/~jnz1568/getInfo.php?workbook=05_01.xlsx&amp;sheet=A0&amp;row=48&amp;col=14&amp;number=0.015833&amp;sourceID=12","0.015833")</f>
        <v>0.015833</v>
      </c>
      <c r="O48" s="4" t="str">
        <f>HYPERLINK("http://141.218.60.56/~jnz1568/getInfo.php?workbook=05_01.xlsx&amp;sheet=A0&amp;row=48&amp;col=15&amp;number=&amp;sourceID=12","")</f>
        <v/>
      </c>
      <c r="P48" s="4" t="str">
        <f>HYPERLINK("http://141.218.60.56/~jnz1568/getInfo.php?workbook=05_01.xlsx&amp;sheet=A0&amp;row=48&amp;col=16&amp;number=&amp;sourceID=12","")</f>
        <v/>
      </c>
      <c r="Q48" s="4" t="str">
        <f>HYPERLINK("http://141.218.60.56/~jnz1568/getInfo.php?workbook=05_01.xlsx&amp;sheet=A0&amp;row=48&amp;col=17&amp;number=&amp;sourceID=12","")</f>
        <v/>
      </c>
      <c r="R48" s="4" t="str">
        <f>HYPERLINK("http://141.218.60.56/~jnz1568/getInfo.php?workbook=05_01.xlsx&amp;sheet=A0&amp;row=48&amp;col=18&amp;number=0.015833&amp;sourceID=12","0.015833")</f>
        <v>0.015833</v>
      </c>
      <c r="S48" s="4" t="str">
        <f>HYPERLINK("http://141.218.60.56/~jnz1568/getInfo.php?workbook=05_01.xlsx&amp;sheet=A0&amp;row=48&amp;col=19&amp;number=&amp;sourceID=12","")</f>
        <v/>
      </c>
      <c r="T48" s="4" t="str">
        <f>HYPERLINK("http://141.218.60.56/~jnz1568/getInfo.php?workbook=05_01.xlsx&amp;sheet=A0&amp;row=48&amp;col=20&amp;number=&amp;sourceID=12","")</f>
        <v/>
      </c>
    </row>
    <row r="49" spans="1:20">
      <c r="A49" s="3">
        <v>5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HYPERLINK("http://141.218.60.56/~jnz1568/getInfo.php?workbook=05_01.xlsx&amp;sheet=A0&amp;row=49&amp;col=6&amp;number=&amp;sourceID=18","")</f>
        <v/>
      </c>
      <c r="G49" s="4" t="str">
        <f>HYPERLINK("http://141.218.60.56/~jnz1568/getInfo.php?workbook=05_01.xlsx&amp;sheet=A0&amp;row=49&amp;col=7&amp;number==&amp;sourceID=11","=")</f>
        <v>=</v>
      </c>
      <c r="H49" s="4" t="str">
        <f>HYPERLINK("http://141.218.60.56/~jnz1568/getInfo.php?workbook=05_01.xlsx&amp;sheet=A0&amp;row=49&amp;col=8&amp;number=1078400000&amp;sourceID=11","1078400000")</f>
        <v>1078400000</v>
      </c>
      <c r="I49" s="4" t="str">
        <f>HYPERLINK("http://141.218.60.56/~jnz1568/getInfo.php?workbook=05_01.xlsx&amp;sheet=A0&amp;row=49&amp;col=9&amp;number=&amp;sourceID=11","")</f>
        <v/>
      </c>
      <c r="J49" s="4" t="str">
        <f>HYPERLINK("http://141.218.60.56/~jnz1568/getInfo.php?workbook=05_01.xlsx&amp;sheet=A0&amp;row=49&amp;col=10&amp;number=&amp;sourceID=11","")</f>
        <v/>
      </c>
      <c r="K49" s="4" t="str">
        <f>HYPERLINK("http://141.218.60.56/~jnz1568/getInfo.php?workbook=05_01.xlsx&amp;sheet=A0&amp;row=49&amp;col=11&amp;number=&amp;sourceID=11","")</f>
        <v/>
      </c>
      <c r="L49" s="4" t="str">
        <f>HYPERLINK("http://141.218.60.56/~jnz1568/getInfo.php?workbook=05_01.xlsx&amp;sheet=A0&amp;row=49&amp;col=12&amp;number=3.1508&amp;sourceID=11","3.1508")</f>
        <v>3.1508</v>
      </c>
      <c r="M49" s="4" t="str">
        <f>HYPERLINK("http://141.218.60.56/~jnz1568/getInfo.php?workbook=05_01.xlsx&amp;sheet=A0&amp;row=49&amp;col=13&amp;number=&amp;sourceID=11","")</f>
        <v/>
      </c>
      <c r="N49" s="4" t="str">
        <f>HYPERLINK("http://141.218.60.56/~jnz1568/getInfo.php?workbook=05_01.xlsx&amp;sheet=A0&amp;row=49&amp;col=14&amp;number=1078500000&amp;sourceID=12","1078500000")</f>
        <v>1078500000</v>
      </c>
      <c r="O49" s="4" t="str">
        <f>HYPERLINK("http://141.218.60.56/~jnz1568/getInfo.php?workbook=05_01.xlsx&amp;sheet=A0&amp;row=49&amp;col=15&amp;number=1078500000&amp;sourceID=12","1078500000")</f>
        <v>1078500000</v>
      </c>
      <c r="P49" s="4" t="str">
        <f>HYPERLINK("http://141.218.60.56/~jnz1568/getInfo.php?workbook=05_01.xlsx&amp;sheet=A0&amp;row=49&amp;col=16&amp;number=&amp;sourceID=12","")</f>
        <v/>
      </c>
      <c r="Q49" s="4" t="str">
        <f>HYPERLINK("http://141.218.60.56/~jnz1568/getInfo.php?workbook=05_01.xlsx&amp;sheet=A0&amp;row=49&amp;col=17&amp;number=&amp;sourceID=12","")</f>
        <v/>
      </c>
      <c r="R49" s="4" t="str">
        <f>HYPERLINK("http://141.218.60.56/~jnz1568/getInfo.php?workbook=05_01.xlsx&amp;sheet=A0&amp;row=49&amp;col=18&amp;number=&amp;sourceID=12","")</f>
        <v/>
      </c>
      <c r="S49" s="4" t="str">
        <f>HYPERLINK("http://141.218.60.56/~jnz1568/getInfo.php?workbook=05_01.xlsx&amp;sheet=A0&amp;row=49&amp;col=19&amp;number=3.1509&amp;sourceID=12","3.1509")</f>
        <v>3.1509</v>
      </c>
      <c r="T49" s="4" t="str">
        <f>HYPERLINK("http://141.218.60.56/~jnz1568/getInfo.php?workbook=05_01.xlsx&amp;sheet=A0&amp;row=49&amp;col=20&amp;number=&amp;sourceID=12","")</f>
        <v/>
      </c>
    </row>
    <row r="50" spans="1:20">
      <c r="A50" s="3">
        <v>5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HYPERLINK("http://141.218.60.56/~jnz1568/getInfo.php?workbook=05_01.xlsx&amp;sheet=A0&amp;row=50&amp;col=6&amp;number=&amp;sourceID=18","")</f>
        <v/>
      </c>
      <c r="G50" s="4" t="str">
        <f>HYPERLINK("http://141.218.60.56/~jnz1568/getInfo.php?workbook=05_01.xlsx&amp;sheet=A0&amp;row=50&amp;col=7&amp;number==&amp;sourceID=11","=")</f>
        <v>=</v>
      </c>
      <c r="H50" s="4" t="str">
        <f>HYPERLINK("http://141.218.60.56/~jnz1568/getInfo.php?workbook=05_01.xlsx&amp;sheet=A0&amp;row=50&amp;col=8&amp;number=382830000&amp;sourceID=11","382830000")</f>
        <v>382830000</v>
      </c>
      <c r="I50" s="4" t="str">
        <f>HYPERLINK("http://141.218.60.56/~jnz1568/getInfo.php?workbook=05_01.xlsx&amp;sheet=A0&amp;row=50&amp;col=9&amp;number=&amp;sourceID=11","")</f>
        <v/>
      </c>
      <c r="J50" s="4" t="str">
        <f>HYPERLINK("http://141.218.60.56/~jnz1568/getInfo.php?workbook=05_01.xlsx&amp;sheet=A0&amp;row=50&amp;col=10&amp;number=&amp;sourceID=11","")</f>
        <v/>
      </c>
      <c r="K50" s="4" t="str">
        <f>HYPERLINK("http://141.218.60.56/~jnz1568/getInfo.php?workbook=05_01.xlsx&amp;sheet=A0&amp;row=50&amp;col=11&amp;number=&amp;sourceID=11","")</f>
        <v/>
      </c>
      <c r="L50" s="4" t="str">
        <f>HYPERLINK("http://141.218.60.56/~jnz1568/getInfo.php?workbook=05_01.xlsx&amp;sheet=A0&amp;row=50&amp;col=12&amp;number=&amp;sourceID=11","")</f>
        <v/>
      </c>
      <c r="M50" s="4" t="str">
        <f>HYPERLINK("http://141.218.60.56/~jnz1568/getInfo.php?workbook=05_01.xlsx&amp;sheet=A0&amp;row=50&amp;col=13&amp;number=&amp;sourceID=11","")</f>
        <v/>
      </c>
      <c r="N50" s="4" t="str">
        <f>HYPERLINK("http://141.218.60.56/~jnz1568/getInfo.php?workbook=05_01.xlsx&amp;sheet=A0&amp;row=50&amp;col=14&amp;number=382850000&amp;sourceID=12","382850000")</f>
        <v>382850000</v>
      </c>
      <c r="O50" s="4" t="str">
        <f>HYPERLINK("http://141.218.60.56/~jnz1568/getInfo.php?workbook=05_01.xlsx&amp;sheet=A0&amp;row=50&amp;col=15&amp;number=382850000&amp;sourceID=12","382850000")</f>
        <v>382850000</v>
      </c>
      <c r="P50" s="4" t="str">
        <f>HYPERLINK("http://141.218.60.56/~jnz1568/getInfo.php?workbook=05_01.xlsx&amp;sheet=A0&amp;row=50&amp;col=16&amp;number=&amp;sourceID=12","")</f>
        <v/>
      </c>
      <c r="Q50" s="4" t="str">
        <f>HYPERLINK("http://141.218.60.56/~jnz1568/getInfo.php?workbook=05_01.xlsx&amp;sheet=A0&amp;row=50&amp;col=17&amp;number=&amp;sourceID=12","")</f>
        <v/>
      </c>
      <c r="R50" s="4" t="str">
        <f>HYPERLINK("http://141.218.60.56/~jnz1568/getInfo.php?workbook=05_01.xlsx&amp;sheet=A0&amp;row=50&amp;col=18&amp;number=&amp;sourceID=12","")</f>
        <v/>
      </c>
      <c r="S50" s="4" t="str">
        <f>HYPERLINK("http://141.218.60.56/~jnz1568/getInfo.php?workbook=05_01.xlsx&amp;sheet=A0&amp;row=50&amp;col=19&amp;number=&amp;sourceID=12","")</f>
        <v/>
      </c>
      <c r="T50" s="4" t="str">
        <f>HYPERLINK("http://141.218.60.56/~jnz1568/getInfo.php?workbook=05_01.xlsx&amp;sheet=A0&amp;row=50&amp;col=20&amp;number=&amp;sourceID=12","")</f>
        <v/>
      </c>
    </row>
    <row r="51" spans="1:20">
      <c r="A51" s="3">
        <v>5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HYPERLINK("http://141.218.60.56/~jnz1568/getInfo.php?workbook=05_01.xlsx&amp;sheet=A0&amp;row=51&amp;col=6&amp;number=&amp;sourceID=18","")</f>
        <v/>
      </c>
      <c r="G51" s="4" t="str">
        <f>HYPERLINK("http://141.218.60.56/~jnz1568/getInfo.php?workbook=05_01.xlsx&amp;sheet=A0&amp;row=51&amp;col=7&amp;number==&amp;sourceID=11","=")</f>
        <v>=</v>
      </c>
      <c r="H51" s="4" t="str">
        <f>HYPERLINK("http://141.218.60.56/~jnz1568/getInfo.php?workbook=05_01.xlsx&amp;sheet=A0&amp;row=51&amp;col=8&amp;number=&amp;sourceID=11","")</f>
        <v/>
      </c>
      <c r="I51" s="4" t="str">
        <f>HYPERLINK("http://141.218.60.56/~jnz1568/getInfo.php?workbook=05_01.xlsx&amp;sheet=A0&amp;row=51&amp;col=9&amp;number=&amp;sourceID=11","")</f>
        <v/>
      </c>
      <c r="J51" s="4" t="str">
        <f>HYPERLINK("http://141.218.60.56/~jnz1568/getInfo.php?workbook=05_01.xlsx&amp;sheet=A0&amp;row=51&amp;col=10&amp;number=&amp;sourceID=11","")</f>
        <v/>
      </c>
      <c r="K51" s="4" t="str">
        <f>HYPERLINK("http://141.218.60.56/~jnz1568/getInfo.php?workbook=05_01.xlsx&amp;sheet=A0&amp;row=51&amp;col=11&amp;number=0.00020022&amp;sourceID=11","0.00020022")</f>
        <v>0.00020022</v>
      </c>
      <c r="L51" s="4" t="str">
        <f>HYPERLINK("http://141.218.60.56/~jnz1568/getInfo.php?workbook=05_01.xlsx&amp;sheet=A0&amp;row=51&amp;col=12&amp;number=&amp;sourceID=11","")</f>
        <v/>
      </c>
      <c r="M51" s="4" t="str">
        <f>HYPERLINK("http://141.218.60.56/~jnz1568/getInfo.php?workbook=05_01.xlsx&amp;sheet=A0&amp;row=51&amp;col=13&amp;number=&amp;sourceID=11","")</f>
        <v/>
      </c>
      <c r="N51" s="4" t="str">
        <f>HYPERLINK("http://141.218.60.56/~jnz1568/getInfo.php?workbook=05_01.xlsx&amp;sheet=A0&amp;row=51&amp;col=14&amp;number=0.00020023&amp;sourceID=12","0.00020023")</f>
        <v>0.00020023</v>
      </c>
      <c r="O51" s="4" t="str">
        <f>HYPERLINK("http://141.218.60.56/~jnz1568/getInfo.php?workbook=05_01.xlsx&amp;sheet=A0&amp;row=51&amp;col=15&amp;number=&amp;sourceID=12","")</f>
        <v/>
      </c>
      <c r="P51" s="4" t="str">
        <f>HYPERLINK("http://141.218.60.56/~jnz1568/getInfo.php?workbook=05_01.xlsx&amp;sheet=A0&amp;row=51&amp;col=16&amp;number=&amp;sourceID=12","")</f>
        <v/>
      </c>
      <c r="Q51" s="4" t="str">
        <f>HYPERLINK("http://141.218.60.56/~jnz1568/getInfo.php?workbook=05_01.xlsx&amp;sheet=A0&amp;row=51&amp;col=17&amp;number=&amp;sourceID=12","")</f>
        <v/>
      </c>
      <c r="R51" s="4" t="str">
        <f>HYPERLINK("http://141.218.60.56/~jnz1568/getInfo.php?workbook=05_01.xlsx&amp;sheet=A0&amp;row=51&amp;col=18&amp;number=0.00020023&amp;sourceID=12","0.00020023")</f>
        <v>0.00020023</v>
      </c>
      <c r="S51" s="4" t="str">
        <f>HYPERLINK("http://141.218.60.56/~jnz1568/getInfo.php?workbook=05_01.xlsx&amp;sheet=A0&amp;row=51&amp;col=19&amp;number=&amp;sourceID=12","")</f>
        <v/>
      </c>
      <c r="T51" s="4" t="str">
        <f>HYPERLINK("http://141.218.60.56/~jnz1568/getInfo.php?workbook=05_01.xlsx&amp;sheet=A0&amp;row=51&amp;col=20&amp;number=&amp;sourceID=12","")</f>
        <v/>
      </c>
    </row>
    <row r="52" spans="1:20">
      <c r="A52" s="3">
        <v>5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HYPERLINK("http://141.218.60.56/~jnz1568/getInfo.php?workbook=05_01.xlsx&amp;sheet=A0&amp;row=52&amp;col=6&amp;number=&amp;sourceID=18","")</f>
        <v/>
      </c>
      <c r="G52" s="4" t="str">
        <f>HYPERLINK("http://141.218.60.56/~jnz1568/getInfo.php?workbook=05_01.xlsx&amp;sheet=A0&amp;row=52&amp;col=7&amp;number==&amp;sourceID=11","=")</f>
        <v>=</v>
      </c>
      <c r="H52" s="4" t="str">
        <f>HYPERLINK("http://141.218.60.56/~jnz1568/getInfo.php?workbook=05_01.xlsx&amp;sheet=A0&amp;row=52&amp;col=8&amp;number=&amp;sourceID=11","")</f>
        <v/>
      </c>
      <c r="I52" s="4" t="str">
        <f>HYPERLINK("http://141.218.60.56/~jnz1568/getInfo.php?workbook=05_01.xlsx&amp;sheet=A0&amp;row=52&amp;col=9&amp;number=6436.5&amp;sourceID=11","6436.5")</f>
        <v>6436.5</v>
      </c>
      <c r="J52" s="4" t="str">
        <f>HYPERLINK("http://141.218.60.56/~jnz1568/getInfo.php?workbook=05_01.xlsx&amp;sheet=A0&amp;row=52&amp;col=10&amp;number=&amp;sourceID=11","")</f>
        <v/>
      </c>
      <c r="K52" s="4" t="str">
        <f>HYPERLINK("http://141.218.60.56/~jnz1568/getInfo.php?workbook=05_01.xlsx&amp;sheet=A0&amp;row=52&amp;col=11&amp;number=6.6407e-08&amp;sourceID=11","6.6407e-08")</f>
        <v>6.6407e-08</v>
      </c>
      <c r="L52" s="4" t="str">
        <f>HYPERLINK("http://141.218.60.56/~jnz1568/getInfo.php?workbook=05_01.xlsx&amp;sheet=A0&amp;row=52&amp;col=12&amp;number=&amp;sourceID=11","")</f>
        <v/>
      </c>
      <c r="M52" s="4" t="str">
        <f>HYPERLINK("http://141.218.60.56/~jnz1568/getInfo.php?workbook=05_01.xlsx&amp;sheet=A0&amp;row=52&amp;col=13&amp;number=&amp;sourceID=11","")</f>
        <v/>
      </c>
      <c r="N52" s="4" t="str">
        <f>HYPERLINK("http://141.218.60.56/~jnz1568/getInfo.php?workbook=05_01.xlsx&amp;sheet=A0&amp;row=52&amp;col=14&amp;number=6436.8&amp;sourceID=12","6436.8")</f>
        <v>6436.8</v>
      </c>
      <c r="O52" s="4" t="str">
        <f>HYPERLINK("http://141.218.60.56/~jnz1568/getInfo.php?workbook=05_01.xlsx&amp;sheet=A0&amp;row=52&amp;col=15&amp;number=&amp;sourceID=12","")</f>
        <v/>
      </c>
      <c r="P52" s="4" t="str">
        <f>HYPERLINK("http://141.218.60.56/~jnz1568/getInfo.php?workbook=05_01.xlsx&amp;sheet=A0&amp;row=52&amp;col=16&amp;number=6436.8&amp;sourceID=12","6436.8")</f>
        <v>6436.8</v>
      </c>
      <c r="Q52" s="4" t="str">
        <f>HYPERLINK("http://141.218.60.56/~jnz1568/getInfo.php?workbook=05_01.xlsx&amp;sheet=A0&amp;row=52&amp;col=17&amp;number=&amp;sourceID=12","")</f>
        <v/>
      </c>
      <c r="R52" s="4" t="str">
        <f>HYPERLINK("http://141.218.60.56/~jnz1568/getInfo.php?workbook=05_01.xlsx&amp;sheet=A0&amp;row=52&amp;col=18&amp;number=6.6413e-08&amp;sourceID=12","6.6413e-08")</f>
        <v>6.6413e-08</v>
      </c>
      <c r="S52" s="4" t="str">
        <f>HYPERLINK("http://141.218.60.56/~jnz1568/getInfo.php?workbook=05_01.xlsx&amp;sheet=A0&amp;row=52&amp;col=19&amp;number=&amp;sourceID=12","")</f>
        <v/>
      </c>
      <c r="T52" s="4" t="str">
        <f>HYPERLINK("http://141.218.60.56/~jnz1568/getInfo.php?workbook=05_01.xlsx&amp;sheet=A0&amp;row=52&amp;col=20&amp;number=&amp;sourceID=12","")</f>
        <v/>
      </c>
    </row>
    <row r="53" spans="1:20">
      <c r="A53" s="3">
        <v>5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HYPERLINK("http://141.218.60.56/~jnz1568/getInfo.php?workbook=05_01.xlsx&amp;sheet=A0&amp;row=53&amp;col=6&amp;number=&amp;sourceID=18","")</f>
        <v/>
      </c>
      <c r="G53" s="4" t="str">
        <f>HYPERLINK("http://141.218.60.56/~jnz1568/getInfo.php?workbook=05_01.xlsx&amp;sheet=A0&amp;row=53&amp;col=7&amp;number==&amp;sourceID=11","=")</f>
        <v>=</v>
      </c>
      <c r="H53" s="4" t="str">
        <f>HYPERLINK("http://141.218.60.56/~jnz1568/getInfo.php?workbook=05_01.xlsx&amp;sheet=A0&amp;row=53&amp;col=8&amp;number=767580000&amp;sourceID=11","767580000")</f>
        <v>767580000</v>
      </c>
      <c r="I53" s="4" t="str">
        <f>HYPERLINK("http://141.218.60.56/~jnz1568/getInfo.php?workbook=05_01.xlsx&amp;sheet=A0&amp;row=53&amp;col=9&amp;number=&amp;sourceID=11","")</f>
        <v/>
      </c>
      <c r="J53" s="4" t="str">
        <f>HYPERLINK("http://141.218.60.56/~jnz1568/getInfo.php?workbook=05_01.xlsx&amp;sheet=A0&amp;row=53&amp;col=10&amp;number=&amp;sourceID=11","")</f>
        <v/>
      </c>
      <c r="K53" s="4" t="str">
        <f>HYPERLINK("http://141.218.60.56/~jnz1568/getInfo.php?workbook=05_01.xlsx&amp;sheet=A0&amp;row=53&amp;col=11&amp;number=&amp;sourceID=11","")</f>
        <v/>
      </c>
      <c r="L53" s="4" t="str">
        <f>HYPERLINK("http://141.218.60.56/~jnz1568/getInfo.php?workbook=05_01.xlsx&amp;sheet=A0&amp;row=53&amp;col=12&amp;number=0.15068&amp;sourceID=11","0.15068")</f>
        <v>0.15068</v>
      </c>
      <c r="M53" s="4" t="str">
        <f>HYPERLINK("http://141.218.60.56/~jnz1568/getInfo.php?workbook=05_01.xlsx&amp;sheet=A0&amp;row=53&amp;col=13&amp;number=&amp;sourceID=11","")</f>
        <v/>
      </c>
      <c r="N53" s="4" t="str">
        <f>HYPERLINK("http://141.218.60.56/~jnz1568/getInfo.php?workbook=05_01.xlsx&amp;sheet=A0&amp;row=53&amp;col=14&amp;number=767620000&amp;sourceID=12","767620000")</f>
        <v>767620000</v>
      </c>
      <c r="O53" s="4" t="str">
        <f>HYPERLINK("http://141.218.60.56/~jnz1568/getInfo.php?workbook=05_01.xlsx&amp;sheet=A0&amp;row=53&amp;col=15&amp;number=767620000&amp;sourceID=12","767620000")</f>
        <v>767620000</v>
      </c>
      <c r="P53" s="4" t="str">
        <f>HYPERLINK("http://141.218.60.56/~jnz1568/getInfo.php?workbook=05_01.xlsx&amp;sheet=A0&amp;row=53&amp;col=16&amp;number=&amp;sourceID=12","")</f>
        <v/>
      </c>
      <c r="Q53" s="4" t="str">
        <f>HYPERLINK("http://141.218.60.56/~jnz1568/getInfo.php?workbook=05_01.xlsx&amp;sheet=A0&amp;row=53&amp;col=17&amp;number=&amp;sourceID=12","")</f>
        <v/>
      </c>
      <c r="R53" s="4" t="str">
        <f>HYPERLINK("http://141.218.60.56/~jnz1568/getInfo.php?workbook=05_01.xlsx&amp;sheet=A0&amp;row=53&amp;col=18&amp;number=&amp;sourceID=12","")</f>
        <v/>
      </c>
      <c r="S53" s="4" t="str">
        <f>HYPERLINK("http://141.218.60.56/~jnz1568/getInfo.php?workbook=05_01.xlsx&amp;sheet=A0&amp;row=53&amp;col=19&amp;number=0.15068&amp;sourceID=12","0.15068")</f>
        <v>0.15068</v>
      </c>
      <c r="T53" s="4" t="str">
        <f>HYPERLINK("http://141.218.60.56/~jnz1568/getInfo.php?workbook=05_01.xlsx&amp;sheet=A0&amp;row=53&amp;col=20&amp;number=&amp;sourceID=12","")</f>
        <v/>
      </c>
    </row>
    <row r="54" spans="1:20">
      <c r="A54" s="3">
        <v>5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HYPERLINK("http://141.218.60.56/~jnz1568/getInfo.php?workbook=05_01.xlsx&amp;sheet=A0&amp;row=54&amp;col=6&amp;number=&amp;sourceID=18","")</f>
        <v/>
      </c>
      <c r="G54" s="4" t="str">
        <f>HYPERLINK("http://141.218.60.56/~jnz1568/getInfo.php?workbook=05_01.xlsx&amp;sheet=A0&amp;row=54&amp;col=7&amp;number==&amp;sourceID=11","=")</f>
        <v>=</v>
      </c>
      <c r="H54" s="4" t="str">
        <f>HYPERLINK("http://141.218.60.56/~jnz1568/getInfo.php?workbook=05_01.xlsx&amp;sheet=A0&amp;row=54&amp;col=8&amp;number=&amp;sourceID=11","")</f>
        <v/>
      </c>
      <c r="I54" s="4" t="str">
        <f>HYPERLINK("http://141.218.60.56/~jnz1568/getInfo.php?workbook=05_01.xlsx&amp;sheet=A0&amp;row=54&amp;col=9&amp;number=9656.2&amp;sourceID=11","9656.2")</f>
        <v>9656.2</v>
      </c>
      <c r="J54" s="4" t="str">
        <f>HYPERLINK("http://141.218.60.56/~jnz1568/getInfo.php?workbook=05_01.xlsx&amp;sheet=A0&amp;row=54&amp;col=10&amp;number=&amp;sourceID=11","")</f>
        <v/>
      </c>
      <c r="K54" s="4" t="str">
        <f>HYPERLINK("http://141.218.60.56/~jnz1568/getInfo.php?workbook=05_01.xlsx&amp;sheet=A0&amp;row=54&amp;col=11&amp;number=&amp;sourceID=11","")</f>
        <v/>
      </c>
      <c r="L54" s="4" t="str">
        <f>HYPERLINK("http://141.218.60.56/~jnz1568/getInfo.php?workbook=05_01.xlsx&amp;sheet=A0&amp;row=54&amp;col=12&amp;number=&amp;sourceID=11","")</f>
        <v/>
      </c>
      <c r="M54" s="4" t="str">
        <f>HYPERLINK("http://141.218.60.56/~jnz1568/getInfo.php?workbook=05_01.xlsx&amp;sheet=A0&amp;row=54&amp;col=13&amp;number=2.2456e-06&amp;sourceID=11","2.2456e-06")</f>
        <v>2.2456e-06</v>
      </c>
      <c r="N54" s="4" t="str">
        <f>HYPERLINK("http://141.218.60.56/~jnz1568/getInfo.php?workbook=05_01.xlsx&amp;sheet=A0&amp;row=54&amp;col=14&amp;number=9656.7&amp;sourceID=12","9656.7")</f>
        <v>9656.7</v>
      </c>
      <c r="O54" s="4" t="str">
        <f>HYPERLINK("http://141.218.60.56/~jnz1568/getInfo.php?workbook=05_01.xlsx&amp;sheet=A0&amp;row=54&amp;col=15&amp;number=&amp;sourceID=12","")</f>
        <v/>
      </c>
      <c r="P54" s="4" t="str">
        <f>HYPERLINK("http://141.218.60.56/~jnz1568/getInfo.php?workbook=05_01.xlsx&amp;sheet=A0&amp;row=54&amp;col=16&amp;number=9656.7&amp;sourceID=12","9656.7")</f>
        <v>9656.7</v>
      </c>
      <c r="Q54" s="4" t="str">
        <f>HYPERLINK("http://141.218.60.56/~jnz1568/getInfo.php?workbook=05_01.xlsx&amp;sheet=A0&amp;row=54&amp;col=17&amp;number=&amp;sourceID=12","")</f>
        <v/>
      </c>
      <c r="R54" s="4" t="str">
        <f>HYPERLINK("http://141.218.60.56/~jnz1568/getInfo.php?workbook=05_01.xlsx&amp;sheet=A0&amp;row=54&amp;col=18&amp;number=&amp;sourceID=12","")</f>
        <v/>
      </c>
      <c r="S54" s="4" t="str">
        <f>HYPERLINK("http://141.218.60.56/~jnz1568/getInfo.php?workbook=05_01.xlsx&amp;sheet=A0&amp;row=54&amp;col=19&amp;number=&amp;sourceID=12","")</f>
        <v/>
      </c>
      <c r="T54" s="4" t="str">
        <f>HYPERLINK("http://141.218.60.56/~jnz1568/getInfo.php?workbook=05_01.xlsx&amp;sheet=A0&amp;row=54&amp;col=20&amp;number=2.2457e-06&amp;sourceID=12","2.2457e-06")</f>
        <v>2.2457e-06</v>
      </c>
    </row>
    <row r="55" spans="1:20">
      <c r="A55" s="3">
        <v>5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HYPERLINK("http://141.218.60.56/~jnz1568/getInfo.php?workbook=05_01.xlsx&amp;sheet=A0&amp;row=55&amp;col=6&amp;number=&amp;sourceID=18","")</f>
        <v/>
      </c>
      <c r="G55" s="4" t="str">
        <f>HYPERLINK("http://141.218.60.56/~jnz1568/getInfo.php?workbook=05_01.xlsx&amp;sheet=A0&amp;row=55&amp;col=7&amp;number==&amp;sourceID=11","=")</f>
        <v>=</v>
      </c>
      <c r="H55" s="4" t="str">
        <f>HYPERLINK("http://141.218.60.56/~jnz1568/getInfo.php?workbook=05_01.xlsx&amp;sheet=A0&amp;row=55&amp;col=8&amp;number=&amp;sourceID=11","")</f>
        <v/>
      </c>
      <c r="I55" s="4" t="str">
        <f>HYPERLINK("http://141.218.60.56/~jnz1568/getInfo.php?workbook=05_01.xlsx&amp;sheet=A0&amp;row=55&amp;col=9&amp;number=5106600&amp;sourceID=11","5106600")</f>
        <v>5106600</v>
      </c>
      <c r="J55" s="4" t="str">
        <f>HYPERLINK("http://141.218.60.56/~jnz1568/getInfo.php?workbook=05_01.xlsx&amp;sheet=A0&amp;row=55&amp;col=10&amp;number=&amp;sourceID=11","")</f>
        <v/>
      </c>
      <c r="K55" s="4" t="str">
        <f>HYPERLINK("http://141.218.60.56/~jnz1568/getInfo.php?workbook=05_01.xlsx&amp;sheet=A0&amp;row=55&amp;col=11&amp;number=0.042232&amp;sourceID=11","0.042232")</f>
        <v>0.042232</v>
      </c>
      <c r="L55" s="4" t="str">
        <f>HYPERLINK("http://141.218.60.56/~jnz1568/getInfo.php?workbook=05_01.xlsx&amp;sheet=A0&amp;row=55&amp;col=12&amp;number=&amp;sourceID=11","")</f>
        <v/>
      </c>
      <c r="M55" s="4" t="str">
        <f>HYPERLINK("http://141.218.60.56/~jnz1568/getInfo.php?workbook=05_01.xlsx&amp;sheet=A0&amp;row=55&amp;col=13&amp;number=&amp;sourceID=11","")</f>
        <v/>
      </c>
      <c r="N55" s="4" t="str">
        <f>HYPERLINK("http://141.218.60.56/~jnz1568/getInfo.php?workbook=05_01.xlsx&amp;sheet=A0&amp;row=55&amp;col=14&amp;number=5106900&amp;sourceID=12","5106900")</f>
        <v>5106900</v>
      </c>
      <c r="O55" s="4" t="str">
        <f>HYPERLINK("http://141.218.60.56/~jnz1568/getInfo.php?workbook=05_01.xlsx&amp;sheet=A0&amp;row=55&amp;col=15&amp;number=&amp;sourceID=12","")</f>
        <v/>
      </c>
      <c r="P55" s="4" t="str">
        <f>HYPERLINK("http://141.218.60.56/~jnz1568/getInfo.php?workbook=05_01.xlsx&amp;sheet=A0&amp;row=55&amp;col=16&amp;number=5106900&amp;sourceID=12","5106900")</f>
        <v>5106900</v>
      </c>
      <c r="Q55" s="4" t="str">
        <f>HYPERLINK("http://141.218.60.56/~jnz1568/getInfo.php?workbook=05_01.xlsx&amp;sheet=A0&amp;row=55&amp;col=17&amp;number=&amp;sourceID=12","")</f>
        <v/>
      </c>
      <c r="R55" s="4" t="str">
        <f>HYPERLINK("http://141.218.60.56/~jnz1568/getInfo.php?workbook=05_01.xlsx&amp;sheet=A0&amp;row=55&amp;col=18&amp;number=0.042387&amp;sourceID=12","0.042387")</f>
        <v>0.042387</v>
      </c>
      <c r="S55" s="4" t="str">
        <f>HYPERLINK("http://141.218.60.56/~jnz1568/getInfo.php?workbook=05_01.xlsx&amp;sheet=A0&amp;row=55&amp;col=19&amp;number=&amp;sourceID=12","")</f>
        <v/>
      </c>
      <c r="T55" s="4" t="str">
        <f>HYPERLINK("http://141.218.60.56/~jnz1568/getInfo.php?workbook=05_01.xlsx&amp;sheet=A0&amp;row=55&amp;col=20&amp;number=&amp;sourceID=12","")</f>
        <v/>
      </c>
    </row>
    <row r="56" spans="1:20">
      <c r="A56" s="3">
        <v>5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HYPERLINK("http://141.218.60.56/~jnz1568/getInfo.php?workbook=05_01.xlsx&amp;sheet=A0&amp;row=56&amp;col=6&amp;number=&amp;sourceID=18","")</f>
        <v/>
      </c>
      <c r="G56" s="4" t="str">
        <f>HYPERLINK("http://141.218.60.56/~jnz1568/getInfo.php?workbook=05_01.xlsx&amp;sheet=A0&amp;row=56&amp;col=7&amp;number==&amp;sourceID=11","=")</f>
        <v>=</v>
      </c>
      <c r="H56" s="4" t="str">
        <f>HYPERLINK("http://141.218.60.56/~jnz1568/getInfo.php?workbook=05_01.xlsx&amp;sheet=A0&amp;row=56&amp;col=8&amp;number=10757000000&amp;sourceID=11","10757000000")</f>
        <v>10757000000</v>
      </c>
      <c r="I56" s="4" t="str">
        <f>HYPERLINK("http://141.218.60.56/~jnz1568/getInfo.php?workbook=05_01.xlsx&amp;sheet=A0&amp;row=56&amp;col=9&amp;number=&amp;sourceID=11","")</f>
        <v/>
      </c>
      <c r="J56" s="4" t="str">
        <f>HYPERLINK("http://141.218.60.56/~jnz1568/getInfo.php?workbook=05_01.xlsx&amp;sheet=A0&amp;row=56&amp;col=10&amp;number=&amp;sourceID=11","")</f>
        <v/>
      </c>
      <c r="K56" s="4" t="str">
        <f>HYPERLINK("http://141.218.60.56/~jnz1568/getInfo.php?workbook=05_01.xlsx&amp;sheet=A0&amp;row=56&amp;col=11&amp;number=&amp;sourceID=11","")</f>
        <v/>
      </c>
      <c r="L56" s="4" t="str">
        <f>HYPERLINK("http://141.218.60.56/~jnz1568/getInfo.php?workbook=05_01.xlsx&amp;sheet=A0&amp;row=56&amp;col=12&amp;number=1.2575&amp;sourceID=11","1.2575")</f>
        <v>1.2575</v>
      </c>
      <c r="M56" s="4" t="str">
        <f>HYPERLINK("http://141.218.60.56/~jnz1568/getInfo.php?workbook=05_01.xlsx&amp;sheet=A0&amp;row=56&amp;col=13&amp;number=&amp;sourceID=11","")</f>
        <v/>
      </c>
      <c r="N56" s="4" t="str">
        <f>HYPERLINK("http://141.218.60.56/~jnz1568/getInfo.php?workbook=05_01.xlsx&amp;sheet=A0&amp;row=56&amp;col=14&amp;number=10758000000&amp;sourceID=12","10758000000")</f>
        <v>10758000000</v>
      </c>
      <c r="O56" s="4" t="str">
        <f>HYPERLINK("http://141.218.60.56/~jnz1568/getInfo.php?workbook=05_01.xlsx&amp;sheet=A0&amp;row=56&amp;col=15&amp;number=10758000000&amp;sourceID=12","10758000000")</f>
        <v>10758000000</v>
      </c>
      <c r="P56" s="4" t="str">
        <f>HYPERLINK("http://141.218.60.56/~jnz1568/getInfo.php?workbook=05_01.xlsx&amp;sheet=A0&amp;row=56&amp;col=16&amp;number=&amp;sourceID=12","")</f>
        <v/>
      </c>
      <c r="Q56" s="4" t="str">
        <f>HYPERLINK("http://141.218.60.56/~jnz1568/getInfo.php?workbook=05_01.xlsx&amp;sheet=A0&amp;row=56&amp;col=17&amp;number=&amp;sourceID=12","")</f>
        <v/>
      </c>
      <c r="R56" s="4" t="str">
        <f>HYPERLINK("http://141.218.60.56/~jnz1568/getInfo.php?workbook=05_01.xlsx&amp;sheet=A0&amp;row=56&amp;col=18&amp;number=&amp;sourceID=12","")</f>
        <v/>
      </c>
      <c r="S56" s="4" t="str">
        <f>HYPERLINK("http://141.218.60.56/~jnz1568/getInfo.php?workbook=05_01.xlsx&amp;sheet=A0&amp;row=56&amp;col=19&amp;number=1.2576&amp;sourceID=12","1.2576")</f>
        <v>1.2576</v>
      </c>
      <c r="T56" s="4" t="str">
        <f>HYPERLINK("http://141.218.60.56/~jnz1568/getInfo.php?workbook=05_01.xlsx&amp;sheet=A0&amp;row=56&amp;col=20&amp;number=&amp;sourceID=12","")</f>
        <v/>
      </c>
    </row>
    <row r="57" spans="1:20">
      <c r="A57" s="3">
        <v>5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HYPERLINK("http://141.218.60.56/~jnz1568/getInfo.php?workbook=05_01.xlsx&amp;sheet=A0&amp;row=57&amp;col=6&amp;number=&amp;sourceID=18","")</f>
        <v/>
      </c>
      <c r="G57" s="4" t="str">
        <f>HYPERLINK("http://141.218.60.56/~jnz1568/getInfo.php?workbook=05_01.xlsx&amp;sheet=A0&amp;row=57&amp;col=7&amp;number==&amp;sourceID=11","=")</f>
        <v>=</v>
      </c>
      <c r="H57" s="4" t="str">
        <f>HYPERLINK("http://141.218.60.56/~jnz1568/getInfo.php?workbook=05_01.xlsx&amp;sheet=A0&amp;row=57&amp;col=8&amp;number=&amp;sourceID=11","")</f>
        <v/>
      </c>
      <c r="I57" s="4" t="str">
        <f>HYPERLINK("http://141.218.60.56/~jnz1568/getInfo.php?workbook=05_01.xlsx&amp;sheet=A0&amp;row=57&amp;col=9&amp;number=80751&amp;sourceID=11","80751")</f>
        <v>80751</v>
      </c>
      <c r="J57" s="4" t="str">
        <f>HYPERLINK("http://141.218.60.56/~jnz1568/getInfo.php?workbook=05_01.xlsx&amp;sheet=A0&amp;row=57&amp;col=10&amp;number=&amp;sourceID=11","")</f>
        <v/>
      </c>
      <c r="K57" s="4" t="str">
        <f>HYPERLINK("http://141.218.60.56/~jnz1568/getInfo.php?workbook=05_01.xlsx&amp;sheet=A0&amp;row=57&amp;col=11&amp;number=0.00059058&amp;sourceID=11","0.00059058")</f>
        <v>0.00059058</v>
      </c>
      <c r="L57" s="4" t="str">
        <f>HYPERLINK("http://141.218.60.56/~jnz1568/getInfo.php?workbook=05_01.xlsx&amp;sheet=A0&amp;row=57&amp;col=12&amp;number=&amp;sourceID=11","")</f>
        <v/>
      </c>
      <c r="M57" s="4" t="str">
        <f>HYPERLINK("http://141.218.60.56/~jnz1568/getInfo.php?workbook=05_01.xlsx&amp;sheet=A0&amp;row=57&amp;col=13&amp;number=&amp;sourceID=11","")</f>
        <v/>
      </c>
      <c r="N57" s="4" t="str">
        <f>HYPERLINK("http://141.218.60.56/~jnz1568/getInfo.php?workbook=05_01.xlsx&amp;sheet=A0&amp;row=57&amp;col=14&amp;number=80755&amp;sourceID=12","80755")</f>
        <v>80755</v>
      </c>
      <c r="O57" s="4" t="str">
        <f>HYPERLINK("http://141.218.60.56/~jnz1568/getInfo.php?workbook=05_01.xlsx&amp;sheet=A0&amp;row=57&amp;col=15&amp;number=&amp;sourceID=12","")</f>
        <v/>
      </c>
      <c r="P57" s="4" t="str">
        <f>HYPERLINK("http://141.218.60.56/~jnz1568/getInfo.php?workbook=05_01.xlsx&amp;sheet=A0&amp;row=57&amp;col=16&amp;number=80755&amp;sourceID=12","80755")</f>
        <v>80755</v>
      </c>
      <c r="Q57" s="4" t="str">
        <f>HYPERLINK("http://141.218.60.56/~jnz1568/getInfo.php?workbook=05_01.xlsx&amp;sheet=A0&amp;row=57&amp;col=17&amp;number=&amp;sourceID=12","")</f>
        <v/>
      </c>
      <c r="R57" s="4" t="str">
        <f>HYPERLINK("http://141.218.60.56/~jnz1568/getInfo.php?workbook=05_01.xlsx&amp;sheet=A0&amp;row=57&amp;col=18&amp;number=0.00059063&amp;sourceID=12","0.00059063")</f>
        <v>0.00059063</v>
      </c>
      <c r="S57" s="4" t="str">
        <f>HYPERLINK("http://141.218.60.56/~jnz1568/getInfo.php?workbook=05_01.xlsx&amp;sheet=A0&amp;row=57&amp;col=19&amp;number=&amp;sourceID=12","")</f>
        <v/>
      </c>
      <c r="T57" s="4" t="str">
        <f>HYPERLINK("http://141.218.60.56/~jnz1568/getInfo.php?workbook=05_01.xlsx&amp;sheet=A0&amp;row=57&amp;col=20&amp;number=&amp;sourceID=12","")</f>
        <v/>
      </c>
    </row>
    <row r="58" spans="1:20">
      <c r="A58" s="3">
        <v>5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HYPERLINK("http://141.218.60.56/~jnz1568/getInfo.php?workbook=05_01.xlsx&amp;sheet=A0&amp;row=58&amp;col=6&amp;number=&amp;sourceID=18","")</f>
        <v/>
      </c>
      <c r="G58" s="4" t="str">
        <f>HYPERLINK("http://141.218.60.56/~jnz1568/getInfo.php?workbook=05_01.xlsx&amp;sheet=A0&amp;row=58&amp;col=7&amp;number==&amp;sourceID=11","=")</f>
        <v>=</v>
      </c>
      <c r="H58" s="4" t="str">
        <f>HYPERLINK("http://141.218.60.56/~jnz1568/getInfo.php?workbook=05_01.xlsx&amp;sheet=A0&amp;row=58&amp;col=8&amp;number=2149000000&amp;sourceID=11","2149000000")</f>
        <v>2149000000</v>
      </c>
      <c r="I58" s="4" t="str">
        <f>HYPERLINK("http://141.218.60.56/~jnz1568/getInfo.php?workbook=05_01.xlsx&amp;sheet=A0&amp;row=58&amp;col=9&amp;number=&amp;sourceID=11","")</f>
        <v/>
      </c>
      <c r="J58" s="4" t="str">
        <f>HYPERLINK("http://141.218.60.56/~jnz1568/getInfo.php?workbook=05_01.xlsx&amp;sheet=A0&amp;row=58&amp;col=10&amp;number=7.481e-07&amp;sourceID=11","7.481e-07")</f>
        <v>7.481e-07</v>
      </c>
      <c r="K58" s="4" t="str">
        <f>HYPERLINK("http://141.218.60.56/~jnz1568/getInfo.php?workbook=05_01.xlsx&amp;sheet=A0&amp;row=58&amp;col=11&amp;number=&amp;sourceID=11","")</f>
        <v/>
      </c>
      <c r="L58" s="4" t="str">
        <f>HYPERLINK("http://141.218.60.56/~jnz1568/getInfo.php?workbook=05_01.xlsx&amp;sheet=A0&amp;row=58&amp;col=12&amp;number=&amp;sourceID=11","")</f>
        <v/>
      </c>
      <c r="M58" s="4" t="str">
        <f>HYPERLINK("http://141.218.60.56/~jnz1568/getInfo.php?workbook=05_01.xlsx&amp;sheet=A0&amp;row=58&amp;col=13&amp;number=&amp;sourceID=11","")</f>
        <v/>
      </c>
      <c r="N58" s="4" t="str">
        <f>HYPERLINK("http://141.218.60.56/~jnz1568/getInfo.php?workbook=05_01.xlsx&amp;sheet=A0&amp;row=58&amp;col=14&amp;number=2149100000&amp;sourceID=12","2149100000")</f>
        <v>2149100000</v>
      </c>
      <c r="O58" s="4" t="str">
        <f>HYPERLINK("http://141.218.60.56/~jnz1568/getInfo.php?workbook=05_01.xlsx&amp;sheet=A0&amp;row=58&amp;col=15&amp;number=2149100000&amp;sourceID=12","2149100000")</f>
        <v>2149100000</v>
      </c>
      <c r="P58" s="4" t="str">
        <f>HYPERLINK("http://141.218.60.56/~jnz1568/getInfo.php?workbook=05_01.xlsx&amp;sheet=A0&amp;row=58&amp;col=16&amp;number=&amp;sourceID=12","")</f>
        <v/>
      </c>
      <c r="Q58" s="4" t="str">
        <f>HYPERLINK("http://141.218.60.56/~jnz1568/getInfo.php?workbook=05_01.xlsx&amp;sheet=A0&amp;row=58&amp;col=17&amp;number=7.4724e-07&amp;sourceID=12","7.4724e-07")</f>
        <v>7.4724e-07</v>
      </c>
      <c r="R58" s="4" t="str">
        <f>HYPERLINK("http://141.218.60.56/~jnz1568/getInfo.php?workbook=05_01.xlsx&amp;sheet=A0&amp;row=58&amp;col=18&amp;number=&amp;sourceID=12","")</f>
        <v/>
      </c>
      <c r="S58" s="4" t="str">
        <f>HYPERLINK("http://141.218.60.56/~jnz1568/getInfo.php?workbook=05_01.xlsx&amp;sheet=A0&amp;row=58&amp;col=19&amp;number=&amp;sourceID=12","")</f>
        <v/>
      </c>
      <c r="T58" s="4" t="str">
        <f>HYPERLINK("http://141.218.60.56/~jnz1568/getInfo.php?workbook=05_01.xlsx&amp;sheet=A0&amp;row=58&amp;col=20&amp;number=&amp;sourceID=12","")</f>
        <v/>
      </c>
    </row>
    <row r="59" spans="1:20">
      <c r="A59" s="3">
        <v>5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HYPERLINK("http://141.218.60.56/~jnz1568/getInfo.php?workbook=05_01.xlsx&amp;sheet=A0&amp;row=59&amp;col=6&amp;number=&amp;sourceID=18","")</f>
        <v/>
      </c>
      <c r="G59" s="4" t="str">
        <f>HYPERLINK("http://141.218.60.56/~jnz1568/getInfo.php?workbook=05_01.xlsx&amp;sheet=A0&amp;row=59&amp;col=7&amp;number==&amp;sourceID=11","=")</f>
        <v>=</v>
      </c>
      <c r="H59" s="4" t="str">
        <f>HYPERLINK("http://141.218.60.56/~jnz1568/getInfo.php?workbook=05_01.xlsx&amp;sheet=A0&amp;row=59&amp;col=8&amp;number=3667300000&amp;sourceID=11","3667300000")</f>
        <v>3667300000</v>
      </c>
      <c r="I59" s="4" t="str">
        <f>HYPERLINK("http://141.218.60.56/~jnz1568/getInfo.php?workbook=05_01.xlsx&amp;sheet=A0&amp;row=59&amp;col=9&amp;number=&amp;sourceID=11","")</f>
        <v/>
      </c>
      <c r="J59" s="4" t="str">
        <f>HYPERLINK("http://141.218.60.56/~jnz1568/getInfo.php?workbook=05_01.xlsx&amp;sheet=A0&amp;row=59&amp;col=10&amp;number=&amp;sourceID=11","")</f>
        <v/>
      </c>
      <c r="K59" s="4" t="str">
        <f>HYPERLINK("http://141.218.60.56/~jnz1568/getInfo.php?workbook=05_01.xlsx&amp;sheet=A0&amp;row=59&amp;col=11&amp;number=&amp;sourceID=11","")</f>
        <v/>
      </c>
      <c r="L59" s="4" t="str">
        <f>HYPERLINK("http://141.218.60.56/~jnz1568/getInfo.php?workbook=05_01.xlsx&amp;sheet=A0&amp;row=59&amp;col=12&amp;number=0.028831&amp;sourceID=11","0.028831")</f>
        <v>0.028831</v>
      </c>
      <c r="M59" s="4" t="str">
        <f>HYPERLINK("http://141.218.60.56/~jnz1568/getInfo.php?workbook=05_01.xlsx&amp;sheet=A0&amp;row=59&amp;col=13&amp;number=&amp;sourceID=11","")</f>
        <v/>
      </c>
      <c r="N59" s="4" t="str">
        <f>HYPERLINK("http://141.218.60.56/~jnz1568/getInfo.php?workbook=05_01.xlsx&amp;sheet=A0&amp;row=59&amp;col=14&amp;number=3667500000&amp;sourceID=12","3667500000")</f>
        <v>3667500000</v>
      </c>
      <c r="O59" s="4" t="str">
        <f>HYPERLINK("http://141.218.60.56/~jnz1568/getInfo.php?workbook=05_01.xlsx&amp;sheet=A0&amp;row=59&amp;col=15&amp;number=3667500000&amp;sourceID=12","3667500000")</f>
        <v>3667500000</v>
      </c>
      <c r="P59" s="4" t="str">
        <f>HYPERLINK("http://141.218.60.56/~jnz1568/getInfo.php?workbook=05_01.xlsx&amp;sheet=A0&amp;row=59&amp;col=16&amp;number=&amp;sourceID=12","")</f>
        <v/>
      </c>
      <c r="Q59" s="4" t="str">
        <f>HYPERLINK("http://141.218.60.56/~jnz1568/getInfo.php?workbook=05_01.xlsx&amp;sheet=A0&amp;row=59&amp;col=17&amp;number=&amp;sourceID=12","")</f>
        <v/>
      </c>
      <c r="R59" s="4" t="str">
        <f>HYPERLINK("http://141.218.60.56/~jnz1568/getInfo.php?workbook=05_01.xlsx&amp;sheet=A0&amp;row=59&amp;col=18&amp;number=&amp;sourceID=12","")</f>
        <v/>
      </c>
      <c r="S59" s="4" t="str">
        <f>HYPERLINK("http://141.218.60.56/~jnz1568/getInfo.php?workbook=05_01.xlsx&amp;sheet=A0&amp;row=59&amp;col=19&amp;number=0.028833&amp;sourceID=12","0.028833")</f>
        <v>0.028833</v>
      </c>
      <c r="T59" s="4" t="str">
        <f>HYPERLINK("http://141.218.60.56/~jnz1568/getInfo.php?workbook=05_01.xlsx&amp;sheet=A0&amp;row=59&amp;col=20&amp;number=&amp;sourceID=12","")</f>
        <v/>
      </c>
    </row>
    <row r="60" spans="1:20">
      <c r="A60" s="3">
        <v>5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HYPERLINK("http://141.218.60.56/~jnz1568/getInfo.php?workbook=05_01.xlsx&amp;sheet=A0&amp;row=60&amp;col=6&amp;number=&amp;sourceID=18","")</f>
        <v/>
      </c>
      <c r="G60" s="4" t="str">
        <f>HYPERLINK("http://141.218.60.56/~jnz1568/getInfo.php?workbook=05_01.xlsx&amp;sheet=A0&amp;row=60&amp;col=7&amp;number==&amp;sourceID=11","=")</f>
        <v>=</v>
      </c>
      <c r="H60" s="4" t="str">
        <f>HYPERLINK("http://141.218.60.56/~jnz1568/getInfo.php?workbook=05_01.xlsx&amp;sheet=A0&amp;row=60&amp;col=8&amp;number=&amp;sourceID=11","")</f>
        <v/>
      </c>
      <c r="I60" s="4" t="str">
        <f>HYPERLINK("http://141.218.60.56/~jnz1568/getInfo.php?workbook=05_01.xlsx&amp;sheet=A0&amp;row=60&amp;col=9&amp;number=58848&amp;sourceID=11","58848")</f>
        <v>58848</v>
      </c>
      <c r="J60" s="4" t="str">
        <f>HYPERLINK("http://141.218.60.56/~jnz1568/getInfo.php?workbook=05_01.xlsx&amp;sheet=A0&amp;row=60&amp;col=10&amp;number=&amp;sourceID=11","")</f>
        <v/>
      </c>
      <c r="K60" s="4" t="str">
        <f>HYPERLINK("http://141.218.60.56/~jnz1568/getInfo.php?workbook=05_01.xlsx&amp;sheet=A0&amp;row=60&amp;col=11&amp;number=5.2836e-06&amp;sourceID=11","5.2836e-06")</f>
        <v>5.2836e-06</v>
      </c>
      <c r="L60" s="4" t="str">
        <f>HYPERLINK("http://141.218.60.56/~jnz1568/getInfo.php?workbook=05_01.xlsx&amp;sheet=A0&amp;row=60&amp;col=12&amp;number=&amp;sourceID=11","")</f>
        <v/>
      </c>
      <c r="M60" s="4" t="str">
        <f>HYPERLINK("http://141.218.60.56/~jnz1568/getInfo.php?workbook=05_01.xlsx&amp;sheet=A0&amp;row=60&amp;col=13&amp;number=&amp;sourceID=11","")</f>
        <v/>
      </c>
      <c r="N60" s="4" t="str">
        <f>HYPERLINK("http://141.218.60.56/~jnz1568/getInfo.php?workbook=05_01.xlsx&amp;sheet=A0&amp;row=60&amp;col=14&amp;number=58851&amp;sourceID=12","58851")</f>
        <v>58851</v>
      </c>
      <c r="O60" s="4" t="str">
        <f>HYPERLINK("http://141.218.60.56/~jnz1568/getInfo.php?workbook=05_01.xlsx&amp;sheet=A0&amp;row=60&amp;col=15&amp;number=&amp;sourceID=12","")</f>
        <v/>
      </c>
      <c r="P60" s="4" t="str">
        <f>HYPERLINK("http://141.218.60.56/~jnz1568/getInfo.php?workbook=05_01.xlsx&amp;sheet=A0&amp;row=60&amp;col=16&amp;number=58851&amp;sourceID=12","58851")</f>
        <v>58851</v>
      </c>
      <c r="Q60" s="4" t="str">
        <f>HYPERLINK("http://141.218.60.56/~jnz1568/getInfo.php?workbook=05_01.xlsx&amp;sheet=A0&amp;row=60&amp;col=17&amp;number=&amp;sourceID=12","")</f>
        <v/>
      </c>
      <c r="R60" s="4" t="str">
        <f>HYPERLINK("http://141.218.60.56/~jnz1568/getInfo.php?workbook=05_01.xlsx&amp;sheet=A0&amp;row=60&amp;col=18&amp;number=5.2839e-06&amp;sourceID=12","5.2839e-06")</f>
        <v>5.2839e-06</v>
      </c>
      <c r="S60" s="4" t="str">
        <f>HYPERLINK("http://141.218.60.56/~jnz1568/getInfo.php?workbook=05_01.xlsx&amp;sheet=A0&amp;row=60&amp;col=19&amp;number=&amp;sourceID=12","")</f>
        <v/>
      </c>
      <c r="T60" s="4" t="str">
        <f>HYPERLINK("http://141.218.60.56/~jnz1568/getInfo.php?workbook=05_01.xlsx&amp;sheet=A0&amp;row=60&amp;col=20&amp;number=&amp;sourceID=12","")</f>
        <v/>
      </c>
    </row>
    <row r="61" spans="1:20">
      <c r="A61" s="3">
        <v>5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HYPERLINK("http://141.218.60.56/~jnz1568/getInfo.php?workbook=05_01.xlsx&amp;sheet=A0&amp;row=61&amp;col=6&amp;number=&amp;sourceID=18","")</f>
        <v/>
      </c>
      <c r="G61" s="4" t="str">
        <f>HYPERLINK("http://141.218.60.56/~jnz1568/getInfo.php?workbook=05_01.xlsx&amp;sheet=A0&amp;row=61&amp;col=7&amp;number==&amp;sourceID=11","=")</f>
        <v>=</v>
      </c>
      <c r="H61" s="4" t="str">
        <f>HYPERLINK("http://141.218.60.56/~jnz1568/getInfo.php?workbook=05_01.xlsx&amp;sheet=A0&amp;row=61&amp;col=8&amp;number=&amp;sourceID=11","")</f>
        <v/>
      </c>
      <c r="I61" s="4" t="str">
        <f>HYPERLINK("http://141.218.60.56/~jnz1568/getInfo.php?workbook=05_01.xlsx&amp;sheet=A0&amp;row=61&amp;col=9&amp;number=13021&amp;sourceID=11","13021")</f>
        <v>13021</v>
      </c>
      <c r="J61" s="4" t="str">
        <f>HYPERLINK("http://141.218.60.56/~jnz1568/getInfo.php?workbook=05_01.xlsx&amp;sheet=A0&amp;row=61&amp;col=10&amp;number=&amp;sourceID=11","")</f>
        <v/>
      </c>
      <c r="K61" s="4" t="str">
        <f>HYPERLINK("http://141.218.60.56/~jnz1568/getInfo.php?workbook=05_01.xlsx&amp;sheet=A0&amp;row=61&amp;col=11&amp;number=0.00017821&amp;sourceID=11","0.00017821")</f>
        <v>0.00017821</v>
      </c>
      <c r="L61" s="4" t="str">
        <f>HYPERLINK("http://141.218.60.56/~jnz1568/getInfo.php?workbook=05_01.xlsx&amp;sheet=A0&amp;row=61&amp;col=12&amp;number=&amp;sourceID=11","")</f>
        <v/>
      </c>
      <c r="M61" s="4" t="str">
        <f>HYPERLINK("http://141.218.60.56/~jnz1568/getInfo.php?workbook=05_01.xlsx&amp;sheet=A0&amp;row=61&amp;col=13&amp;number=1.1131e-07&amp;sourceID=11","1.1131e-07")</f>
        <v>1.1131e-07</v>
      </c>
      <c r="N61" s="4" t="str">
        <f>HYPERLINK("http://141.218.60.56/~jnz1568/getInfo.php?workbook=05_01.xlsx&amp;sheet=A0&amp;row=61&amp;col=14&amp;number=13021&amp;sourceID=12","13021")</f>
        <v>13021</v>
      </c>
      <c r="O61" s="4" t="str">
        <f>HYPERLINK("http://141.218.60.56/~jnz1568/getInfo.php?workbook=05_01.xlsx&amp;sheet=A0&amp;row=61&amp;col=15&amp;number=&amp;sourceID=12","")</f>
        <v/>
      </c>
      <c r="P61" s="4" t="str">
        <f>HYPERLINK("http://141.218.60.56/~jnz1568/getInfo.php?workbook=05_01.xlsx&amp;sheet=A0&amp;row=61&amp;col=16&amp;number=13021&amp;sourceID=12","13021")</f>
        <v>13021</v>
      </c>
      <c r="Q61" s="4" t="str">
        <f>HYPERLINK("http://141.218.60.56/~jnz1568/getInfo.php?workbook=05_01.xlsx&amp;sheet=A0&amp;row=61&amp;col=17&amp;number=&amp;sourceID=12","")</f>
        <v/>
      </c>
      <c r="R61" s="4" t="str">
        <f>HYPERLINK("http://141.218.60.56/~jnz1568/getInfo.php?workbook=05_01.xlsx&amp;sheet=A0&amp;row=61&amp;col=18&amp;number=0.00017822&amp;sourceID=12","0.00017822")</f>
        <v>0.00017822</v>
      </c>
      <c r="S61" s="4" t="str">
        <f>HYPERLINK("http://141.218.60.56/~jnz1568/getInfo.php?workbook=05_01.xlsx&amp;sheet=A0&amp;row=61&amp;col=19&amp;number=&amp;sourceID=12","")</f>
        <v/>
      </c>
      <c r="T61" s="4" t="str">
        <f>HYPERLINK("http://141.218.60.56/~jnz1568/getInfo.php?workbook=05_01.xlsx&amp;sheet=A0&amp;row=61&amp;col=20&amp;number=1.1131e-07&amp;sourceID=12","1.1131e-07")</f>
        <v>1.1131e-07</v>
      </c>
    </row>
    <row r="62" spans="1:20">
      <c r="A62" s="3">
        <v>5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HYPERLINK("http://141.218.60.56/~jnz1568/getInfo.php?workbook=05_01.xlsx&amp;sheet=A0&amp;row=62&amp;col=6&amp;number=&amp;sourceID=18","")</f>
        <v/>
      </c>
      <c r="G62" s="4" t="str">
        <f>HYPERLINK("http://141.218.60.56/~jnz1568/getInfo.php?workbook=05_01.xlsx&amp;sheet=A0&amp;row=62&amp;col=7&amp;number==&amp;sourceID=11","=")</f>
        <v>=</v>
      </c>
      <c r="H62" s="4" t="str">
        <f>HYPERLINK("http://141.218.60.56/~jnz1568/getInfo.php?workbook=05_01.xlsx&amp;sheet=A0&amp;row=62&amp;col=8&amp;number=733580000&amp;sourceID=11","733580000")</f>
        <v>733580000</v>
      </c>
      <c r="I62" s="4" t="str">
        <f>HYPERLINK("http://141.218.60.56/~jnz1568/getInfo.php?workbook=05_01.xlsx&amp;sheet=A0&amp;row=62&amp;col=9&amp;number=&amp;sourceID=11","")</f>
        <v/>
      </c>
      <c r="J62" s="4" t="str">
        <f>HYPERLINK("http://141.218.60.56/~jnz1568/getInfo.php?workbook=05_01.xlsx&amp;sheet=A0&amp;row=62&amp;col=10&amp;number=0.49134&amp;sourceID=11","0.49134")</f>
        <v>0.49134</v>
      </c>
      <c r="K62" s="4" t="str">
        <f>HYPERLINK("http://141.218.60.56/~jnz1568/getInfo.php?workbook=05_01.xlsx&amp;sheet=A0&amp;row=62&amp;col=11&amp;number=&amp;sourceID=11","")</f>
        <v/>
      </c>
      <c r="L62" s="4" t="str">
        <f>HYPERLINK("http://141.218.60.56/~jnz1568/getInfo.php?workbook=05_01.xlsx&amp;sheet=A0&amp;row=62&amp;col=12&amp;number=&amp;sourceID=11","")</f>
        <v/>
      </c>
      <c r="M62" s="4" t="str">
        <f>HYPERLINK("http://141.218.60.56/~jnz1568/getInfo.php?workbook=05_01.xlsx&amp;sheet=A0&amp;row=62&amp;col=13&amp;number=&amp;sourceID=11","")</f>
        <v/>
      </c>
      <c r="N62" s="4" t="str">
        <f>HYPERLINK("http://141.218.60.56/~jnz1568/getInfo.php?workbook=05_01.xlsx&amp;sheet=A0&amp;row=62&amp;col=14&amp;number=733620000&amp;sourceID=12","733620000")</f>
        <v>733620000</v>
      </c>
      <c r="O62" s="4" t="str">
        <f>HYPERLINK("http://141.218.60.56/~jnz1568/getInfo.php?workbook=05_01.xlsx&amp;sheet=A0&amp;row=62&amp;col=15&amp;number=733620000&amp;sourceID=12","733620000")</f>
        <v>733620000</v>
      </c>
      <c r="P62" s="4" t="str">
        <f>HYPERLINK("http://141.218.60.56/~jnz1568/getInfo.php?workbook=05_01.xlsx&amp;sheet=A0&amp;row=62&amp;col=16&amp;number=&amp;sourceID=12","")</f>
        <v/>
      </c>
      <c r="Q62" s="4" t="str">
        <f>HYPERLINK("http://141.218.60.56/~jnz1568/getInfo.php?workbook=05_01.xlsx&amp;sheet=A0&amp;row=62&amp;col=17&amp;number=0.49137&amp;sourceID=12","0.49137")</f>
        <v>0.49137</v>
      </c>
      <c r="R62" s="4" t="str">
        <f>HYPERLINK("http://141.218.60.56/~jnz1568/getInfo.php?workbook=05_01.xlsx&amp;sheet=A0&amp;row=62&amp;col=18&amp;number=&amp;sourceID=12","")</f>
        <v/>
      </c>
      <c r="S62" s="4" t="str">
        <f>HYPERLINK("http://141.218.60.56/~jnz1568/getInfo.php?workbook=05_01.xlsx&amp;sheet=A0&amp;row=62&amp;col=19&amp;number=&amp;sourceID=12","")</f>
        <v/>
      </c>
      <c r="T62" s="4" t="str">
        <f>HYPERLINK("http://141.218.60.56/~jnz1568/getInfo.php?workbook=05_01.xlsx&amp;sheet=A0&amp;row=62&amp;col=20&amp;number=&amp;sourceID=12","")</f>
        <v/>
      </c>
    </row>
    <row r="63" spans="1:20">
      <c r="A63" s="3">
        <v>5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HYPERLINK("http://141.218.60.56/~jnz1568/getInfo.php?workbook=05_01.xlsx&amp;sheet=A0&amp;row=63&amp;col=6&amp;number=&amp;sourceID=18","")</f>
        <v/>
      </c>
      <c r="G63" s="4" t="str">
        <f>HYPERLINK("http://141.218.60.56/~jnz1568/getInfo.php?workbook=05_01.xlsx&amp;sheet=A0&amp;row=63&amp;col=7&amp;number==&amp;sourceID=11","=")</f>
        <v>=</v>
      </c>
      <c r="H63" s="4" t="str">
        <f>HYPERLINK("http://141.218.60.56/~jnz1568/getInfo.php?workbook=05_01.xlsx&amp;sheet=A0&amp;row=63&amp;col=8&amp;number=&amp;sourceID=11","")</f>
        <v/>
      </c>
      <c r="I63" s="4" t="str">
        <f>HYPERLINK("http://141.218.60.56/~jnz1568/getInfo.php?workbook=05_01.xlsx&amp;sheet=A0&amp;row=63&amp;col=9&amp;number=5579.2&amp;sourceID=11","5579.2")</f>
        <v>5579.2</v>
      </c>
      <c r="J63" s="4" t="str">
        <f>HYPERLINK("http://141.218.60.56/~jnz1568/getInfo.php?workbook=05_01.xlsx&amp;sheet=A0&amp;row=63&amp;col=10&amp;number=&amp;sourceID=11","")</f>
        <v/>
      </c>
      <c r="K63" s="4" t="str">
        <f>HYPERLINK("http://141.218.60.56/~jnz1568/getInfo.php?workbook=05_01.xlsx&amp;sheet=A0&amp;row=63&amp;col=11&amp;number=0.00053179&amp;sourceID=11","0.00053179")</f>
        <v>0.00053179</v>
      </c>
      <c r="L63" s="4" t="str">
        <f>HYPERLINK("http://141.218.60.56/~jnz1568/getInfo.php?workbook=05_01.xlsx&amp;sheet=A0&amp;row=63&amp;col=12&amp;number=&amp;sourceID=11","")</f>
        <v/>
      </c>
      <c r="M63" s="4" t="str">
        <f>HYPERLINK("http://141.218.60.56/~jnz1568/getInfo.php?workbook=05_01.xlsx&amp;sheet=A0&amp;row=63&amp;col=13&amp;number=7.4173e-08&amp;sourceID=11","7.4173e-08")</f>
        <v>7.4173e-08</v>
      </c>
      <c r="N63" s="4" t="str">
        <f>HYPERLINK("http://141.218.60.56/~jnz1568/getInfo.php?workbook=05_01.xlsx&amp;sheet=A0&amp;row=63&amp;col=14&amp;number=5579.5&amp;sourceID=12","5579.5")</f>
        <v>5579.5</v>
      </c>
      <c r="O63" s="4" t="str">
        <f>HYPERLINK("http://141.218.60.56/~jnz1568/getInfo.php?workbook=05_01.xlsx&amp;sheet=A0&amp;row=63&amp;col=15&amp;number=&amp;sourceID=12","")</f>
        <v/>
      </c>
      <c r="P63" s="4" t="str">
        <f>HYPERLINK("http://141.218.60.56/~jnz1568/getInfo.php?workbook=05_01.xlsx&amp;sheet=A0&amp;row=63&amp;col=16&amp;number=5579.5&amp;sourceID=12","5579.5")</f>
        <v>5579.5</v>
      </c>
      <c r="Q63" s="4" t="str">
        <f>HYPERLINK("http://141.218.60.56/~jnz1568/getInfo.php?workbook=05_01.xlsx&amp;sheet=A0&amp;row=63&amp;col=17&amp;number=&amp;sourceID=12","")</f>
        <v/>
      </c>
      <c r="R63" s="4" t="str">
        <f>HYPERLINK("http://141.218.60.56/~jnz1568/getInfo.php?workbook=05_01.xlsx&amp;sheet=A0&amp;row=63&amp;col=18&amp;number=0.00053182&amp;sourceID=12","0.00053182")</f>
        <v>0.00053182</v>
      </c>
      <c r="S63" s="4" t="str">
        <f>HYPERLINK("http://141.218.60.56/~jnz1568/getInfo.php?workbook=05_01.xlsx&amp;sheet=A0&amp;row=63&amp;col=19&amp;number=&amp;sourceID=12","")</f>
        <v/>
      </c>
      <c r="T63" s="4" t="str">
        <f>HYPERLINK("http://141.218.60.56/~jnz1568/getInfo.php?workbook=05_01.xlsx&amp;sheet=A0&amp;row=63&amp;col=20&amp;number=7.4176e-08&amp;sourceID=12","7.4176e-08")</f>
        <v>7.4176e-08</v>
      </c>
    </row>
    <row r="64" spans="1:20">
      <c r="A64" s="3">
        <v>5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HYPERLINK("http://141.218.60.56/~jnz1568/getInfo.php?workbook=05_01.xlsx&amp;sheet=A0&amp;row=64&amp;col=6&amp;number=&amp;sourceID=18","")</f>
        <v/>
      </c>
      <c r="G64" s="4" t="str">
        <f>HYPERLINK("http://141.218.60.56/~jnz1568/getInfo.php?workbook=05_01.xlsx&amp;sheet=A0&amp;row=64&amp;col=7&amp;number==&amp;sourceID=11","=")</f>
        <v>=</v>
      </c>
      <c r="H64" s="4" t="str">
        <f>HYPERLINK("http://141.218.60.56/~jnz1568/getInfo.php?workbook=05_01.xlsx&amp;sheet=A0&amp;row=64&amp;col=8&amp;number=0.27174&amp;sourceID=11","0.27174")</f>
        <v>0.27174</v>
      </c>
      <c r="I64" s="4" t="str">
        <f>HYPERLINK("http://141.218.60.56/~jnz1568/getInfo.php?workbook=05_01.xlsx&amp;sheet=A0&amp;row=64&amp;col=9&amp;number=&amp;sourceID=11","")</f>
        <v/>
      </c>
      <c r="J64" s="4" t="str">
        <f>HYPERLINK("http://141.218.60.56/~jnz1568/getInfo.php?workbook=05_01.xlsx&amp;sheet=A0&amp;row=64&amp;col=10&amp;number=&amp;sourceID=11","")</f>
        <v/>
      </c>
      <c r="K64" s="4" t="str">
        <f>HYPERLINK("http://141.218.60.56/~jnz1568/getInfo.php?workbook=05_01.xlsx&amp;sheet=A0&amp;row=64&amp;col=11&amp;number=&amp;sourceID=11","")</f>
        <v/>
      </c>
      <c r="L64" s="4" t="str">
        <f>HYPERLINK("http://141.218.60.56/~jnz1568/getInfo.php?workbook=05_01.xlsx&amp;sheet=A0&amp;row=64&amp;col=12&amp;number=0&amp;sourceID=11","0")</f>
        <v>0</v>
      </c>
      <c r="M64" s="4" t="str">
        <f>HYPERLINK("http://141.218.60.56/~jnz1568/getInfo.php?workbook=05_01.xlsx&amp;sheet=A0&amp;row=64&amp;col=13&amp;number=&amp;sourceID=11","")</f>
        <v/>
      </c>
      <c r="N64" s="4" t="str">
        <f>HYPERLINK("http://141.218.60.56/~jnz1568/getInfo.php?workbook=05_01.xlsx&amp;sheet=A0&amp;row=64&amp;col=14&amp;number=0.27176&amp;sourceID=12","0.27176")</f>
        <v>0.27176</v>
      </c>
      <c r="O64" s="4" t="str">
        <f>HYPERLINK("http://141.218.60.56/~jnz1568/getInfo.php?workbook=05_01.xlsx&amp;sheet=A0&amp;row=64&amp;col=15&amp;number=0.27176&amp;sourceID=12","0.27176")</f>
        <v>0.27176</v>
      </c>
      <c r="P64" s="4" t="str">
        <f>HYPERLINK("http://141.218.60.56/~jnz1568/getInfo.php?workbook=05_01.xlsx&amp;sheet=A0&amp;row=64&amp;col=16&amp;number=&amp;sourceID=12","")</f>
        <v/>
      </c>
      <c r="Q64" s="4" t="str">
        <f>HYPERLINK("http://141.218.60.56/~jnz1568/getInfo.php?workbook=05_01.xlsx&amp;sheet=A0&amp;row=64&amp;col=17&amp;number=&amp;sourceID=12","")</f>
        <v/>
      </c>
      <c r="R64" s="4" t="str">
        <f>HYPERLINK("http://141.218.60.56/~jnz1568/getInfo.php?workbook=05_01.xlsx&amp;sheet=A0&amp;row=64&amp;col=18&amp;number=&amp;sourceID=12","")</f>
        <v/>
      </c>
      <c r="S64" s="4" t="str">
        <f>HYPERLINK("http://141.218.60.56/~jnz1568/getInfo.php?workbook=05_01.xlsx&amp;sheet=A0&amp;row=64&amp;col=19&amp;number=0&amp;sourceID=12","0")</f>
        <v>0</v>
      </c>
      <c r="T64" s="4" t="str">
        <f>HYPERLINK("http://141.218.60.56/~jnz1568/getInfo.php?workbook=05_01.xlsx&amp;sheet=A0&amp;row=64&amp;col=20&amp;number=&amp;sourceID=12","")</f>
        <v/>
      </c>
    </row>
    <row r="65" spans="1:20">
      <c r="A65" s="3">
        <v>5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HYPERLINK("http://141.218.60.56/~jnz1568/getInfo.php?workbook=05_01.xlsx&amp;sheet=A0&amp;row=65&amp;col=6&amp;number=&amp;sourceID=18","")</f>
        <v/>
      </c>
      <c r="G65" s="4" t="str">
        <f>HYPERLINK("http://141.218.60.56/~jnz1568/getInfo.php?workbook=05_01.xlsx&amp;sheet=A0&amp;row=65&amp;col=7&amp;number==&amp;sourceID=11","=")</f>
        <v>=</v>
      </c>
      <c r="H65" s="4" t="str">
        <f>HYPERLINK("http://141.218.60.56/~jnz1568/getInfo.php?workbook=05_01.xlsx&amp;sheet=A0&amp;row=65&amp;col=8&amp;number=&amp;sourceID=11","")</f>
        <v/>
      </c>
      <c r="I65" s="4" t="str">
        <f>HYPERLINK("http://141.218.60.56/~jnz1568/getInfo.php?workbook=05_01.xlsx&amp;sheet=A0&amp;row=65&amp;col=9&amp;number=1.96e-13&amp;sourceID=11","1.96e-13")</f>
        <v>1.96e-13</v>
      </c>
      <c r="J65" s="4" t="str">
        <f>HYPERLINK("http://141.218.60.56/~jnz1568/getInfo.php?workbook=05_01.xlsx&amp;sheet=A0&amp;row=65&amp;col=10&amp;number=&amp;sourceID=11","")</f>
        <v/>
      </c>
      <c r="K65" s="4" t="str">
        <f>HYPERLINK("http://141.218.60.56/~jnz1568/getInfo.php?workbook=05_01.xlsx&amp;sheet=A0&amp;row=65&amp;col=11&amp;number=0&amp;sourceID=11","0")</f>
        <v>0</v>
      </c>
      <c r="L65" s="4" t="str">
        <f>HYPERLINK("http://141.218.60.56/~jnz1568/getInfo.php?workbook=05_01.xlsx&amp;sheet=A0&amp;row=65&amp;col=12&amp;number=&amp;sourceID=11","")</f>
        <v/>
      </c>
      <c r="M65" s="4" t="str">
        <f>HYPERLINK("http://141.218.60.56/~jnz1568/getInfo.php?workbook=05_01.xlsx&amp;sheet=A0&amp;row=65&amp;col=13&amp;number=&amp;sourceID=11","")</f>
        <v/>
      </c>
      <c r="N65" s="4" t="str">
        <f>HYPERLINK("http://141.218.60.56/~jnz1568/getInfo.php?workbook=05_01.xlsx&amp;sheet=A0&amp;row=65&amp;col=14&amp;number=1.96e-13&amp;sourceID=12","1.96e-13")</f>
        <v>1.96e-13</v>
      </c>
      <c r="O65" s="4" t="str">
        <f>HYPERLINK("http://141.218.60.56/~jnz1568/getInfo.php?workbook=05_01.xlsx&amp;sheet=A0&amp;row=65&amp;col=15&amp;number=&amp;sourceID=12","")</f>
        <v/>
      </c>
      <c r="P65" s="4" t="str">
        <f>HYPERLINK("http://141.218.60.56/~jnz1568/getInfo.php?workbook=05_01.xlsx&amp;sheet=A0&amp;row=65&amp;col=16&amp;number=1.96e-13&amp;sourceID=12","1.96e-13")</f>
        <v>1.96e-13</v>
      </c>
      <c r="Q65" s="4" t="str">
        <f>HYPERLINK("http://141.218.60.56/~jnz1568/getInfo.php?workbook=05_01.xlsx&amp;sheet=A0&amp;row=65&amp;col=17&amp;number=&amp;sourceID=12","")</f>
        <v/>
      </c>
      <c r="R65" s="4" t="str">
        <f>HYPERLINK("http://141.218.60.56/~jnz1568/getInfo.php?workbook=05_01.xlsx&amp;sheet=A0&amp;row=65&amp;col=18&amp;number=0&amp;sourceID=12","0")</f>
        <v>0</v>
      </c>
      <c r="S65" s="4" t="str">
        <f>HYPERLINK("http://141.218.60.56/~jnz1568/getInfo.php?workbook=05_01.xlsx&amp;sheet=A0&amp;row=65&amp;col=19&amp;number=&amp;sourceID=12","")</f>
        <v/>
      </c>
      <c r="T65" s="4" t="str">
        <f>HYPERLINK("http://141.218.60.56/~jnz1568/getInfo.php?workbook=05_01.xlsx&amp;sheet=A0&amp;row=65&amp;col=20&amp;number=&amp;sourceID=12","")</f>
        <v/>
      </c>
    </row>
    <row r="66" spans="1:20">
      <c r="A66" s="3">
        <v>5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HYPERLINK("http://141.218.60.56/~jnz1568/getInfo.php?workbook=05_01.xlsx&amp;sheet=A0&amp;row=66&amp;col=6&amp;number=&amp;sourceID=18","")</f>
        <v/>
      </c>
      <c r="G66" s="4" t="str">
        <f>HYPERLINK("http://141.218.60.56/~jnz1568/getInfo.php?workbook=05_01.xlsx&amp;sheet=A0&amp;row=66&amp;col=7&amp;number==&amp;sourceID=11","=")</f>
        <v>=</v>
      </c>
      <c r="H66" s="4" t="str">
        <f>HYPERLINK("http://141.218.60.56/~jnz1568/getInfo.php?workbook=05_01.xlsx&amp;sheet=A0&amp;row=66&amp;col=8&amp;number=42633000000&amp;sourceID=11","42633000000")</f>
        <v>42633000000</v>
      </c>
      <c r="I66" s="4" t="str">
        <f>HYPERLINK("http://141.218.60.56/~jnz1568/getInfo.php?workbook=05_01.xlsx&amp;sheet=A0&amp;row=66&amp;col=9&amp;number=&amp;sourceID=11","")</f>
        <v/>
      </c>
      <c r="J66" s="4" t="str">
        <f>HYPERLINK("http://141.218.60.56/~jnz1568/getInfo.php?workbook=05_01.xlsx&amp;sheet=A0&amp;row=66&amp;col=10&amp;number=&amp;sourceID=11","")</f>
        <v/>
      </c>
      <c r="K66" s="4" t="str">
        <f>HYPERLINK("http://141.218.60.56/~jnz1568/getInfo.php?workbook=05_01.xlsx&amp;sheet=A0&amp;row=66&amp;col=11&amp;number=&amp;sourceID=11","")</f>
        <v/>
      </c>
      <c r="L66" s="4" t="str">
        <f>HYPERLINK("http://141.218.60.56/~jnz1568/getInfo.php?workbook=05_01.xlsx&amp;sheet=A0&amp;row=66&amp;col=12&amp;number=3113.9&amp;sourceID=11","3113.9")</f>
        <v>3113.9</v>
      </c>
      <c r="M66" s="4" t="str">
        <f>HYPERLINK("http://141.218.60.56/~jnz1568/getInfo.php?workbook=05_01.xlsx&amp;sheet=A0&amp;row=66&amp;col=13&amp;number=&amp;sourceID=11","")</f>
        <v/>
      </c>
      <c r="N66" s="4" t="str">
        <f>HYPERLINK("http://141.218.60.56/~jnz1568/getInfo.php?workbook=05_01.xlsx&amp;sheet=A0&amp;row=66&amp;col=14&amp;number=42635000000&amp;sourceID=12","42635000000")</f>
        <v>42635000000</v>
      </c>
      <c r="O66" s="4" t="str">
        <f>HYPERLINK("http://141.218.60.56/~jnz1568/getInfo.php?workbook=05_01.xlsx&amp;sheet=A0&amp;row=66&amp;col=15&amp;number=42635000000&amp;sourceID=12","42635000000")</f>
        <v>42635000000</v>
      </c>
      <c r="P66" s="4" t="str">
        <f>HYPERLINK("http://141.218.60.56/~jnz1568/getInfo.php?workbook=05_01.xlsx&amp;sheet=A0&amp;row=66&amp;col=16&amp;number=&amp;sourceID=12","")</f>
        <v/>
      </c>
      <c r="Q66" s="4" t="str">
        <f>HYPERLINK("http://141.218.60.56/~jnz1568/getInfo.php?workbook=05_01.xlsx&amp;sheet=A0&amp;row=66&amp;col=17&amp;number=&amp;sourceID=12","")</f>
        <v/>
      </c>
      <c r="R66" s="4" t="str">
        <f>HYPERLINK("http://141.218.60.56/~jnz1568/getInfo.php?workbook=05_01.xlsx&amp;sheet=A0&amp;row=66&amp;col=18&amp;number=&amp;sourceID=12","")</f>
        <v/>
      </c>
      <c r="S66" s="4" t="str">
        <f>HYPERLINK("http://141.218.60.56/~jnz1568/getInfo.php?workbook=05_01.xlsx&amp;sheet=A0&amp;row=66&amp;col=19&amp;number=3114&amp;sourceID=12","3114")</f>
        <v>3114</v>
      </c>
      <c r="T66" s="4" t="str">
        <f>HYPERLINK("http://141.218.60.56/~jnz1568/getInfo.php?workbook=05_01.xlsx&amp;sheet=A0&amp;row=66&amp;col=20&amp;number=&amp;sourceID=12","")</f>
        <v/>
      </c>
    </row>
    <row r="67" spans="1:20">
      <c r="A67" s="3">
        <v>5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HYPERLINK("http://141.218.60.56/~jnz1568/getInfo.php?workbook=05_01.xlsx&amp;sheet=A0&amp;row=67&amp;col=6&amp;number=&amp;sourceID=18","")</f>
        <v/>
      </c>
      <c r="G67" s="4" t="str">
        <f>HYPERLINK("http://141.218.60.56/~jnz1568/getInfo.php?workbook=05_01.xlsx&amp;sheet=A0&amp;row=67&amp;col=7&amp;number==&amp;sourceID=11","=")</f>
        <v>=</v>
      </c>
      <c r="H67" s="4" t="str">
        <f>HYPERLINK("http://141.218.60.56/~jnz1568/getInfo.php?workbook=05_01.xlsx&amp;sheet=A0&amp;row=67&amp;col=8&amp;number=&amp;sourceID=11","")</f>
        <v/>
      </c>
      <c r="I67" s="4" t="str">
        <f>HYPERLINK("http://141.218.60.56/~jnz1568/getInfo.php?workbook=05_01.xlsx&amp;sheet=A0&amp;row=67&amp;col=9&amp;number=80552&amp;sourceID=11","80552")</f>
        <v>80552</v>
      </c>
      <c r="J67" s="4" t="str">
        <f>HYPERLINK("http://141.218.60.56/~jnz1568/getInfo.php?workbook=05_01.xlsx&amp;sheet=A0&amp;row=67&amp;col=10&amp;number=&amp;sourceID=11","")</f>
        <v/>
      </c>
      <c r="K67" s="4" t="str">
        <f>HYPERLINK("http://141.218.60.56/~jnz1568/getInfo.php?workbook=05_01.xlsx&amp;sheet=A0&amp;row=67&amp;col=11&amp;number=0.017023&amp;sourceID=11","0.017023")</f>
        <v>0.017023</v>
      </c>
      <c r="L67" s="4" t="str">
        <f>HYPERLINK("http://141.218.60.56/~jnz1568/getInfo.php?workbook=05_01.xlsx&amp;sheet=A0&amp;row=67&amp;col=12&amp;number=&amp;sourceID=11","")</f>
        <v/>
      </c>
      <c r="M67" s="4" t="str">
        <f>HYPERLINK("http://141.218.60.56/~jnz1568/getInfo.php?workbook=05_01.xlsx&amp;sheet=A0&amp;row=67&amp;col=13&amp;number=&amp;sourceID=11","")</f>
        <v/>
      </c>
      <c r="N67" s="4" t="str">
        <f>HYPERLINK("http://141.218.60.56/~jnz1568/getInfo.php?workbook=05_01.xlsx&amp;sheet=A0&amp;row=67&amp;col=14&amp;number=80556&amp;sourceID=12","80556")</f>
        <v>80556</v>
      </c>
      <c r="O67" s="4" t="str">
        <f>HYPERLINK("http://141.218.60.56/~jnz1568/getInfo.php?workbook=05_01.xlsx&amp;sheet=A0&amp;row=67&amp;col=15&amp;number=&amp;sourceID=12","")</f>
        <v/>
      </c>
      <c r="P67" s="4" t="str">
        <f>HYPERLINK("http://141.218.60.56/~jnz1568/getInfo.php?workbook=05_01.xlsx&amp;sheet=A0&amp;row=67&amp;col=16&amp;number=80556&amp;sourceID=12","80556")</f>
        <v>80556</v>
      </c>
      <c r="Q67" s="4" t="str">
        <f>HYPERLINK("http://141.218.60.56/~jnz1568/getInfo.php?workbook=05_01.xlsx&amp;sheet=A0&amp;row=67&amp;col=17&amp;number=&amp;sourceID=12","")</f>
        <v/>
      </c>
      <c r="R67" s="4" t="str">
        <f>HYPERLINK("http://141.218.60.56/~jnz1568/getInfo.php?workbook=05_01.xlsx&amp;sheet=A0&amp;row=67&amp;col=18&amp;number=0.017023&amp;sourceID=12","0.017023")</f>
        <v>0.017023</v>
      </c>
      <c r="S67" s="4" t="str">
        <f>HYPERLINK("http://141.218.60.56/~jnz1568/getInfo.php?workbook=05_01.xlsx&amp;sheet=A0&amp;row=67&amp;col=19&amp;number=&amp;sourceID=12","")</f>
        <v/>
      </c>
      <c r="T67" s="4" t="str">
        <f>HYPERLINK("http://141.218.60.56/~jnz1568/getInfo.php?workbook=05_01.xlsx&amp;sheet=A0&amp;row=67&amp;col=20&amp;number=&amp;sourceID=12","")</f>
        <v/>
      </c>
    </row>
    <row r="68" spans="1:20">
      <c r="A68" s="3">
        <v>5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HYPERLINK("http://141.218.60.56/~jnz1568/getInfo.php?workbook=05_01.xlsx&amp;sheet=A0&amp;row=68&amp;col=6&amp;number=&amp;sourceID=18","")</f>
        <v/>
      </c>
      <c r="G68" s="4" t="str">
        <f>HYPERLINK("http://141.218.60.56/~jnz1568/getInfo.php?workbook=05_01.xlsx&amp;sheet=A0&amp;row=68&amp;col=7&amp;number==&amp;sourceID=11","=")</f>
        <v>=</v>
      </c>
      <c r="H68" s="4" t="str">
        <f>HYPERLINK("http://141.218.60.56/~jnz1568/getInfo.php?workbook=05_01.xlsx&amp;sheet=A0&amp;row=68&amp;col=8&amp;number=6045300000&amp;sourceID=11","6045300000")</f>
        <v>6045300000</v>
      </c>
      <c r="I68" s="4" t="str">
        <f>HYPERLINK("http://141.218.60.56/~jnz1568/getInfo.php?workbook=05_01.xlsx&amp;sheet=A0&amp;row=68&amp;col=9&amp;number=&amp;sourceID=11","")</f>
        <v/>
      </c>
      <c r="J68" s="4" t="str">
        <f>HYPERLINK("http://141.218.60.56/~jnz1568/getInfo.php?workbook=05_01.xlsx&amp;sheet=A0&amp;row=68&amp;col=10&amp;number=&amp;sourceID=11","")</f>
        <v/>
      </c>
      <c r="K68" s="4" t="str">
        <f>HYPERLINK("http://141.218.60.56/~jnz1568/getInfo.php?workbook=05_01.xlsx&amp;sheet=A0&amp;row=68&amp;col=11&amp;number=&amp;sourceID=11","")</f>
        <v/>
      </c>
      <c r="L68" s="4" t="str">
        <f>HYPERLINK("http://141.218.60.56/~jnz1568/getInfo.php?workbook=05_01.xlsx&amp;sheet=A0&amp;row=68&amp;col=12&amp;number=17.674&amp;sourceID=11","17.674")</f>
        <v>17.674</v>
      </c>
      <c r="M68" s="4" t="str">
        <f>HYPERLINK("http://141.218.60.56/~jnz1568/getInfo.php?workbook=05_01.xlsx&amp;sheet=A0&amp;row=68&amp;col=13&amp;number=&amp;sourceID=11","")</f>
        <v/>
      </c>
      <c r="N68" s="4" t="str">
        <f>HYPERLINK("http://141.218.60.56/~jnz1568/getInfo.php?workbook=05_01.xlsx&amp;sheet=A0&amp;row=68&amp;col=14&amp;number=6045600000&amp;sourceID=12","6045600000")</f>
        <v>6045600000</v>
      </c>
      <c r="O68" s="4" t="str">
        <f>HYPERLINK("http://141.218.60.56/~jnz1568/getInfo.php?workbook=05_01.xlsx&amp;sheet=A0&amp;row=68&amp;col=15&amp;number=6045600000&amp;sourceID=12","6045600000")</f>
        <v>6045600000</v>
      </c>
      <c r="P68" s="4" t="str">
        <f>HYPERLINK("http://141.218.60.56/~jnz1568/getInfo.php?workbook=05_01.xlsx&amp;sheet=A0&amp;row=68&amp;col=16&amp;number=&amp;sourceID=12","")</f>
        <v/>
      </c>
      <c r="Q68" s="4" t="str">
        <f>HYPERLINK("http://141.218.60.56/~jnz1568/getInfo.php?workbook=05_01.xlsx&amp;sheet=A0&amp;row=68&amp;col=17&amp;number=&amp;sourceID=12","")</f>
        <v/>
      </c>
      <c r="R68" s="4" t="str">
        <f>HYPERLINK("http://141.218.60.56/~jnz1568/getInfo.php?workbook=05_01.xlsx&amp;sheet=A0&amp;row=68&amp;col=18&amp;number=&amp;sourceID=12","")</f>
        <v/>
      </c>
      <c r="S68" s="4" t="str">
        <f>HYPERLINK("http://141.218.60.56/~jnz1568/getInfo.php?workbook=05_01.xlsx&amp;sheet=A0&amp;row=68&amp;col=19&amp;number=17.675&amp;sourceID=12","17.675")</f>
        <v>17.675</v>
      </c>
      <c r="T68" s="4" t="str">
        <f>HYPERLINK("http://141.218.60.56/~jnz1568/getInfo.php?workbook=05_01.xlsx&amp;sheet=A0&amp;row=68&amp;col=20&amp;number=&amp;sourceID=12","")</f>
        <v/>
      </c>
    </row>
    <row r="69" spans="1:20">
      <c r="A69" s="3">
        <v>5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HYPERLINK("http://141.218.60.56/~jnz1568/getInfo.php?workbook=05_01.xlsx&amp;sheet=A0&amp;row=69&amp;col=6&amp;number=&amp;sourceID=18","")</f>
        <v/>
      </c>
      <c r="G69" s="4" t="str">
        <f>HYPERLINK("http://141.218.60.56/~jnz1568/getInfo.php?workbook=05_01.xlsx&amp;sheet=A0&amp;row=69&amp;col=7&amp;number==&amp;sourceID=11","=")</f>
        <v>=</v>
      </c>
      <c r="H69" s="4" t="str">
        <f>HYPERLINK("http://141.218.60.56/~jnz1568/getInfo.php?workbook=05_01.xlsx&amp;sheet=A0&amp;row=69&amp;col=8&amp;number=&amp;sourceID=11","")</f>
        <v/>
      </c>
      <c r="I69" s="4" t="str">
        <f>HYPERLINK("http://141.218.60.56/~jnz1568/getInfo.php?workbook=05_01.xlsx&amp;sheet=A0&amp;row=69&amp;col=9&amp;number=80463&amp;sourceID=11","80463")</f>
        <v>80463</v>
      </c>
      <c r="J69" s="4" t="str">
        <f>HYPERLINK("http://141.218.60.56/~jnz1568/getInfo.php?workbook=05_01.xlsx&amp;sheet=A0&amp;row=69&amp;col=10&amp;number=&amp;sourceID=11","")</f>
        <v/>
      </c>
      <c r="K69" s="4" t="str">
        <f>HYPERLINK("http://141.218.60.56/~jnz1568/getInfo.php?workbook=05_01.xlsx&amp;sheet=A0&amp;row=69&amp;col=11&amp;number=0.027086&amp;sourceID=11","0.027086")</f>
        <v>0.027086</v>
      </c>
      <c r="L69" s="4" t="str">
        <f>HYPERLINK("http://141.218.60.56/~jnz1568/getInfo.php?workbook=05_01.xlsx&amp;sheet=A0&amp;row=69&amp;col=12&amp;number=&amp;sourceID=11","")</f>
        <v/>
      </c>
      <c r="M69" s="4" t="str">
        <f>HYPERLINK("http://141.218.60.56/~jnz1568/getInfo.php?workbook=05_01.xlsx&amp;sheet=A0&amp;row=69&amp;col=13&amp;number=0.00050141&amp;sourceID=11","0.00050141")</f>
        <v>0.00050141</v>
      </c>
      <c r="N69" s="4" t="str">
        <f>HYPERLINK("http://141.218.60.56/~jnz1568/getInfo.php?workbook=05_01.xlsx&amp;sheet=A0&amp;row=69&amp;col=14&amp;number=80467&amp;sourceID=12","80467")</f>
        <v>80467</v>
      </c>
      <c r="O69" s="4" t="str">
        <f>HYPERLINK("http://141.218.60.56/~jnz1568/getInfo.php?workbook=05_01.xlsx&amp;sheet=A0&amp;row=69&amp;col=15&amp;number=&amp;sourceID=12","")</f>
        <v/>
      </c>
      <c r="P69" s="4" t="str">
        <f>HYPERLINK("http://141.218.60.56/~jnz1568/getInfo.php?workbook=05_01.xlsx&amp;sheet=A0&amp;row=69&amp;col=16&amp;number=80467&amp;sourceID=12","80467")</f>
        <v>80467</v>
      </c>
      <c r="Q69" s="4" t="str">
        <f>HYPERLINK("http://141.218.60.56/~jnz1568/getInfo.php?workbook=05_01.xlsx&amp;sheet=A0&amp;row=69&amp;col=17&amp;number=&amp;sourceID=12","")</f>
        <v/>
      </c>
      <c r="R69" s="4" t="str">
        <f>HYPERLINK("http://141.218.60.56/~jnz1568/getInfo.php?workbook=05_01.xlsx&amp;sheet=A0&amp;row=69&amp;col=18&amp;number=0.027091&amp;sourceID=12","0.027091")</f>
        <v>0.027091</v>
      </c>
      <c r="S69" s="4" t="str">
        <f>HYPERLINK("http://141.218.60.56/~jnz1568/getInfo.php?workbook=05_01.xlsx&amp;sheet=A0&amp;row=69&amp;col=19&amp;number=&amp;sourceID=12","")</f>
        <v/>
      </c>
      <c r="T69" s="4" t="str">
        <f>HYPERLINK("http://141.218.60.56/~jnz1568/getInfo.php?workbook=05_01.xlsx&amp;sheet=A0&amp;row=69&amp;col=20&amp;number=0.00050144&amp;sourceID=12","0.00050144")</f>
        <v>0.00050144</v>
      </c>
    </row>
    <row r="70" spans="1:20">
      <c r="A70" s="3">
        <v>5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HYPERLINK("http://141.218.60.56/~jnz1568/getInfo.php?workbook=05_01.xlsx&amp;sheet=A0&amp;row=70&amp;col=6&amp;number=&amp;sourceID=18","")</f>
        <v/>
      </c>
      <c r="G70" s="4" t="str">
        <f>HYPERLINK("http://141.218.60.56/~jnz1568/getInfo.php?workbook=05_01.xlsx&amp;sheet=A0&amp;row=70&amp;col=7&amp;number==SUM(H70:M70)&amp;sourceID=11","=SUM(H70:M70)")</f>
        <v>=SUM(H70:M70)</v>
      </c>
      <c r="H70" s="4" t="str">
        <f>HYPERLINK("http://141.218.60.56/~jnz1568/getInfo.php?workbook=05_01.xlsx&amp;sheet=A0&amp;row=70&amp;col=8&amp;number=&amp;sourceID=11","")</f>
        <v/>
      </c>
      <c r="I70" s="4" t="str">
        <f>HYPERLINK("http://141.218.60.56/~jnz1568/getInfo.php?workbook=05_01.xlsx&amp;sheet=A0&amp;row=70&amp;col=9&amp;number=19940&amp;sourceID=11","19940")</f>
        <v>19940</v>
      </c>
      <c r="J70" s="4" t="str">
        <f>HYPERLINK("http://141.218.60.56/~jnz1568/getInfo.php?workbook=05_01.xlsx&amp;sheet=A0&amp;row=70&amp;col=10&amp;number=&amp;sourceID=11","")</f>
        <v/>
      </c>
      <c r="K70" s="4" t="str">
        <f>HYPERLINK("http://141.218.60.56/~jnz1568/getInfo.php?workbook=05_01.xlsx&amp;sheet=A0&amp;row=70&amp;col=11&amp;number=0.0018793&amp;sourceID=11","0.0018793")</f>
        <v>0.0018793</v>
      </c>
      <c r="L70" s="4" t="str">
        <f>HYPERLINK("http://141.218.60.56/~jnz1568/getInfo.php?workbook=05_01.xlsx&amp;sheet=A0&amp;row=70&amp;col=12&amp;number=&amp;sourceID=11","")</f>
        <v/>
      </c>
      <c r="M70" s="4" t="str">
        <f>HYPERLINK("http://141.218.60.56/~jnz1568/getInfo.php?workbook=05_01.xlsx&amp;sheet=A0&amp;row=70&amp;col=13&amp;number=&amp;sourceID=11","")</f>
        <v/>
      </c>
      <c r="N70" s="4" t="str">
        <f>HYPERLINK("http://141.218.60.56/~jnz1568/getInfo.php?workbook=05_01.xlsx&amp;sheet=A0&amp;row=70&amp;col=14&amp;number=19941&amp;sourceID=12","19941")</f>
        <v>19941</v>
      </c>
      <c r="O70" s="4" t="str">
        <f>HYPERLINK("http://141.218.60.56/~jnz1568/getInfo.php?workbook=05_01.xlsx&amp;sheet=A0&amp;row=70&amp;col=15&amp;number=&amp;sourceID=12","")</f>
        <v/>
      </c>
      <c r="P70" s="4" t="str">
        <f>HYPERLINK("http://141.218.60.56/~jnz1568/getInfo.php?workbook=05_01.xlsx&amp;sheet=A0&amp;row=70&amp;col=16&amp;number=19941&amp;sourceID=12","19941")</f>
        <v>19941</v>
      </c>
      <c r="Q70" s="4" t="str">
        <f>HYPERLINK("http://141.218.60.56/~jnz1568/getInfo.php?workbook=05_01.xlsx&amp;sheet=A0&amp;row=70&amp;col=17&amp;number=&amp;sourceID=12","")</f>
        <v/>
      </c>
      <c r="R70" s="4" t="str">
        <f>HYPERLINK("http://141.218.60.56/~jnz1568/getInfo.php?workbook=05_01.xlsx&amp;sheet=A0&amp;row=70&amp;col=18&amp;number=0.0018794&amp;sourceID=12","0.0018794")</f>
        <v>0.0018794</v>
      </c>
      <c r="S70" s="4" t="str">
        <f>HYPERLINK("http://141.218.60.56/~jnz1568/getInfo.php?workbook=05_01.xlsx&amp;sheet=A0&amp;row=70&amp;col=19&amp;number=&amp;sourceID=12","")</f>
        <v/>
      </c>
      <c r="T70" s="4" t="str">
        <f>HYPERLINK("http://141.218.60.56/~jnz1568/getInfo.php?workbook=05_01.xlsx&amp;sheet=A0&amp;row=70&amp;col=20&amp;number=&amp;sourceID=12","")</f>
        <v/>
      </c>
    </row>
    <row r="71" spans="1:20">
      <c r="A71" s="3">
        <v>5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HYPERLINK("http://141.218.60.56/~jnz1568/getInfo.php?workbook=05_01.xlsx&amp;sheet=A0&amp;row=71&amp;col=6&amp;number=&amp;sourceID=18","")</f>
        <v/>
      </c>
      <c r="G71" s="4" t="str">
        <f>HYPERLINK("http://141.218.60.56/~jnz1568/getInfo.php?workbook=05_01.xlsx&amp;sheet=A0&amp;row=71&amp;col=7&amp;number==&amp;sourceID=11","=")</f>
        <v>=</v>
      </c>
      <c r="H71" s="4" t="str">
        <f>HYPERLINK("http://141.218.60.56/~jnz1568/getInfo.php?workbook=05_01.xlsx&amp;sheet=A0&amp;row=71&amp;col=8&amp;number=1915400000&amp;sourceID=11","1915400000")</f>
        <v>1915400000</v>
      </c>
      <c r="I71" s="4" t="str">
        <f>HYPERLINK("http://141.218.60.56/~jnz1568/getInfo.php?workbook=05_01.xlsx&amp;sheet=A0&amp;row=71&amp;col=9&amp;number=&amp;sourceID=11","")</f>
        <v/>
      </c>
      <c r="J71" s="4" t="str">
        <f>HYPERLINK("http://141.218.60.56/~jnz1568/getInfo.php?workbook=05_01.xlsx&amp;sheet=A0&amp;row=71&amp;col=10&amp;number=&amp;sourceID=11","")</f>
        <v/>
      </c>
      <c r="K71" s="4" t="str">
        <f>HYPERLINK("http://141.218.60.56/~jnz1568/getInfo.php?workbook=05_01.xlsx&amp;sheet=A0&amp;row=71&amp;col=11&amp;number=&amp;sourceID=11","")</f>
        <v/>
      </c>
      <c r="L71" s="4" t="str">
        <f>HYPERLINK("http://141.218.60.56/~jnz1568/getInfo.php?workbook=05_01.xlsx&amp;sheet=A0&amp;row=71&amp;col=12&amp;number=0.3765&amp;sourceID=11","0.3765")</f>
        <v>0.3765</v>
      </c>
      <c r="M71" s="4" t="str">
        <f>HYPERLINK("http://141.218.60.56/~jnz1568/getInfo.php?workbook=05_01.xlsx&amp;sheet=A0&amp;row=71&amp;col=13&amp;number=&amp;sourceID=11","")</f>
        <v/>
      </c>
      <c r="N71" s="4" t="str">
        <f>HYPERLINK("http://141.218.60.56/~jnz1568/getInfo.php?workbook=05_01.xlsx&amp;sheet=A0&amp;row=71&amp;col=14&amp;number=1915500000&amp;sourceID=12","1915500000")</f>
        <v>1915500000</v>
      </c>
      <c r="O71" s="4" t="str">
        <f>HYPERLINK("http://141.218.60.56/~jnz1568/getInfo.php?workbook=05_01.xlsx&amp;sheet=A0&amp;row=71&amp;col=15&amp;number=1915500000&amp;sourceID=12","1915500000")</f>
        <v>1915500000</v>
      </c>
      <c r="P71" s="4" t="str">
        <f>HYPERLINK("http://141.218.60.56/~jnz1568/getInfo.php?workbook=05_01.xlsx&amp;sheet=A0&amp;row=71&amp;col=16&amp;number=&amp;sourceID=12","")</f>
        <v/>
      </c>
      <c r="Q71" s="4" t="str">
        <f>HYPERLINK("http://141.218.60.56/~jnz1568/getInfo.php?workbook=05_01.xlsx&amp;sheet=A0&amp;row=71&amp;col=17&amp;number=&amp;sourceID=12","")</f>
        <v/>
      </c>
      <c r="R71" s="4" t="str">
        <f>HYPERLINK("http://141.218.60.56/~jnz1568/getInfo.php?workbook=05_01.xlsx&amp;sheet=A0&amp;row=71&amp;col=18&amp;number=&amp;sourceID=12","")</f>
        <v/>
      </c>
      <c r="S71" s="4" t="str">
        <f>HYPERLINK("http://141.218.60.56/~jnz1568/getInfo.php?workbook=05_01.xlsx&amp;sheet=A0&amp;row=71&amp;col=19&amp;number=0.37652&amp;sourceID=12","0.37652")</f>
        <v>0.37652</v>
      </c>
      <c r="T71" s="4" t="str">
        <f>HYPERLINK("http://141.218.60.56/~jnz1568/getInfo.php?workbook=05_01.xlsx&amp;sheet=A0&amp;row=71&amp;col=20&amp;number=&amp;sourceID=12","")</f>
        <v/>
      </c>
    </row>
    <row r="72" spans="1:20">
      <c r="A72" s="3">
        <v>5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HYPERLINK("http://141.218.60.56/~jnz1568/getInfo.php?workbook=05_01.xlsx&amp;sheet=A0&amp;row=72&amp;col=6&amp;number=&amp;sourceID=18","")</f>
        <v/>
      </c>
      <c r="G72" s="4" t="str">
        <f>HYPERLINK("http://141.218.60.56/~jnz1568/getInfo.php?workbook=05_01.xlsx&amp;sheet=A0&amp;row=72&amp;col=7&amp;number==&amp;sourceID=11","=")</f>
        <v>=</v>
      </c>
      <c r="H72" s="4" t="str">
        <f>HYPERLINK("http://141.218.60.56/~jnz1568/getInfo.php?workbook=05_01.xlsx&amp;sheet=A0&amp;row=72&amp;col=8&amp;number=21738000&amp;sourceID=11","21738000")</f>
        <v>21738000</v>
      </c>
      <c r="I72" s="4" t="str">
        <f>HYPERLINK("http://141.218.60.56/~jnz1568/getInfo.php?workbook=05_01.xlsx&amp;sheet=A0&amp;row=72&amp;col=9&amp;number=&amp;sourceID=11","")</f>
        <v/>
      </c>
      <c r="J72" s="4" t="str">
        <f>HYPERLINK("http://141.218.60.56/~jnz1568/getInfo.php?workbook=05_01.xlsx&amp;sheet=A0&amp;row=72&amp;col=10&amp;number=0.11009&amp;sourceID=11","0.11009")</f>
        <v>0.11009</v>
      </c>
      <c r="K72" s="4" t="str">
        <f>HYPERLINK("http://141.218.60.56/~jnz1568/getInfo.php?workbook=05_01.xlsx&amp;sheet=A0&amp;row=72&amp;col=11&amp;number=&amp;sourceID=11","")</f>
        <v/>
      </c>
      <c r="L72" s="4" t="str">
        <f>HYPERLINK("http://141.218.60.56/~jnz1568/getInfo.php?workbook=05_01.xlsx&amp;sheet=A0&amp;row=72&amp;col=12&amp;number=&amp;sourceID=11","")</f>
        <v/>
      </c>
      <c r="M72" s="4" t="str">
        <f>HYPERLINK("http://141.218.60.56/~jnz1568/getInfo.php?workbook=05_01.xlsx&amp;sheet=A0&amp;row=72&amp;col=13&amp;number=&amp;sourceID=11","")</f>
        <v/>
      </c>
      <c r="N72" s="4" t="str">
        <f>HYPERLINK("http://141.218.60.56/~jnz1568/getInfo.php?workbook=05_01.xlsx&amp;sheet=A0&amp;row=72&amp;col=14&amp;number=21739000&amp;sourceID=12","21739000")</f>
        <v>21739000</v>
      </c>
      <c r="O72" s="4" t="str">
        <f>HYPERLINK("http://141.218.60.56/~jnz1568/getInfo.php?workbook=05_01.xlsx&amp;sheet=A0&amp;row=72&amp;col=15&amp;number=21739000&amp;sourceID=12","21739000")</f>
        <v>21739000</v>
      </c>
      <c r="P72" s="4" t="str">
        <f>HYPERLINK("http://141.218.60.56/~jnz1568/getInfo.php?workbook=05_01.xlsx&amp;sheet=A0&amp;row=72&amp;col=16&amp;number=&amp;sourceID=12","")</f>
        <v/>
      </c>
      <c r="Q72" s="4" t="str">
        <f>HYPERLINK("http://141.218.60.56/~jnz1568/getInfo.php?workbook=05_01.xlsx&amp;sheet=A0&amp;row=72&amp;col=17&amp;number=0.1101&amp;sourceID=12","0.1101")</f>
        <v>0.1101</v>
      </c>
      <c r="R72" s="4" t="str">
        <f>HYPERLINK("http://141.218.60.56/~jnz1568/getInfo.php?workbook=05_01.xlsx&amp;sheet=A0&amp;row=72&amp;col=18&amp;number=&amp;sourceID=12","")</f>
        <v/>
      </c>
      <c r="S72" s="4" t="str">
        <f>HYPERLINK("http://141.218.60.56/~jnz1568/getInfo.php?workbook=05_01.xlsx&amp;sheet=A0&amp;row=72&amp;col=19&amp;number=&amp;sourceID=12","")</f>
        <v/>
      </c>
      <c r="T72" s="4" t="str">
        <f>HYPERLINK("http://141.218.60.56/~jnz1568/getInfo.php?workbook=05_01.xlsx&amp;sheet=A0&amp;row=72&amp;col=20&amp;number=&amp;sourceID=12","")</f>
        <v/>
      </c>
    </row>
    <row r="73" spans="1:20">
      <c r="A73" s="3">
        <v>5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HYPERLINK("http://141.218.60.56/~jnz1568/getInfo.php?workbook=05_01.xlsx&amp;sheet=A0&amp;row=73&amp;col=6&amp;number=&amp;sourceID=18","")</f>
        <v/>
      </c>
      <c r="G73" s="4" t="str">
        <f>HYPERLINK("http://141.218.60.56/~jnz1568/getInfo.php?workbook=05_01.xlsx&amp;sheet=A0&amp;row=73&amp;col=7&amp;number==&amp;sourceID=11","=")</f>
        <v>=</v>
      </c>
      <c r="H73" s="4" t="str">
        <f>HYPERLINK("http://141.218.60.56/~jnz1568/getInfo.php?workbook=05_01.xlsx&amp;sheet=A0&amp;row=73&amp;col=8&amp;number=&amp;sourceID=11","")</f>
        <v/>
      </c>
      <c r="I73" s="4" t="str">
        <f>HYPERLINK("http://141.218.60.56/~jnz1568/getInfo.php?workbook=05_01.xlsx&amp;sheet=A0&amp;row=73&amp;col=9&amp;number=19932&amp;sourceID=11","19932")</f>
        <v>19932</v>
      </c>
      <c r="J73" s="4" t="str">
        <f>HYPERLINK("http://141.218.60.56/~jnz1568/getInfo.php?workbook=05_01.xlsx&amp;sheet=A0&amp;row=73&amp;col=10&amp;number=&amp;sourceID=11","")</f>
        <v/>
      </c>
      <c r="K73" s="4" t="str">
        <f>HYPERLINK("http://141.218.60.56/~jnz1568/getInfo.php?workbook=05_01.xlsx&amp;sheet=A0&amp;row=73&amp;col=11&amp;number=0.00045092&amp;sourceID=11","0.00045092")</f>
        <v>0.00045092</v>
      </c>
      <c r="L73" s="4" t="str">
        <f>HYPERLINK("http://141.218.60.56/~jnz1568/getInfo.php?workbook=05_01.xlsx&amp;sheet=A0&amp;row=73&amp;col=12&amp;number=&amp;sourceID=11","")</f>
        <v/>
      </c>
      <c r="M73" s="4" t="str">
        <f>HYPERLINK("http://141.218.60.56/~jnz1568/getInfo.php?workbook=05_01.xlsx&amp;sheet=A0&amp;row=73&amp;col=13&amp;number=8.3496e-06&amp;sourceID=11","8.3496e-06")</f>
        <v>8.3496e-06</v>
      </c>
      <c r="N73" s="4" t="str">
        <f>HYPERLINK("http://141.218.60.56/~jnz1568/getInfo.php?workbook=05_01.xlsx&amp;sheet=A0&amp;row=73&amp;col=14&amp;number=19933&amp;sourceID=12","19933")</f>
        <v>19933</v>
      </c>
      <c r="O73" s="4" t="str">
        <f>HYPERLINK("http://141.218.60.56/~jnz1568/getInfo.php?workbook=05_01.xlsx&amp;sheet=A0&amp;row=73&amp;col=15&amp;number=&amp;sourceID=12","")</f>
        <v/>
      </c>
      <c r="P73" s="4" t="str">
        <f>HYPERLINK("http://141.218.60.56/~jnz1568/getInfo.php?workbook=05_01.xlsx&amp;sheet=A0&amp;row=73&amp;col=16&amp;number=19933&amp;sourceID=12","19933")</f>
        <v>19933</v>
      </c>
      <c r="Q73" s="4" t="str">
        <f>HYPERLINK("http://141.218.60.56/~jnz1568/getInfo.php?workbook=05_01.xlsx&amp;sheet=A0&amp;row=73&amp;col=17&amp;number=&amp;sourceID=12","")</f>
        <v/>
      </c>
      <c r="R73" s="4" t="str">
        <f>HYPERLINK("http://141.218.60.56/~jnz1568/getInfo.php?workbook=05_01.xlsx&amp;sheet=A0&amp;row=73&amp;col=18&amp;number=0.00045094&amp;sourceID=12","0.00045094")</f>
        <v>0.00045094</v>
      </c>
      <c r="S73" s="4" t="str">
        <f>HYPERLINK("http://141.218.60.56/~jnz1568/getInfo.php?workbook=05_01.xlsx&amp;sheet=A0&amp;row=73&amp;col=19&amp;number=&amp;sourceID=12","")</f>
        <v/>
      </c>
      <c r="T73" s="4" t="str">
        <f>HYPERLINK("http://141.218.60.56/~jnz1568/getInfo.php?workbook=05_01.xlsx&amp;sheet=A0&amp;row=73&amp;col=20&amp;number=8.35e-06&amp;sourceID=12","8.35e-06")</f>
        <v>8.35e-06</v>
      </c>
    </row>
    <row r="74" spans="1:20">
      <c r="A74" s="3">
        <v>5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HYPERLINK("http://141.218.60.56/~jnz1568/getInfo.php?workbook=05_01.xlsx&amp;sheet=A0&amp;row=74&amp;col=6&amp;number=&amp;sourceID=18","")</f>
        <v/>
      </c>
      <c r="G74" s="4" t="str">
        <f>HYPERLINK("http://141.218.60.56/~jnz1568/getInfo.php?workbook=05_01.xlsx&amp;sheet=A0&amp;row=74&amp;col=7&amp;number==&amp;sourceID=11","=")</f>
        <v>=</v>
      </c>
      <c r="H74" s="4" t="str">
        <f>HYPERLINK("http://141.218.60.56/~jnz1568/getInfo.php?workbook=05_01.xlsx&amp;sheet=A0&amp;row=74&amp;col=8&amp;number=195860000&amp;sourceID=11","195860000")</f>
        <v>195860000</v>
      </c>
      <c r="I74" s="4" t="str">
        <f>HYPERLINK("http://141.218.60.56/~jnz1568/getInfo.php?workbook=05_01.xlsx&amp;sheet=A0&amp;row=74&amp;col=9&amp;number=&amp;sourceID=11","")</f>
        <v/>
      </c>
      <c r="J74" s="4" t="str">
        <f>HYPERLINK("http://141.218.60.56/~jnz1568/getInfo.php?workbook=05_01.xlsx&amp;sheet=A0&amp;row=74&amp;col=10&amp;number=0.073365&amp;sourceID=11","0.073365")</f>
        <v>0.073365</v>
      </c>
      <c r="K74" s="4" t="str">
        <f>HYPERLINK("http://141.218.60.56/~jnz1568/getInfo.php?workbook=05_01.xlsx&amp;sheet=A0&amp;row=74&amp;col=11&amp;number=&amp;sourceID=11","")</f>
        <v/>
      </c>
      <c r="L74" s="4" t="str">
        <f>HYPERLINK("http://141.218.60.56/~jnz1568/getInfo.php?workbook=05_01.xlsx&amp;sheet=A0&amp;row=74&amp;col=12&amp;number=0.049845&amp;sourceID=11","0.049845")</f>
        <v>0.049845</v>
      </c>
      <c r="M74" s="4" t="str">
        <f>HYPERLINK("http://141.218.60.56/~jnz1568/getInfo.php?workbook=05_01.xlsx&amp;sheet=A0&amp;row=74&amp;col=13&amp;number=&amp;sourceID=11","")</f>
        <v/>
      </c>
      <c r="N74" s="4" t="str">
        <f>HYPERLINK("http://141.218.60.56/~jnz1568/getInfo.php?workbook=05_01.xlsx&amp;sheet=A0&amp;row=74&amp;col=14&amp;number=195870000&amp;sourceID=12","195870000")</f>
        <v>195870000</v>
      </c>
      <c r="O74" s="4" t="str">
        <f>HYPERLINK("http://141.218.60.56/~jnz1568/getInfo.php?workbook=05_01.xlsx&amp;sheet=A0&amp;row=74&amp;col=15&amp;number=195870000&amp;sourceID=12","195870000")</f>
        <v>195870000</v>
      </c>
      <c r="P74" s="4" t="str">
        <f>HYPERLINK("http://141.218.60.56/~jnz1568/getInfo.php?workbook=05_01.xlsx&amp;sheet=A0&amp;row=74&amp;col=16&amp;number=&amp;sourceID=12","")</f>
        <v/>
      </c>
      <c r="Q74" s="4" t="str">
        <f>HYPERLINK("http://141.218.60.56/~jnz1568/getInfo.php?workbook=05_01.xlsx&amp;sheet=A0&amp;row=74&amp;col=17&amp;number=0.073368&amp;sourceID=12","0.073368")</f>
        <v>0.073368</v>
      </c>
      <c r="R74" s="4" t="str">
        <f>HYPERLINK("http://141.218.60.56/~jnz1568/getInfo.php?workbook=05_01.xlsx&amp;sheet=A0&amp;row=74&amp;col=18&amp;number=&amp;sourceID=12","")</f>
        <v/>
      </c>
      <c r="S74" s="4" t="str">
        <f>HYPERLINK("http://141.218.60.56/~jnz1568/getInfo.php?workbook=05_01.xlsx&amp;sheet=A0&amp;row=74&amp;col=19&amp;number=0.049848&amp;sourceID=12","0.049848")</f>
        <v>0.049848</v>
      </c>
      <c r="T74" s="4" t="str">
        <f>HYPERLINK("http://141.218.60.56/~jnz1568/getInfo.php?workbook=05_01.xlsx&amp;sheet=A0&amp;row=74&amp;col=20&amp;number=&amp;sourceID=12","")</f>
        <v/>
      </c>
    </row>
    <row r="75" spans="1:20">
      <c r="A75" s="3">
        <v>5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HYPERLINK("http://141.218.60.56/~jnz1568/getInfo.php?workbook=05_01.xlsx&amp;sheet=A0&amp;row=75&amp;col=6&amp;number=&amp;sourceID=18","")</f>
        <v/>
      </c>
      <c r="G75" s="4" t="str">
        <f>HYPERLINK("http://141.218.60.56/~jnz1568/getInfo.php?workbook=05_01.xlsx&amp;sheet=A0&amp;row=75&amp;col=7&amp;number==&amp;sourceID=11","=")</f>
        <v>=</v>
      </c>
      <c r="H75" s="4" t="str">
        <f>HYPERLINK("http://141.218.60.56/~jnz1568/getInfo.php?workbook=05_01.xlsx&amp;sheet=A0&amp;row=75&amp;col=8&amp;number=&amp;sourceID=11","")</f>
        <v/>
      </c>
      <c r="I75" s="4" t="str">
        <f>HYPERLINK("http://141.218.60.56/~jnz1568/getInfo.php?workbook=05_01.xlsx&amp;sheet=A0&amp;row=75&amp;col=9&amp;number=2.45e-13&amp;sourceID=11","2.45e-13")</f>
        <v>2.45e-13</v>
      </c>
      <c r="J75" s="4" t="str">
        <f>HYPERLINK("http://141.218.60.56/~jnz1568/getInfo.php?workbook=05_01.xlsx&amp;sheet=A0&amp;row=75&amp;col=10&amp;number=&amp;sourceID=11","")</f>
        <v/>
      </c>
      <c r="K75" s="4" t="str">
        <f>HYPERLINK("http://141.218.60.56/~jnz1568/getInfo.php?workbook=05_01.xlsx&amp;sheet=A0&amp;row=75&amp;col=11&amp;number=2.0938e-07&amp;sourceID=11","2.0938e-07")</f>
        <v>2.0938e-07</v>
      </c>
      <c r="L75" s="4" t="str">
        <f>HYPERLINK("http://141.218.60.56/~jnz1568/getInfo.php?workbook=05_01.xlsx&amp;sheet=A0&amp;row=75&amp;col=12&amp;number=&amp;sourceID=11","")</f>
        <v/>
      </c>
      <c r="M75" s="4" t="str">
        <f>HYPERLINK("http://141.218.60.56/~jnz1568/getInfo.php?workbook=05_01.xlsx&amp;sheet=A0&amp;row=75&amp;col=13&amp;number=&amp;sourceID=11","")</f>
        <v/>
      </c>
      <c r="N75" s="4" t="str">
        <f>HYPERLINK("http://141.218.60.56/~jnz1568/getInfo.php?workbook=05_01.xlsx&amp;sheet=A0&amp;row=75&amp;col=14&amp;number=2.0939e-07&amp;sourceID=12","2.0939e-07")</f>
        <v>2.0939e-07</v>
      </c>
      <c r="O75" s="4" t="str">
        <f>HYPERLINK("http://141.218.60.56/~jnz1568/getInfo.php?workbook=05_01.xlsx&amp;sheet=A0&amp;row=75&amp;col=15&amp;number=&amp;sourceID=12","")</f>
        <v/>
      </c>
      <c r="P75" s="4" t="str">
        <f>HYPERLINK("http://141.218.60.56/~jnz1568/getInfo.php?workbook=05_01.xlsx&amp;sheet=A0&amp;row=75&amp;col=16&amp;number=2.45e-13&amp;sourceID=12","2.45e-13")</f>
        <v>2.45e-13</v>
      </c>
      <c r="Q75" s="4" t="str">
        <f>HYPERLINK("http://141.218.60.56/~jnz1568/getInfo.php?workbook=05_01.xlsx&amp;sheet=A0&amp;row=75&amp;col=17&amp;number=&amp;sourceID=12","")</f>
        <v/>
      </c>
      <c r="R75" s="4" t="str">
        <f>HYPERLINK("http://141.218.60.56/~jnz1568/getInfo.php?workbook=05_01.xlsx&amp;sheet=A0&amp;row=75&amp;col=18&amp;number=2.0939e-07&amp;sourceID=12","2.0939e-07")</f>
        <v>2.0939e-07</v>
      </c>
      <c r="S75" s="4" t="str">
        <f>HYPERLINK("http://141.218.60.56/~jnz1568/getInfo.php?workbook=05_01.xlsx&amp;sheet=A0&amp;row=75&amp;col=19&amp;number=&amp;sourceID=12","")</f>
        <v/>
      </c>
      <c r="T75" s="4" t="str">
        <f>HYPERLINK("http://141.218.60.56/~jnz1568/getInfo.php?workbook=05_01.xlsx&amp;sheet=A0&amp;row=75&amp;col=20&amp;number=&amp;sourceID=12","")</f>
        <v/>
      </c>
    </row>
    <row r="76" spans="1:20">
      <c r="A76" s="3">
        <v>5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HYPERLINK("http://141.218.60.56/~jnz1568/getInfo.php?workbook=05_01.xlsx&amp;sheet=A0&amp;row=76&amp;col=6&amp;number=&amp;sourceID=18","")</f>
        <v/>
      </c>
      <c r="G76" s="4" t="str">
        <f>HYPERLINK("http://141.218.60.56/~jnz1568/getInfo.php?workbook=05_01.xlsx&amp;sheet=A0&amp;row=76&amp;col=7&amp;number==&amp;sourceID=11","=")</f>
        <v>=</v>
      </c>
      <c r="H76" s="4" t="str">
        <f>HYPERLINK("http://141.218.60.56/~jnz1568/getInfo.php?workbook=05_01.xlsx&amp;sheet=A0&amp;row=76&amp;col=8&amp;number=0.33963&amp;sourceID=11","0.33963")</f>
        <v>0.33963</v>
      </c>
      <c r="I76" s="4" t="str">
        <f>HYPERLINK("http://141.218.60.56/~jnz1568/getInfo.php?workbook=05_01.xlsx&amp;sheet=A0&amp;row=76&amp;col=9&amp;number=&amp;sourceID=11","")</f>
        <v/>
      </c>
      <c r="J76" s="4" t="str">
        <f>HYPERLINK("http://141.218.60.56/~jnz1568/getInfo.php?workbook=05_01.xlsx&amp;sheet=A0&amp;row=76&amp;col=10&amp;number=&amp;sourceID=11","")</f>
        <v/>
      </c>
      <c r="K76" s="4" t="str">
        <f>HYPERLINK("http://141.218.60.56/~jnz1568/getInfo.php?workbook=05_01.xlsx&amp;sheet=A0&amp;row=76&amp;col=11&amp;number=&amp;sourceID=11","")</f>
        <v/>
      </c>
      <c r="L76" s="4" t="str">
        <f>HYPERLINK("http://141.218.60.56/~jnz1568/getInfo.php?workbook=05_01.xlsx&amp;sheet=A0&amp;row=76&amp;col=12&amp;number=0&amp;sourceID=11","0")</f>
        <v>0</v>
      </c>
      <c r="M76" s="4" t="str">
        <f>HYPERLINK("http://141.218.60.56/~jnz1568/getInfo.php?workbook=05_01.xlsx&amp;sheet=A0&amp;row=76&amp;col=13&amp;number=&amp;sourceID=11","")</f>
        <v/>
      </c>
      <c r="N76" s="4" t="str">
        <f>HYPERLINK("http://141.218.60.56/~jnz1568/getInfo.php?workbook=05_01.xlsx&amp;sheet=A0&amp;row=76&amp;col=14&amp;number=0.33966&amp;sourceID=12","0.33966")</f>
        <v>0.33966</v>
      </c>
      <c r="O76" s="4" t="str">
        <f>HYPERLINK("http://141.218.60.56/~jnz1568/getInfo.php?workbook=05_01.xlsx&amp;sheet=A0&amp;row=76&amp;col=15&amp;number=0.33966&amp;sourceID=12","0.33966")</f>
        <v>0.33966</v>
      </c>
      <c r="P76" s="4" t="str">
        <f>HYPERLINK("http://141.218.60.56/~jnz1568/getInfo.php?workbook=05_01.xlsx&amp;sheet=A0&amp;row=76&amp;col=16&amp;number=&amp;sourceID=12","")</f>
        <v/>
      </c>
      <c r="Q76" s="4" t="str">
        <f>HYPERLINK("http://141.218.60.56/~jnz1568/getInfo.php?workbook=05_01.xlsx&amp;sheet=A0&amp;row=76&amp;col=17&amp;number=&amp;sourceID=12","")</f>
        <v/>
      </c>
      <c r="R76" s="4" t="str">
        <f>HYPERLINK("http://141.218.60.56/~jnz1568/getInfo.php?workbook=05_01.xlsx&amp;sheet=A0&amp;row=76&amp;col=18&amp;number=&amp;sourceID=12","")</f>
        <v/>
      </c>
      <c r="S76" s="4" t="str">
        <f>HYPERLINK("http://141.218.60.56/~jnz1568/getInfo.php?workbook=05_01.xlsx&amp;sheet=A0&amp;row=76&amp;col=19&amp;number=0&amp;sourceID=12","0")</f>
        <v>0</v>
      </c>
      <c r="T76" s="4" t="str">
        <f>HYPERLINK("http://141.218.60.56/~jnz1568/getInfo.php?workbook=05_01.xlsx&amp;sheet=A0&amp;row=76&amp;col=20&amp;number=&amp;sourceID=12","")</f>
        <v/>
      </c>
    </row>
    <row r="77" spans="1:20">
      <c r="A77" s="3">
        <v>5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HYPERLINK("http://141.218.60.56/~jnz1568/getInfo.php?workbook=05_01.xlsx&amp;sheet=A0&amp;row=77&amp;col=6&amp;number=&amp;sourceID=18","")</f>
        <v/>
      </c>
      <c r="G77" s="4" t="str">
        <f>HYPERLINK("http://141.218.60.56/~jnz1568/getInfo.php?workbook=05_01.xlsx&amp;sheet=A0&amp;row=77&amp;col=7&amp;number==&amp;sourceID=11","=")</f>
        <v>=</v>
      </c>
      <c r="H77" s="4" t="str">
        <f>HYPERLINK("http://141.218.60.56/~jnz1568/getInfo.php?workbook=05_01.xlsx&amp;sheet=A0&amp;row=77&amp;col=8&amp;number=&amp;sourceID=11","")</f>
        <v/>
      </c>
      <c r="I77" s="4" t="str">
        <f>HYPERLINK("http://141.218.60.56/~jnz1568/getInfo.php?workbook=05_01.xlsx&amp;sheet=A0&amp;row=77&amp;col=9&amp;number=&amp;sourceID=11","")</f>
        <v/>
      </c>
      <c r="J77" s="4" t="str">
        <f>HYPERLINK("http://141.218.60.56/~jnz1568/getInfo.php?workbook=05_01.xlsx&amp;sheet=A0&amp;row=77&amp;col=10&amp;number=121.33&amp;sourceID=11","121.33")</f>
        <v>121.33</v>
      </c>
      <c r="K77" s="4" t="str">
        <f>HYPERLINK("http://141.218.60.56/~jnz1568/getInfo.php?workbook=05_01.xlsx&amp;sheet=A0&amp;row=77&amp;col=11&amp;number=&amp;sourceID=11","")</f>
        <v/>
      </c>
      <c r="L77" s="4" t="str">
        <f>HYPERLINK("http://141.218.60.56/~jnz1568/getInfo.php?workbook=05_01.xlsx&amp;sheet=A0&amp;row=77&amp;col=12&amp;number=3.9726e-07&amp;sourceID=11","3.9726e-07")</f>
        <v>3.9726e-07</v>
      </c>
      <c r="M77" s="4" t="str">
        <f>HYPERLINK("http://141.218.60.56/~jnz1568/getInfo.php?workbook=05_01.xlsx&amp;sheet=A0&amp;row=77&amp;col=13&amp;number=&amp;sourceID=11","")</f>
        <v/>
      </c>
      <c r="N77" s="4" t="str">
        <f>HYPERLINK("http://141.218.60.56/~jnz1568/getInfo.php?workbook=05_01.xlsx&amp;sheet=A0&amp;row=77&amp;col=14&amp;number=121.34&amp;sourceID=12","121.34")</f>
        <v>121.34</v>
      </c>
      <c r="O77" s="4" t="str">
        <f>HYPERLINK("http://141.218.60.56/~jnz1568/getInfo.php?workbook=05_01.xlsx&amp;sheet=A0&amp;row=77&amp;col=15&amp;number=&amp;sourceID=12","")</f>
        <v/>
      </c>
      <c r="P77" s="4" t="str">
        <f>HYPERLINK("http://141.218.60.56/~jnz1568/getInfo.php?workbook=05_01.xlsx&amp;sheet=A0&amp;row=77&amp;col=16&amp;number=&amp;sourceID=12","")</f>
        <v/>
      </c>
      <c r="Q77" s="4" t="str">
        <f>HYPERLINK("http://141.218.60.56/~jnz1568/getInfo.php?workbook=05_01.xlsx&amp;sheet=A0&amp;row=77&amp;col=17&amp;number=121.34&amp;sourceID=12","121.34")</f>
        <v>121.34</v>
      </c>
      <c r="R77" s="4" t="str">
        <f>HYPERLINK("http://141.218.60.56/~jnz1568/getInfo.php?workbook=05_01.xlsx&amp;sheet=A0&amp;row=77&amp;col=18&amp;number=&amp;sourceID=12","")</f>
        <v/>
      </c>
      <c r="S77" s="4" t="str">
        <f>HYPERLINK("http://141.218.60.56/~jnz1568/getInfo.php?workbook=05_01.xlsx&amp;sheet=A0&amp;row=77&amp;col=19&amp;number=3.814e-07&amp;sourceID=12","3.814e-07")</f>
        <v>3.814e-07</v>
      </c>
      <c r="T77" s="4" t="str">
        <f>HYPERLINK("http://141.218.60.56/~jnz1568/getInfo.php?workbook=05_01.xlsx&amp;sheet=A0&amp;row=77&amp;col=20&amp;number=&amp;sourceID=12","")</f>
        <v/>
      </c>
    </row>
    <row r="78" spans="1:20">
      <c r="A78" s="3">
        <v>5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HYPERLINK("http://141.218.60.56/~jnz1568/getInfo.php?workbook=05_01.xlsx&amp;sheet=A0&amp;row=78&amp;col=6&amp;number=&amp;sourceID=18","")</f>
        <v/>
      </c>
      <c r="G78" s="4" t="str">
        <f>HYPERLINK("http://141.218.60.56/~jnz1568/getInfo.php?workbook=05_01.xlsx&amp;sheet=A0&amp;row=78&amp;col=7&amp;number==&amp;sourceID=11","=")</f>
        <v>=</v>
      </c>
      <c r="H78" s="4" t="str">
        <f>HYPERLINK("http://141.218.60.56/~jnz1568/getInfo.php?workbook=05_01.xlsx&amp;sheet=A0&amp;row=78&amp;col=8&amp;number=&amp;sourceID=11","")</f>
        <v/>
      </c>
      <c r="I78" s="4" t="str">
        <f>HYPERLINK("http://141.218.60.56/~jnz1568/getInfo.php?workbook=05_01.xlsx&amp;sheet=A0&amp;row=78&amp;col=9&amp;number=751140&amp;sourceID=11","751140")</f>
        <v>751140</v>
      </c>
      <c r="J78" s="4" t="str">
        <f>HYPERLINK("http://141.218.60.56/~jnz1568/getInfo.php?workbook=05_01.xlsx&amp;sheet=A0&amp;row=78&amp;col=10&amp;number=&amp;sourceID=11","")</f>
        <v/>
      </c>
      <c r="K78" s="4" t="str">
        <f>HYPERLINK("http://141.218.60.56/~jnz1568/getInfo.php?workbook=05_01.xlsx&amp;sheet=A0&amp;row=78&amp;col=11&amp;number=&amp;sourceID=11","")</f>
        <v/>
      </c>
      <c r="L78" s="4" t="str">
        <f>HYPERLINK("http://141.218.60.56/~jnz1568/getInfo.php?workbook=05_01.xlsx&amp;sheet=A0&amp;row=78&amp;col=12&amp;number=&amp;sourceID=11","")</f>
        <v/>
      </c>
      <c r="M78" s="4" t="str">
        <f>HYPERLINK("http://141.218.60.56/~jnz1568/getInfo.php?workbook=05_01.xlsx&amp;sheet=A0&amp;row=78&amp;col=13&amp;number=5.3112e-05&amp;sourceID=11","5.3112e-05")</f>
        <v>5.3112e-05</v>
      </c>
      <c r="N78" s="4" t="str">
        <f>HYPERLINK("http://141.218.60.56/~jnz1568/getInfo.php?workbook=05_01.xlsx&amp;sheet=A0&amp;row=78&amp;col=14&amp;number=751180&amp;sourceID=12","751180")</f>
        <v>751180</v>
      </c>
      <c r="O78" s="4" t="str">
        <f>HYPERLINK("http://141.218.60.56/~jnz1568/getInfo.php?workbook=05_01.xlsx&amp;sheet=A0&amp;row=78&amp;col=15&amp;number=&amp;sourceID=12","")</f>
        <v/>
      </c>
      <c r="P78" s="4" t="str">
        <f>HYPERLINK("http://141.218.60.56/~jnz1568/getInfo.php?workbook=05_01.xlsx&amp;sheet=A0&amp;row=78&amp;col=16&amp;number=751180&amp;sourceID=12","751180")</f>
        <v>751180</v>
      </c>
      <c r="Q78" s="4" t="str">
        <f>HYPERLINK("http://141.218.60.56/~jnz1568/getInfo.php?workbook=05_01.xlsx&amp;sheet=A0&amp;row=78&amp;col=17&amp;number=&amp;sourceID=12","")</f>
        <v/>
      </c>
      <c r="R78" s="4" t="str">
        <f>HYPERLINK("http://141.218.60.56/~jnz1568/getInfo.php?workbook=05_01.xlsx&amp;sheet=A0&amp;row=78&amp;col=18&amp;number=&amp;sourceID=12","")</f>
        <v/>
      </c>
      <c r="S78" s="4" t="str">
        <f>HYPERLINK("http://141.218.60.56/~jnz1568/getInfo.php?workbook=05_01.xlsx&amp;sheet=A0&amp;row=78&amp;col=19&amp;number=&amp;sourceID=12","")</f>
        <v/>
      </c>
      <c r="T78" s="4" t="str">
        <f>HYPERLINK("http://141.218.60.56/~jnz1568/getInfo.php?workbook=05_01.xlsx&amp;sheet=A0&amp;row=78&amp;col=20&amp;number=5.3114e-05&amp;sourceID=12","5.3114e-05")</f>
        <v>5.3114e-05</v>
      </c>
    </row>
    <row r="79" spans="1:20">
      <c r="A79" s="3">
        <v>5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HYPERLINK("http://141.218.60.56/~jnz1568/getInfo.php?workbook=05_01.xlsx&amp;sheet=A0&amp;row=79&amp;col=6&amp;number=&amp;sourceID=18","")</f>
        <v/>
      </c>
      <c r="G79" s="4" t="str">
        <f>HYPERLINK("http://141.218.60.56/~jnz1568/getInfo.php?workbook=05_01.xlsx&amp;sheet=A0&amp;row=79&amp;col=7&amp;number==&amp;sourceID=11","=")</f>
        <v>=</v>
      </c>
      <c r="H79" s="4" t="str">
        <f>HYPERLINK("http://141.218.60.56/~jnz1568/getInfo.php?workbook=05_01.xlsx&amp;sheet=A0&amp;row=79&amp;col=8&amp;number=&amp;sourceID=11","")</f>
        <v/>
      </c>
      <c r="I79" s="4" t="str">
        <f>HYPERLINK("http://141.218.60.56/~jnz1568/getInfo.php?workbook=05_01.xlsx&amp;sheet=A0&amp;row=79&amp;col=9&amp;number=&amp;sourceID=11","")</f>
        <v/>
      </c>
      <c r="J79" s="4" t="str">
        <f>HYPERLINK("http://141.218.60.56/~jnz1568/getInfo.php?workbook=05_01.xlsx&amp;sheet=A0&amp;row=79&amp;col=10&amp;number=47.872&amp;sourceID=11","47.872")</f>
        <v>47.872</v>
      </c>
      <c r="K79" s="4" t="str">
        <f>HYPERLINK("http://141.218.60.56/~jnz1568/getInfo.php?workbook=05_01.xlsx&amp;sheet=A0&amp;row=79&amp;col=11&amp;number=&amp;sourceID=11","")</f>
        <v/>
      </c>
      <c r="L79" s="4" t="str">
        <f>HYPERLINK("http://141.218.60.56/~jnz1568/getInfo.php?workbook=05_01.xlsx&amp;sheet=A0&amp;row=79&amp;col=12&amp;number=2.0312e-08&amp;sourceID=11","2.0312e-08")</f>
        <v>2.0312e-08</v>
      </c>
      <c r="M79" s="4" t="str">
        <f>HYPERLINK("http://141.218.60.56/~jnz1568/getInfo.php?workbook=05_01.xlsx&amp;sheet=A0&amp;row=79&amp;col=13&amp;number=&amp;sourceID=11","")</f>
        <v/>
      </c>
      <c r="N79" s="4" t="str">
        <f>HYPERLINK("http://141.218.60.56/~jnz1568/getInfo.php?workbook=05_01.xlsx&amp;sheet=A0&amp;row=79&amp;col=14&amp;number=47.874&amp;sourceID=12","47.874")</f>
        <v>47.874</v>
      </c>
      <c r="O79" s="4" t="str">
        <f>HYPERLINK("http://141.218.60.56/~jnz1568/getInfo.php?workbook=05_01.xlsx&amp;sheet=A0&amp;row=79&amp;col=15&amp;number=&amp;sourceID=12","")</f>
        <v/>
      </c>
      <c r="P79" s="4" t="str">
        <f>HYPERLINK("http://141.218.60.56/~jnz1568/getInfo.php?workbook=05_01.xlsx&amp;sheet=A0&amp;row=79&amp;col=16&amp;number=&amp;sourceID=12","")</f>
        <v/>
      </c>
      <c r="Q79" s="4" t="str">
        <f>HYPERLINK("http://141.218.60.56/~jnz1568/getInfo.php?workbook=05_01.xlsx&amp;sheet=A0&amp;row=79&amp;col=17&amp;number=47.874&amp;sourceID=12","47.874")</f>
        <v>47.874</v>
      </c>
      <c r="R79" s="4" t="str">
        <f>HYPERLINK("http://141.218.60.56/~jnz1568/getInfo.php?workbook=05_01.xlsx&amp;sheet=A0&amp;row=79&amp;col=18&amp;number=&amp;sourceID=12","")</f>
        <v/>
      </c>
      <c r="S79" s="4" t="str">
        <f>HYPERLINK("http://141.218.60.56/~jnz1568/getInfo.php?workbook=05_01.xlsx&amp;sheet=A0&amp;row=79&amp;col=19&amp;number=2.0307e-08&amp;sourceID=12","2.0307e-08")</f>
        <v>2.0307e-08</v>
      </c>
      <c r="T79" s="4" t="str">
        <f>HYPERLINK("http://141.218.60.56/~jnz1568/getInfo.php?workbook=05_01.xlsx&amp;sheet=A0&amp;row=79&amp;col=20&amp;number=&amp;sourceID=12","")</f>
        <v/>
      </c>
    </row>
    <row r="80" spans="1:20">
      <c r="A80" s="3">
        <v>5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HYPERLINK("http://141.218.60.56/~jnz1568/getInfo.php?workbook=05_01.xlsx&amp;sheet=A0&amp;row=80&amp;col=6&amp;number=&amp;sourceID=18","")</f>
        <v/>
      </c>
      <c r="G80" s="4" t="str">
        <f>HYPERLINK("http://141.218.60.56/~jnz1568/getInfo.php?workbook=05_01.xlsx&amp;sheet=A0&amp;row=80&amp;col=7&amp;number==&amp;sourceID=11","=")</f>
        <v>=</v>
      </c>
      <c r="H80" s="4" t="str">
        <f>HYPERLINK("http://141.218.60.56/~jnz1568/getInfo.php?workbook=05_01.xlsx&amp;sheet=A0&amp;row=80&amp;col=8&amp;number=&amp;sourceID=11","")</f>
        <v/>
      </c>
      <c r="I80" s="4" t="str">
        <f>HYPERLINK("http://141.218.60.56/~jnz1568/getInfo.php?workbook=05_01.xlsx&amp;sheet=A0&amp;row=80&amp;col=9&amp;number=214590&amp;sourceID=11","214590")</f>
        <v>214590</v>
      </c>
      <c r="J80" s="4" t="str">
        <f>HYPERLINK("http://141.218.60.56/~jnz1568/getInfo.php?workbook=05_01.xlsx&amp;sheet=A0&amp;row=80&amp;col=10&amp;number=&amp;sourceID=11","")</f>
        <v/>
      </c>
      <c r="K80" s="4" t="str">
        <f>HYPERLINK("http://141.218.60.56/~jnz1568/getInfo.php?workbook=05_01.xlsx&amp;sheet=A0&amp;row=80&amp;col=11&amp;number=0.00043137&amp;sourceID=11","0.00043137")</f>
        <v>0.00043137</v>
      </c>
      <c r="L80" s="4" t="str">
        <f>HYPERLINK("http://141.218.60.56/~jnz1568/getInfo.php?workbook=05_01.xlsx&amp;sheet=A0&amp;row=80&amp;col=12&amp;number=&amp;sourceID=11","")</f>
        <v/>
      </c>
      <c r="M80" s="4" t="str">
        <f>HYPERLINK("http://141.218.60.56/~jnz1568/getInfo.php?workbook=05_01.xlsx&amp;sheet=A0&amp;row=80&amp;col=13&amp;number=1.0615e-05&amp;sourceID=11","1.0615e-05")</f>
        <v>1.0615e-05</v>
      </c>
      <c r="N80" s="4" t="str">
        <f>HYPERLINK("http://141.218.60.56/~jnz1568/getInfo.php?workbook=05_01.xlsx&amp;sheet=A0&amp;row=80&amp;col=14&amp;number=214600&amp;sourceID=12","214600")</f>
        <v>214600</v>
      </c>
      <c r="O80" s="4" t="str">
        <f>HYPERLINK("http://141.218.60.56/~jnz1568/getInfo.php?workbook=05_01.xlsx&amp;sheet=A0&amp;row=80&amp;col=15&amp;number=&amp;sourceID=12","")</f>
        <v/>
      </c>
      <c r="P80" s="4" t="str">
        <f>HYPERLINK("http://141.218.60.56/~jnz1568/getInfo.php?workbook=05_01.xlsx&amp;sheet=A0&amp;row=80&amp;col=16&amp;number=214600&amp;sourceID=12","214600")</f>
        <v>214600</v>
      </c>
      <c r="Q80" s="4" t="str">
        <f>HYPERLINK("http://141.218.60.56/~jnz1568/getInfo.php?workbook=05_01.xlsx&amp;sheet=A0&amp;row=80&amp;col=17&amp;number=&amp;sourceID=12","")</f>
        <v/>
      </c>
      <c r="R80" s="4" t="str">
        <f>HYPERLINK("http://141.218.60.56/~jnz1568/getInfo.php?workbook=05_01.xlsx&amp;sheet=A0&amp;row=80&amp;col=18&amp;number=0.00043132&amp;sourceID=12","0.00043132")</f>
        <v>0.00043132</v>
      </c>
      <c r="S80" s="4" t="str">
        <f>HYPERLINK("http://141.218.60.56/~jnz1568/getInfo.php?workbook=05_01.xlsx&amp;sheet=A0&amp;row=80&amp;col=19&amp;number=&amp;sourceID=12","")</f>
        <v/>
      </c>
      <c r="T80" s="4" t="str">
        <f>HYPERLINK("http://141.218.60.56/~jnz1568/getInfo.php?workbook=05_01.xlsx&amp;sheet=A0&amp;row=80&amp;col=20&amp;number=1.0615e-05&amp;sourceID=12","1.0615e-05")</f>
        <v>1.0615e-05</v>
      </c>
    </row>
    <row r="81" spans="1:20">
      <c r="A81" s="3">
        <v>5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HYPERLINK("http://141.218.60.56/~jnz1568/getInfo.php?workbook=05_01.xlsx&amp;sheet=A0&amp;row=81&amp;col=6&amp;number=&amp;sourceID=18","")</f>
        <v/>
      </c>
      <c r="G81" s="4" t="str">
        <f>HYPERLINK("http://141.218.60.56/~jnz1568/getInfo.php?workbook=05_01.xlsx&amp;sheet=A0&amp;row=81&amp;col=7&amp;number==&amp;sourceID=11","=")</f>
        <v>=</v>
      </c>
      <c r="H81" s="4" t="str">
        <f>HYPERLINK("http://141.218.60.56/~jnz1568/getInfo.php?workbook=05_01.xlsx&amp;sheet=A0&amp;row=81&amp;col=8&amp;number=&amp;sourceID=11","")</f>
        <v/>
      </c>
      <c r="I81" s="4" t="str">
        <f>HYPERLINK("http://141.218.60.56/~jnz1568/getInfo.php?workbook=05_01.xlsx&amp;sheet=A0&amp;row=81&amp;col=9&amp;number=70473&amp;sourceID=11","70473")</f>
        <v>70473</v>
      </c>
      <c r="J81" s="4" t="str">
        <f>HYPERLINK("http://141.218.60.56/~jnz1568/getInfo.php?workbook=05_01.xlsx&amp;sheet=A0&amp;row=81&amp;col=10&amp;number=&amp;sourceID=11","")</f>
        <v/>
      </c>
      <c r="K81" s="4" t="str">
        <f>HYPERLINK("http://141.218.60.56/~jnz1568/getInfo.php?workbook=05_01.xlsx&amp;sheet=A0&amp;row=81&amp;col=11&amp;number=&amp;sourceID=11","")</f>
        <v/>
      </c>
      <c r="L81" s="4" t="str">
        <f>HYPERLINK("http://141.218.60.56/~jnz1568/getInfo.php?workbook=05_01.xlsx&amp;sheet=A0&amp;row=81&amp;col=12&amp;number=&amp;sourceID=11","")</f>
        <v/>
      </c>
      <c r="M81" s="4" t="str">
        <f>HYPERLINK("http://141.218.60.56/~jnz1568/getInfo.php?workbook=05_01.xlsx&amp;sheet=A0&amp;row=81&amp;col=13&amp;number=3.3506e-07&amp;sourceID=11","3.3506e-07")</f>
        <v>3.3506e-07</v>
      </c>
      <c r="N81" s="4" t="str">
        <f>HYPERLINK("http://141.218.60.56/~jnz1568/getInfo.php?workbook=05_01.xlsx&amp;sheet=A0&amp;row=81&amp;col=14&amp;number=70477&amp;sourceID=12","70477")</f>
        <v>70477</v>
      </c>
      <c r="O81" s="4" t="str">
        <f>HYPERLINK("http://141.218.60.56/~jnz1568/getInfo.php?workbook=05_01.xlsx&amp;sheet=A0&amp;row=81&amp;col=15&amp;number=&amp;sourceID=12","")</f>
        <v/>
      </c>
      <c r="P81" s="4" t="str">
        <f>HYPERLINK("http://141.218.60.56/~jnz1568/getInfo.php?workbook=05_01.xlsx&amp;sheet=A0&amp;row=81&amp;col=16&amp;number=70477&amp;sourceID=12","70477")</f>
        <v>70477</v>
      </c>
      <c r="Q81" s="4" t="str">
        <f>HYPERLINK("http://141.218.60.56/~jnz1568/getInfo.php?workbook=05_01.xlsx&amp;sheet=A0&amp;row=81&amp;col=17&amp;number=&amp;sourceID=12","")</f>
        <v/>
      </c>
      <c r="R81" s="4" t="str">
        <f>HYPERLINK("http://141.218.60.56/~jnz1568/getInfo.php?workbook=05_01.xlsx&amp;sheet=A0&amp;row=81&amp;col=18&amp;number=&amp;sourceID=12","")</f>
        <v/>
      </c>
      <c r="S81" s="4" t="str">
        <f>HYPERLINK("http://141.218.60.56/~jnz1568/getInfo.php?workbook=05_01.xlsx&amp;sheet=A0&amp;row=81&amp;col=19&amp;number=&amp;sourceID=12","")</f>
        <v/>
      </c>
      <c r="T81" s="4" t="str">
        <f>HYPERLINK("http://141.218.60.56/~jnz1568/getInfo.php?workbook=05_01.xlsx&amp;sheet=A0&amp;row=81&amp;col=20&amp;number=3.3508e-07&amp;sourceID=12","3.3508e-07")</f>
        <v>3.3508e-07</v>
      </c>
    </row>
    <row r="82" spans="1:20">
      <c r="A82" s="3">
        <v>5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HYPERLINK("http://141.218.60.56/~jnz1568/getInfo.php?workbook=05_01.xlsx&amp;sheet=A0&amp;row=82&amp;col=6&amp;number=&amp;sourceID=18","")</f>
        <v/>
      </c>
      <c r="G82" s="4" t="str">
        <f>HYPERLINK("http://141.218.60.56/~jnz1568/getInfo.php?workbook=05_01.xlsx&amp;sheet=A0&amp;row=82&amp;col=7&amp;number==&amp;sourceID=11","=")</f>
        <v>=</v>
      </c>
      <c r="H82" s="4" t="str">
        <f>HYPERLINK("http://141.218.60.56/~jnz1568/getInfo.php?workbook=05_01.xlsx&amp;sheet=A0&amp;row=82&amp;col=8&amp;number=&amp;sourceID=11","")</f>
        <v/>
      </c>
      <c r="I82" s="4" t="str">
        <f>HYPERLINK("http://141.218.60.56/~jnz1568/getInfo.php?workbook=05_01.xlsx&amp;sheet=A0&amp;row=82&amp;col=9&amp;number=&amp;sourceID=11","")</f>
        <v/>
      </c>
      <c r="J82" s="4" t="str">
        <f>HYPERLINK("http://141.218.60.56/~jnz1568/getInfo.php?workbook=05_01.xlsx&amp;sheet=A0&amp;row=82&amp;col=10&amp;number=0.43836&amp;sourceID=11","0.43836")</f>
        <v>0.43836</v>
      </c>
      <c r="K82" s="4" t="str">
        <f>HYPERLINK("http://141.218.60.56/~jnz1568/getInfo.php?workbook=05_01.xlsx&amp;sheet=A0&amp;row=82&amp;col=11&amp;number=&amp;sourceID=11","")</f>
        <v/>
      </c>
      <c r="L82" s="4" t="str">
        <f>HYPERLINK("http://141.218.60.56/~jnz1568/getInfo.php?workbook=05_01.xlsx&amp;sheet=A0&amp;row=82&amp;col=12&amp;number=9.4384e-11&amp;sourceID=11","9.4384e-11")</f>
        <v>9.4384e-11</v>
      </c>
      <c r="M82" s="4" t="str">
        <f>HYPERLINK("http://141.218.60.56/~jnz1568/getInfo.php?workbook=05_01.xlsx&amp;sheet=A0&amp;row=82&amp;col=13&amp;number=&amp;sourceID=11","")</f>
        <v/>
      </c>
      <c r="N82" s="4" t="str">
        <f>HYPERLINK("http://141.218.60.56/~jnz1568/getInfo.php?workbook=05_01.xlsx&amp;sheet=A0&amp;row=82&amp;col=14&amp;number=0.43838&amp;sourceID=12","0.43838")</f>
        <v>0.43838</v>
      </c>
      <c r="O82" s="4" t="str">
        <f>HYPERLINK("http://141.218.60.56/~jnz1568/getInfo.php?workbook=05_01.xlsx&amp;sheet=A0&amp;row=82&amp;col=15&amp;number=&amp;sourceID=12","")</f>
        <v/>
      </c>
      <c r="P82" s="4" t="str">
        <f>HYPERLINK("http://141.218.60.56/~jnz1568/getInfo.php?workbook=05_01.xlsx&amp;sheet=A0&amp;row=82&amp;col=16&amp;number=&amp;sourceID=12","")</f>
        <v/>
      </c>
      <c r="Q82" s="4" t="str">
        <f>HYPERLINK("http://141.218.60.56/~jnz1568/getInfo.php?workbook=05_01.xlsx&amp;sheet=A0&amp;row=82&amp;col=17&amp;number=0.43838&amp;sourceID=12","0.43838")</f>
        <v>0.43838</v>
      </c>
      <c r="R82" s="4" t="str">
        <f>HYPERLINK("http://141.218.60.56/~jnz1568/getInfo.php?workbook=05_01.xlsx&amp;sheet=A0&amp;row=82&amp;col=18&amp;number=&amp;sourceID=12","")</f>
        <v/>
      </c>
      <c r="S82" s="4" t="str">
        <f>HYPERLINK("http://141.218.60.56/~jnz1568/getInfo.php?workbook=05_01.xlsx&amp;sheet=A0&amp;row=82&amp;col=19&amp;number=9.4388e-11&amp;sourceID=12","9.4388e-11")</f>
        <v>9.4388e-11</v>
      </c>
      <c r="T82" s="4" t="str">
        <f>HYPERLINK("http://141.218.60.56/~jnz1568/getInfo.php?workbook=05_01.xlsx&amp;sheet=A0&amp;row=82&amp;col=20&amp;number=&amp;sourceID=12","")</f>
        <v/>
      </c>
    </row>
    <row r="83" spans="1:20">
      <c r="A83" s="3">
        <v>5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HYPERLINK("http://141.218.60.56/~jnz1568/getInfo.php?workbook=05_01.xlsx&amp;sheet=A0&amp;row=83&amp;col=6&amp;number=&amp;sourceID=18","")</f>
        <v/>
      </c>
      <c r="G83" s="4" t="str">
        <f>HYPERLINK("http://141.218.60.56/~jnz1568/getInfo.php?workbook=05_01.xlsx&amp;sheet=A0&amp;row=83&amp;col=7&amp;number==&amp;sourceID=11","=")</f>
        <v>=</v>
      </c>
      <c r="H83" s="4" t="str">
        <f>HYPERLINK("http://141.218.60.56/~jnz1568/getInfo.php?workbook=05_01.xlsx&amp;sheet=A0&amp;row=83&amp;col=8&amp;number=8048200000&amp;sourceID=11","8048200000")</f>
        <v>8048200000</v>
      </c>
      <c r="I83" s="4" t="str">
        <f>HYPERLINK("http://141.218.60.56/~jnz1568/getInfo.php?workbook=05_01.xlsx&amp;sheet=A0&amp;row=83&amp;col=9&amp;number=&amp;sourceID=11","")</f>
        <v/>
      </c>
      <c r="J83" s="4" t="str">
        <f>HYPERLINK("http://141.218.60.56/~jnz1568/getInfo.php?workbook=05_01.xlsx&amp;sheet=A0&amp;row=83&amp;col=10&amp;number=0.12639&amp;sourceID=11","0.12639")</f>
        <v>0.12639</v>
      </c>
      <c r="K83" s="4" t="str">
        <f>HYPERLINK("http://141.218.60.56/~jnz1568/getInfo.php?workbook=05_01.xlsx&amp;sheet=A0&amp;row=83&amp;col=11&amp;number=&amp;sourceID=11","")</f>
        <v/>
      </c>
      <c r="L83" s="4" t="str">
        <f>HYPERLINK("http://141.218.60.56/~jnz1568/getInfo.php?workbook=05_01.xlsx&amp;sheet=A0&amp;row=83&amp;col=12&amp;number=0.3763&amp;sourceID=11","0.3763")</f>
        <v>0.3763</v>
      </c>
      <c r="M83" s="4" t="str">
        <f>HYPERLINK("http://141.218.60.56/~jnz1568/getInfo.php?workbook=05_01.xlsx&amp;sheet=A0&amp;row=83&amp;col=13&amp;number=&amp;sourceID=11","")</f>
        <v/>
      </c>
      <c r="N83" s="4" t="str">
        <f>HYPERLINK("http://141.218.60.56/~jnz1568/getInfo.php?workbook=05_01.xlsx&amp;sheet=A0&amp;row=83&amp;col=14&amp;number=8048600000&amp;sourceID=12","8048600000")</f>
        <v>8048600000</v>
      </c>
      <c r="O83" s="4" t="str">
        <f>HYPERLINK("http://141.218.60.56/~jnz1568/getInfo.php?workbook=05_01.xlsx&amp;sheet=A0&amp;row=83&amp;col=15&amp;number=8048600000&amp;sourceID=12","8048600000")</f>
        <v>8048600000</v>
      </c>
      <c r="P83" s="4" t="str">
        <f>HYPERLINK("http://141.218.60.56/~jnz1568/getInfo.php?workbook=05_01.xlsx&amp;sheet=A0&amp;row=83&amp;col=16&amp;number=&amp;sourceID=12","")</f>
        <v/>
      </c>
      <c r="Q83" s="4" t="str">
        <f>HYPERLINK("http://141.218.60.56/~jnz1568/getInfo.php?workbook=05_01.xlsx&amp;sheet=A0&amp;row=83&amp;col=17&amp;number=0.1264&amp;sourceID=12","0.1264")</f>
        <v>0.1264</v>
      </c>
      <c r="R83" s="4" t="str">
        <f>HYPERLINK("http://141.218.60.56/~jnz1568/getInfo.php?workbook=05_01.xlsx&amp;sheet=A0&amp;row=83&amp;col=18&amp;number=&amp;sourceID=12","")</f>
        <v/>
      </c>
      <c r="S83" s="4" t="str">
        <f>HYPERLINK("http://141.218.60.56/~jnz1568/getInfo.php?workbook=05_01.xlsx&amp;sheet=A0&amp;row=83&amp;col=19&amp;number=0.37632&amp;sourceID=12","0.37632")</f>
        <v>0.37632</v>
      </c>
      <c r="T83" s="4" t="str">
        <f>HYPERLINK("http://141.218.60.56/~jnz1568/getInfo.php?workbook=05_01.xlsx&amp;sheet=A0&amp;row=83&amp;col=20&amp;number=&amp;sourceID=12","")</f>
        <v/>
      </c>
    </row>
    <row r="84" spans="1:20">
      <c r="A84" s="3">
        <v>5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HYPERLINK("http://141.218.60.56/~jnz1568/getInfo.php?workbook=05_01.xlsx&amp;sheet=A0&amp;row=84&amp;col=6&amp;number=&amp;sourceID=18","")</f>
        <v/>
      </c>
      <c r="G84" s="4" t="str">
        <f>HYPERLINK("http://141.218.60.56/~jnz1568/getInfo.php?workbook=05_01.xlsx&amp;sheet=A0&amp;row=84&amp;col=7&amp;number==&amp;sourceID=11","=")</f>
        <v>=</v>
      </c>
      <c r="H84" s="4" t="str">
        <f>HYPERLINK("http://141.218.60.56/~jnz1568/getInfo.php?workbook=05_01.xlsx&amp;sheet=A0&amp;row=84&amp;col=8&amp;number=&amp;sourceID=11","")</f>
        <v/>
      </c>
      <c r="I84" s="4" t="str">
        <f>HYPERLINK("http://141.218.60.56/~jnz1568/getInfo.php?workbook=05_01.xlsx&amp;sheet=A0&amp;row=84&amp;col=9&amp;number=20101&amp;sourceID=11","20101")</f>
        <v>20101</v>
      </c>
      <c r="J84" s="4" t="str">
        <f>HYPERLINK("http://141.218.60.56/~jnz1568/getInfo.php?workbook=05_01.xlsx&amp;sheet=A0&amp;row=84&amp;col=10&amp;number=&amp;sourceID=11","")</f>
        <v/>
      </c>
      <c r="K84" s="4" t="str">
        <f>HYPERLINK("http://141.218.60.56/~jnz1568/getInfo.php?workbook=05_01.xlsx&amp;sheet=A0&amp;row=84&amp;col=11&amp;number=1.4161e-05&amp;sourceID=11","1.4161e-05")</f>
        <v>1.4161e-05</v>
      </c>
      <c r="L84" s="4" t="str">
        <f>HYPERLINK("http://141.218.60.56/~jnz1568/getInfo.php?workbook=05_01.xlsx&amp;sheet=A0&amp;row=84&amp;col=12&amp;number=&amp;sourceID=11","")</f>
        <v/>
      </c>
      <c r="M84" s="4" t="str">
        <f>HYPERLINK("http://141.218.60.56/~jnz1568/getInfo.php?workbook=05_01.xlsx&amp;sheet=A0&amp;row=84&amp;col=13&amp;number=6.6841e-08&amp;sourceID=11","6.6841e-08")</f>
        <v>6.6841e-08</v>
      </c>
      <c r="N84" s="4" t="str">
        <f>HYPERLINK("http://141.218.60.56/~jnz1568/getInfo.php?workbook=05_01.xlsx&amp;sheet=A0&amp;row=84&amp;col=14&amp;number=20102&amp;sourceID=12","20102")</f>
        <v>20102</v>
      </c>
      <c r="O84" s="4" t="str">
        <f>HYPERLINK("http://141.218.60.56/~jnz1568/getInfo.php?workbook=05_01.xlsx&amp;sheet=A0&amp;row=84&amp;col=15&amp;number=&amp;sourceID=12","")</f>
        <v/>
      </c>
      <c r="P84" s="4" t="str">
        <f>HYPERLINK("http://141.218.60.56/~jnz1568/getInfo.php?workbook=05_01.xlsx&amp;sheet=A0&amp;row=84&amp;col=16&amp;number=20102&amp;sourceID=12","20102")</f>
        <v>20102</v>
      </c>
      <c r="Q84" s="4" t="str">
        <f>HYPERLINK("http://141.218.60.56/~jnz1568/getInfo.php?workbook=05_01.xlsx&amp;sheet=A0&amp;row=84&amp;col=17&amp;number=&amp;sourceID=12","")</f>
        <v/>
      </c>
      <c r="R84" s="4" t="str">
        <f>HYPERLINK("http://141.218.60.56/~jnz1568/getInfo.php?workbook=05_01.xlsx&amp;sheet=A0&amp;row=84&amp;col=18&amp;number=1.4162e-05&amp;sourceID=12","1.4162e-05")</f>
        <v>1.4162e-05</v>
      </c>
      <c r="S84" s="4" t="str">
        <f>HYPERLINK("http://141.218.60.56/~jnz1568/getInfo.php?workbook=05_01.xlsx&amp;sheet=A0&amp;row=84&amp;col=19&amp;number=&amp;sourceID=12","")</f>
        <v/>
      </c>
      <c r="T84" s="4" t="str">
        <f>HYPERLINK("http://141.218.60.56/~jnz1568/getInfo.php?workbook=05_01.xlsx&amp;sheet=A0&amp;row=84&amp;col=20&amp;number=6.6845e-08&amp;sourceID=12","6.6845e-08")</f>
        <v>6.6845e-08</v>
      </c>
    </row>
    <row r="85" spans="1:20">
      <c r="A85" s="3">
        <v>5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HYPERLINK("http://141.218.60.56/~jnz1568/getInfo.php?workbook=05_01.xlsx&amp;sheet=A0&amp;row=85&amp;col=6&amp;number=&amp;sourceID=18","")</f>
        <v/>
      </c>
      <c r="G85" s="4" t="str">
        <f>HYPERLINK("http://141.218.60.56/~jnz1568/getInfo.php?workbook=05_01.xlsx&amp;sheet=A0&amp;row=85&amp;col=7&amp;number==&amp;sourceID=11","=")</f>
        <v>=</v>
      </c>
      <c r="H85" s="4" t="str">
        <f>HYPERLINK("http://141.218.60.56/~jnz1568/getInfo.php?workbook=05_01.xlsx&amp;sheet=A0&amp;row=85&amp;col=8&amp;number=574740000&amp;sourceID=11","574740000")</f>
        <v>574740000</v>
      </c>
      <c r="I85" s="4" t="str">
        <f>HYPERLINK("http://141.218.60.56/~jnz1568/getInfo.php?workbook=05_01.xlsx&amp;sheet=A0&amp;row=85&amp;col=9&amp;number=&amp;sourceID=11","")</f>
        <v/>
      </c>
      <c r="J85" s="4" t="str">
        <f>HYPERLINK("http://141.218.60.56/~jnz1568/getInfo.php?workbook=05_01.xlsx&amp;sheet=A0&amp;row=85&amp;col=10&amp;number=0.084198&amp;sourceID=11","0.084198")</f>
        <v>0.084198</v>
      </c>
      <c r="K85" s="4" t="str">
        <f>HYPERLINK("http://141.218.60.56/~jnz1568/getInfo.php?workbook=05_01.xlsx&amp;sheet=A0&amp;row=85&amp;col=11&amp;number=&amp;sourceID=11","")</f>
        <v/>
      </c>
      <c r="L85" s="4" t="str">
        <f>HYPERLINK("http://141.218.60.56/~jnz1568/getInfo.php?workbook=05_01.xlsx&amp;sheet=A0&amp;row=85&amp;col=12&amp;number=&amp;sourceID=11","")</f>
        <v/>
      </c>
      <c r="M85" s="4" t="str">
        <f>HYPERLINK("http://141.218.60.56/~jnz1568/getInfo.php?workbook=05_01.xlsx&amp;sheet=A0&amp;row=85&amp;col=13&amp;number=&amp;sourceID=11","")</f>
        <v/>
      </c>
      <c r="N85" s="4" t="str">
        <f>HYPERLINK("http://141.218.60.56/~jnz1568/getInfo.php?workbook=05_01.xlsx&amp;sheet=A0&amp;row=85&amp;col=14&amp;number=574770000&amp;sourceID=12","574770000")</f>
        <v>574770000</v>
      </c>
      <c r="O85" s="4" t="str">
        <f>HYPERLINK("http://141.218.60.56/~jnz1568/getInfo.php?workbook=05_01.xlsx&amp;sheet=A0&amp;row=85&amp;col=15&amp;number=574770000&amp;sourceID=12","574770000")</f>
        <v>574770000</v>
      </c>
      <c r="P85" s="4" t="str">
        <f>HYPERLINK("http://141.218.60.56/~jnz1568/getInfo.php?workbook=05_01.xlsx&amp;sheet=A0&amp;row=85&amp;col=16&amp;number=&amp;sourceID=12","")</f>
        <v/>
      </c>
      <c r="Q85" s="4" t="str">
        <f>HYPERLINK("http://141.218.60.56/~jnz1568/getInfo.php?workbook=05_01.xlsx&amp;sheet=A0&amp;row=85&amp;col=17&amp;number=0.084203&amp;sourceID=12","0.084203")</f>
        <v>0.084203</v>
      </c>
      <c r="R85" s="4" t="str">
        <f>HYPERLINK("http://141.218.60.56/~jnz1568/getInfo.php?workbook=05_01.xlsx&amp;sheet=A0&amp;row=85&amp;col=18&amp;number=&amp;sourceID=12","")</f>
        <v/>
      </c>
      <c r="S85" s="4" t="str">
        <f>HYPERLINK("http://141.218.60.56/~jnz1568/getInfo.php?workbook=05_01.xlsx&amp;sheet=A0&amp;row=85&amp;col=19&amp;number=&amp;sourceID=12","")</f>
        <v/>
      </c>
      <c r="T85" s="4" t="str">
        <f>HYPERLINK("http://141.218.60.56/~jnz1568/getInfo.php?workbook=05_01.xlsx&amp;sheet=A0&amp;row=85&amp;col=20&amp;number=&amp;sourceID=12","")</f>
        <v/>
      </c>
    </row>
    <row r="86" spans="1:20">
      <c r="A86" s="3">
        <v>5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HYPERLINK("http://141.218.60.56/~jnz1568/getInfo.php?workbook=05_01.xlsx&amp;sheet=A0&amp;row=86&amp;col=6&amp;number=&amp;sourceID=18","")</f>
        <v/>
      </c>
      <c r="G86" s="4" t="str">
        <f>HYPERLINK("http://141.218.60.56/~jnz1568/getInfo.php?workbook=05_01.xlsx&amp;sheet=A0&amp;row=86&amp;col=7&amp;number==&amp;sourceID=11","=")</f>
        <v>=</v>
      </c>
      <c r="H86" s="4" t="str">
        <f>HYPERLINK("http://141.218.60.56/~jnz1568/getInfo.php?workbook=05_01.xlsx&amp;sheet=A0&amp;row=86&amp;col=8&amp;number=&amp;sourceID=11","")</f>
        <v/>
      </c>
      <c r="I86" s="4" t="str">
        <f>HYPERLINK("http://141.218.60.56/~jnz1568/getInfo.php?workbook=05_01.xlsx&amp;sheet=A0&amp;row=86&amp;col=9&amp;number=3.85e-13&amp;sourceID=11","3.85e-13")</f>
        <v>3.85e-13</v>
      </c>
      <c r="J86" s="4" t="str">
        <f>HYPERLINK("http://141.218.60.56/~jnz1568/getInfo.php?workbook=05_01.xlsx&amp;sheet=A0&amp;row=86&amp;col=10&amp;number=&amp;sourceID=11","")</f>
        <v/>
      </c>
      <c r="K86" s="4" t="str">
        <f>HYPERLINK("http://141.218.60.56/~jnz1568/getInfo.php?workbook=05_01.xlsx&amp;sheet=A0&amp;row=86&amp;col=11&amp;number=&amp;sourceID=11","")</f>
        <v/>
      </c>
      <c r="L86" s="4" t="str">
        <f>HYPERLINK("http://141.218.60.56/~jnz1568/getInfo.php?workbook=05_01.xlsx&amp;sheet=A0&amp;row=86&amp;col=12&amp;number=&amp;sourceID=11","")</f>
        <v/>
      </c>
      <c r="M86" s="4" t="str">
        <f>HYPERLINK("http://141.218.60.56/~jnz1568/getInfo.php?workbook=05_01.xlsx&amp;sheet=A0&amp;row=86&amp;col=13&amp;number=0&amp;sourceID=11","0")</f>
        <v>0</v>
      </c>
      <c r="N86" s="4" t="str">
        <f>HYPERLINK("http://141.218.60.56/~jnz1568/getInfo.php?workbook=05_01.xlsx&amp;sheet=A0&amp;row=86&amp;col=14&amp;number=3.85e-13&amp;sourceID=12","3.85e-13")</f>
        <v>3.85e-13</v>
      </c>
      <c r="O86" s="4" t="str">
        <f>HYPERLINK("http://141.218.60.56/~jnz1568/getInfo.php?workbook=05_01.xlsx&amp;sheet=A0&amp;row=86&amp;col=15&amp;number=&amp;sourceID=12","")</f>
        <v/>
      </c>
      <c r="P86" s="4" t="str">
        <f>HYPERLINK("http://141.218.60.56/~jnz1568/getInfo.php?workbook=05_01.xlsx&amp;sheet=A0&amp;row=86&amp;col=16&amp;number=3.85e-13&amp;sourceID=12","3.85e-13")</f>
        <v>3.85e-13</v>
      </c>
      <c r="Q86" s="4" t="str">
        <f>HYPERLINK("http://141.218.60.56/~jnz1568/getInfo.php?workbook=05_01.xlsx&amp;sheet=A0&amp;row=86&amp;col=17&amp;number=&amp;sourceID=12","")</f>
        <v/>
      </c>
      <c r="R86" s="4" t="str">
        <f>HYPERLINK("http://141.218.60.56/~jnz1568/getInfo.php?workbook=05_01.xlsx&amp;sheet=A0&amp;row=86&amp;col=18&amp;number=&amp;sourceID=12","")</f>
        <v/>
      </c>
      <c r="S86" s="4" t="str">
        <f>HYPERLINK("http://141.218.60.56/~jnz1568/getInfo.php?workbook=05_01.xlsx&amp;sheet=A0&amp;row=86&amp;col=19&amp;number=&amp;sourceID=12","")</f>
        <v/>
      </c>
      <c r="T86" s="4" t="str">
        <f>HYPERLINK("http://141.218.60.56/~jnz1568/getInfo.php?workbook=05_01.xlsx&amp;sheet=A0&amp;row=86&amp;col=20&amp;number=0&amp;sourceID=12","0")</f>
        <v>0</v>
      </c>
    </row>
    <row r="87" spans="1:20">
      <c r="A87" s="3">
        <v>5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HYPERLINK("http://141.218.60.56/~jnz1568/getInfo.php?workbook=05_01.xlsx&amp;sheet=A0&amp;row=87&amp;col=6&amp;number=&amp;sourceID=18","")</f>
        <v/>
      </c>
      <c r="G87" s="4" t="str">
        <f>HYPERLINK("http://141.218.60.56/~jnz1568/getInfo.php?workbook=05_01.xlsx&amp;sheet=A0&amp;row=87&amp;col=7&amp;number==&amp;sourceID=11","=")</f>
        <v>=</v>
      </c>
      <c r="H87" s="4" t="str">
        <f>HYPERLINK("http://141.218.60.56/~jnz1568/getInfo.php?workbook=05_01.xlsx&amp;sheet=A0&amp;row=87&amp;col=8&amp;number=&amp;sourceID=11","")</f>
        <v/>
      </c>
      <c r="I87" s="4" t="str">
        <f>HYPERLINK("http://141.218.60.56/~jnz1568/getInfo.php?workbook=05_01.xlsx&amp;sheet=A0&amp;row=87&amp;col=9&amp;number=&amp;sourceID=11","")</f>
        <v/>
      </c>
      <c r="J87" s="4" t="str">
        <f>HYPERLINK("http://141.218.60.56/~jnz1568/getInfo.php?workbook=05_01.xlsx&amp;sheet=A0&amp;row=87&amp;col=10&amp;number=0&amp;sourceID=11","0")</f>
        <v>0</v>
      </c>
      <c r="K87" s="4" t="str">
        <f>HYPERLINK("http://141.218.60.56/~jnz1568/getInfo.php?workbook=05_01.xlsx&amp;sheet=A0&amp;row=87&amp;col=11&amp;number=&amp;sourceID=11","")</f>
        <v/>
      </c>
      <c r="L87" s="4" t="str">
        <f>HYPERLINK("http://141.218.60.56/~jnz1568/getInfo.php?workbook=05_01.xlsx&amp;sheet=A0&amp;row=87&amp;col=12&amp;number=0&amp;sourceID=11","0")</f>
        <v>0</v>
      </c>
      <c r="M87" s="4" t="str">
        <f>HYPERLINK("http://141.218.60.56/~jnz1568/getInfo.php?workbook=05_01.xlsx&amp;sheet=A0&amp;row=87&amp;col=13&amp;number=&amp;sourceID=11","")</f>
        <v/>
      </c>
      <c r="N87" s="4" t="str">
        <f>HYPERLINK("http://141.218.60.56/~jnz1568/getInfo.php?workbook=05_01.xlsx&amp;sheet=A0&amp;row=87&amp;col=14&amp;number=0&amp;sourceID=12","0")</f>
        <v>0</v>
      </c>
      <c r="O87" s="4" t="str">
        <f>HYPERLINK("http://141.218.60.56/~jnz1568/getInfo.php?workbook=05_01.xlsx&amp;sheet=A0&amp;row=87&amp;col=15&amp;number=&amp;sourceID=12","")</f>
        <v/>
      </c>
      <c r="P87" s="4" t="str">
        <f>HYPERLINK("http://141.218.60.56/~jnz1568/getInfo.php?workbook=05_01.xlsx&amp;sheet=A0&amp;row=87&amp;col=16&amp;number=&amp;sourceID=12","")</f>
        <v/>
      </c>
      <c r="Q87" s="4" t="str">
        <f>HYPERLINK("http://141.218.60.56/~jnz1568/getInfo.php?workbook=05_01.xlsx&amp;sheet=A0&amp;row=87&amp;col=17&amp;number=0&amp;sourceID=12","0")</f>
        <v>0</v>
      </c>
      <c r="R87" s="4" t="str">
        <f>HYPERLINK("http://141.218.60.56/~jnz1568/getInfo.php?workbook=05_01.xlsx&amp;sheet=A0&amp;row=87&amp;col=18&amp;number=&amp;sourceID=12","")</f>
        <v/>
      </c>
      <c r="S87" s="4" t="str">
        <f>HYPERLINK("http://141.218.60.56/~jnz1568/getInfo.php?workbook=05_01.xlsx&amp;sheet=A0&amp;row=87&amp;col=19&amp;number=0&amp;sourceID=12","0")</f>
        <v>0</v>
      </c>
      <c r="T87" s="4" t="str">
        <f>HYPERLINK("http://141.218.60.56/~jnz1568/getInfo.php?workbook=05_01.xlsx&amp;sheet=A0&amp;row=87&amp;col=20&amp;number=&amp;sourceID=12","")</f>
        <v/>
      </c>
    </row>
    <row r="88" spans="1:20">
      <c r="A88" s="3">
        <v>5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HYPERLINK("http://141.218.60.56/~jnz1568/getInfo.php?workbook=05_01.xlsx&amp;sheet=A0&amp;row=88&amp;col=6&amp;number=&amp;sourceID=18","")</f>
        <v/>
      </c>
      <c r="G88" s="4" t="str">
        <f>HYPERLINK("http://141.218.60.56/~jnz1568/getInfo.php?workbook=05_01.xlsx&amp;sheet=A0&amp;row=88&amp;col=7&amp;number==&amp;sourceID=11","=")</f>
        <v>=</v>
      </c>
      <c r="H88" s="4" t="str">
        <f>HYPERLINK("http://141.218.60.56/~jnz1568/getInfo.php?workbook=05_01.xlsx&amp;sheet=A0&amp;row=88&amp;col=8&amp;number=0.0070335&amp;sourceID=11","0.0070335")</f>
        <v>0.0070335</v>
      </c>
      <c r="I88" s="4" t="str">
        <f>HYPERLINK("http://141.218.60.56/~jnz1568/getInfo.php?workbook=05_01.xlsx&amp;sheet=A0&amp;row=88&amp;col=9&amp;number=&amp;sourceID=11","")</f>
        <v/>
      </c>
      <c r="J88" s="4" t="str">
        <f>HYPERLINK("http://141.218.60.56/~jnz1568/getInfo.php?workbook=05_01.xlsx&amp;sheet=A0&amp;row=88&amp;col=10&amp;number=0&amp;sourceID=11","0")</f>
        <v>0</v>
      </c>
      <c r="K88" s="4" t="str">
        <f>HYPERLINK("http://141.218.60.56/~jnz1568/getInfo.php?workbook=05_01.xlsx&amp;sheet=A0&amp;row=88&amp;col=11&amp;number=&amp;sourceID=11","")</f>
        <v/>
      </c>
      <c r="L88" s="4" t="str">
        <f>HYPERLINK("http://141.218.60.56/~jnz1568/getInfo.php?workbook=05_01.xlsx&amp;sheet=A0&amp;row=88&amp;col=12&amp;number=0&amp;sourceID=11","0")</f>
        <v>0</v>
      </c>
      <c r="M88" s="4" t="str">
        <f>HYPERLINK("http://141.218.60.56/~jnz1568/getInfo.php?workbook=05_01.xlsx&amp;sheet=A0&amp;row=88&amp;col=13&amp;number=&amp;sourceID=11","")</f>
        <v/>
      </c>
      <c r="N88" s="4" t="str">
        <f>HYPERLINK("http://141.218.60.56/~jnz1568/getInfo.php?workbook=05_01.xlsx&amp;sheet=A0&amp;row=88&amp;col=14&amp;number=0.0070344&amp;sourceID=12","0.0070344")</f>
        <v>0.0070344</v>
      </c>
      <c r="O88" s="4" t="str">
        <f>HYPERLINK("http://141.218.60.56/~jnz1568/getInfo.php?workbook=05_01.xlsx&amp;sheet=A0&amp;row=88&amp;col=15&amp;number=0.0070344&amp;sourceID=12","0.0070344")</f>
        <v>0.0070344</v>
      </c>
      <c r="P88" s="4" t="str">
        <f>HYPERLINK("http://141.218.60.56/~jnz1568/getInfo.php?workbook=05_01.xlsx&amp;sheet=A0&amp;row=88&amp;col=16&amp;number=&amp;sourceID=12","")</f>
        <v/>
      </c>
      <c r="Q88" s="4" t="str">
        <f>HYPERLINK("http://141.218.60.56/~jnz1568/getInfo.php?workbook=05_01.xlsx&amp;sheet=A0&amp;row=88&amp;col=17&amp;number=0&amp;sourceID=12","0")</f>
        <v>0</v>
      </c>
      <c r="R88" s="4" t="str">
        <f>HYPERLINK("http://141.218.60.56/~jnz1568/getInfo.php?workbook=05_01.xlsx&amp;sheet=A0&amp;row=88&amp;col=18&amp;number=&amp;sourceID=12","")</f>
        <v/>
      </c>
      <c r="S88" s="4" t="str">
        <f>HYPERLINK("http://141.218.60.56/~jnz1568/getInfo.php?workbook=05_01.xlsx&amp;sheet=A0&amp;row=88&amp;col=19&amp;number=0&amp;sourceID=12","0")</f>
        <v>0</v>
      </c>
      <c r="T88" s="4" t="str">
        <f>HYPERLINK("http://141.218.60.56/~jnz1568/getInfo.php?workbook=05_01.xlsx&amp;sheet=A0&amp;row=88&amp;col=20&amp;number=&amp;sourceID=12","")</f>
        <v/>
      </c>
    </row>
    <row r="89" spans="1:20">
      <c r="A89" s="3">
        <v>5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HYPERLINK("http://141.218.60.56/~jnz1568/getInfo.php?workbook=05_01.xlsx&amp;sheet=A0&amp;row=89&amp;col=6&amp;number=&amp;sourceID=18","")</f>
        <v/>
      </c>
      <c r="G89" s="4" t="str">
        <f>HYPERLINK("http://141.218.60.56/~jnz1568/getInfo.php?workbook=05_01.xlsx&amp;sheet=A0&amp;row=89&amp;col=7&amp;number==&amp;sourceID=11","=")</f>
        <v>=</v>
      </c>
      <c r="H89" s="4" t="str">
        <f>HYPERLINK("http://141.218.60.56/~jnz1568/getInfo.php?workbook=05_01.xlsx&amp;sheet=A0&amp;row=89&amp;col=8&amp;number=&amp;sourceID=11","")</f>
        <v/>
      </c>
      <c r="I89" s="4" t="str">
        <f>HYPERLINK("http://141.218.60.56/~jnz1568/getInfo.php?workbook=05_01.xlsx&amp;sheet=A0&amp;row=89&amp;col=9&amp;number=0&amp;sourceID=11","0")</f>
        <v>0</v>
      </c>
      <c r="J89" s="4" t="str">
        <f>HYPERLINK("http://141.218.60.56/~jnz1568/getInfo.php?workbook=05_01.xlsx&amp;sheet=A0&amp;row=89&amp;col=10&amp;number=&amp;sourceID=11","")</f>
        <v/>
      </c>
      <c r="K89" s="4" t="str">
        <f>HYPERLINK("http://141.218.60.56/~jnz1568/getInfo.php?workbook=05_01.xlsx&amp;sheet=A0&amp;row=89&amp;col=11&amp;number=0&amp;sourceID=11","0")</f>
        <v>0</v>
      </c>
      <c r="L89" s="4" t="str">
        <f>HYPERLINK("http://141.218.60.56/~jnz1568/getInfo.php?workbook=05_01.xlsx&amp;sheet=A0&amp;row=89&amp;col=12&amp;number=&amp;sourceID=11","")</f>
        <v/>
      </c>
      <c r="M89" s="4" t="str">
        <f>HYPERLINK("http://141.218.60.56/~jnz1568/getInfo.php?workbook=05_01.xlsx&amp;sheet=A0&amp;row=89&amp;col=13&amp;number=0&amp;sourceID=11","0")</f>
        <v>0</v>
      </c>
      <c r="N89" s="4" t="str">
        <f>HYPERLINK("http://141.218.60.56/~jnz1568/getInfo.php?workbook=05_01.xlsx&amp;sheet=A0&amp;row=89&amp;col=14&amp;number=0&amp;sourceID=12","0")</f>
        <v>0</v>
      </c>
      <c r="O89" s="4" t="str">
        <f>HYPERLINK("http://141.218.60.56/~jnz1568/getInfo.php?workbook=05_01.xlsx&amp;sheet=A0&amp;row=89&amp;col=15&amp;number=&amp;sourceID=12","")</f>
        <v/>
      </c>
      <c r="P89" s="4" t="str">
        <f>HYPERLINK("http://141.218.60.56/~jnz1568/getInfo.php?workbook=05_01.xlsx&amp;sheet=A0&amp;row=89&amp;col=16&amp;number=0&amp;sourceID=12","0")</f>
        <v>0</v>
      </c>
      <c r="Q89" s="4" t="str">
        <f>HYPERLINK("http://141.218.60.56/~jnz1568/getInfo.php?workbook=05_01.xlsx&amp;sheet=A0&amp;row=89&amp;col=17&amp;number=&amp;sourceID=12","")</f>
        <v/>
      </c>
      <c r="R89" s="4" t="str">
        <f>HYPERLINK("http://141.218.60.56/~jnz1568/getInfo.php?workbook=05_01.xlsx&amp;sheet=A0&amp;row=89&amp;col=18&amp;number=0&amp;sourceID=12","0")</f>
        <v>0</v>
      </c>
      <c r="S89" s="4" t="str">
        <f>HYPERLINK("http://141.218.60.56/~jnz1568/getInfo.php?workbook=05_01.xlsx&amp;sheet=A0&amp;row=89&amp;col=19&amp;number=&amp;sourceID=12","")</f>
        <v/>
      </c>
      <c r="T89" s="4" t="str">
        <f>HYPERLINK("http://141.218.60.56/~jnz1568/getInfo.php?workbook=05_01.xlsx&amp;sheet=A0&amp;row=89&amp;col=20&amp;number=0&amp;sourceID=12","0")</f>
        <v>0</v>
      </c>
    </row>
    <row r="90" spans="1:20">
      <c r="A90" s="3">
        <v>5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HYPERLINK("http://141.218.60.56/~jnz1568/getInfo.php?workbook=05_01.xlsx&amp;sheet=A0&amp;row=90&amp;col=6&amp;number=&amp;sourceID=18","")</f>
        <v/>
      </c>
      <c r="G90" s="4" t="str">
        <f>HYPERLINK("http://141.218.60.56/~jnz1568/getInfo.php?workbook=05_01.xlsx&amp;sheet=A0&amp;row=90&amp;col=7&amp;number==&amp;sourceID=11","=")</f>
        <v>=</v>
      </c>
      <c r="H90" s="4" t="str">
        <f>HYPERLINK("http://141.218.60.56/~jnz1568/getInfo.php?workbook=05_01.xlsx&amp;sheet=A0&amp;row=90&amp;col=8&amp;number=&amp;sourceID=11","")</f>
        <v/>
      </c>
      <c r="I90" s="4" t="str">
        <f>HYPERLINK("http://141.218.60.56/~jnz1568/getInfo.php?workbook=05_01.xlsx&amp;sheet=A0&amp;row=90&amp;col=9&amp;number=5103500&amp;sourceID=11","5103500")</f>
        <v>5103500</v>
      </c>
      <c r="J90" s="4" t="str">
        <f>HYPERLINK("http://141.218.60.56/~jnz1568/getInfo.php?workbook=05_01.xlsx&amp;sheet=A0&amp;row=90&amp;col=10&amp;number=&amp;sourceID=11","")</f>
        <v/>
      </c>
      <c r="K90" s="4" t="str">
        <f>HYPERLINK("http://141.218.60.56/~jnz1568/getInfo.php?workbook=05_01.xlsx&amp;sheet=A0&amp;row=90&amp;col=11&amp;number=&amp;sourceID=11","")</f>
        <v/>
      </c>
      <c r="L90" s="4" t="str">
        <f>HYPERLINK("http://141.218.60.56/~jnz1568/getInfo.php?workbook=05_01.xlsx&amp;sheet=A0&amp;row=90&amp;col=12&amp;number=&amp;sourceID=11","")</f>
        <v/>
      </c>
      <c r="M90" s="4" t="str">
        <f>HYPERLINK("http://141.218.60.56/~jnz1568/getInfo.php?workbook=05_01.xlsx&amp;sheet=A0&amp;row=90&amp;col=13&amp;number=0.44201&amp;sourceID=11","0.44201")</f>
        <v>0.44201</v>
      </c>
      <c r="N90" s="4" t="str">
        <f>HYPERLINK("http://141.218.60.56/~jnz1568/getInfo.php?workbook=05_01.xlsx&amp;sheet=A0&amp;row=90&amp;col=14&amp;number=5103800&amp;sourceID=12","5103800")</f>
        <v>5103800</v>
      </c>
      <c r="O90" s="4" t="str">
        <f>HYPERLINK("http://141.218.60.56/~jnz1568/getInfo.php?workbook=05_01.xlsx&amp;sheet=A0&amp;row=90&amp;col=15&amp;number=&amp;sourceID=12","")</f>
        <v/>
      </c>
      <c r="P90" s="4" t="str">
        <f>HYPERLINK("http://141.218.60.56/~jnz1568/getInfo.php?workbook=05_01.xlsx&amp;sheet=A0&amp;row=90&amp;col=16&amp;number=5103800&amp;sourceID=12","5103800")</f>
        <v>5103800</v>
      </c>
      <c r="Q90" s="4" t="str">
        <f>HYPERLINK("http://141.218.60.56/~jnz1568/getInfo.php?workbook=05_01.xlsx&amp;sheet=A0&amp;row=90&amp;col=17&amp;number=&amp;sourceID=12","")</f>
        <v/>
      </c>
      <c r="R90" s="4" t="str">
        <f>HYPERLINK("http://141.218.60.56/~jnz1568/getInfo.php?workbook=05_01.xlsx&amp;sheet=A0&amp;row=90&amp;col=18&amp;number=&amp;sourceID=12","")</f>
        <v/>
      </c>
      <c r="S90" s="4" t="str">
        <f>HYPERLINK("http://141.218.60.56/~jnz1568/getInfo.php?workbook=05_01.xlsx&amp;sheet=A0&amp;row=90&amp;col=19&amp;number=&amp;sourceID=12","")</f>
        <v/>
      </c>
      <c r="T90" s="4" t="str">
        <f>HYPERLINK("http://141.218.60.56/~jnz1568/getInfo.php?workbook=05_01.xlsx&amp;sheet=A0&amp;row=90&amp;col=20&amp;number=0.44203&amp;sourceID=12","0.44203")</f>
        <v>0.44203</v>
      </c>
    </row>
    <row r="91" spans="1:20">
      <c r="A91" s="3">
        <v>5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HYPERLINK("http://141.218.60.56/~jnz1568/getInfo.php?workbook=05_01.xlsx&amp;sheet=A0&amp;row=91&amp;col=6&amp;number=&amp;sourceID=18","")</f>
        <v/>
      </c>
      <c r="G91" s="4" t="str">
        <f>HYPERLINK("http://141.218.60.56/~jnz1568/getInfo.php?workbook=05_01.xlsx&amp;sheet=A0&amp;row=91&amp;col=7&amp;number==&amp;sourceID=11","=")</f>
        <v>=</v>
      </c>
      <c r="H91" s="4" t="str">
        <f>HYPERLINK("http://141.218.60.56/~jnz1568/getInfo.php?workbook=05_01.xlsx&amp;sheet=A0&amp;row=91&amp;col=8&amp;number=&amp;sourceID=11","")</f>
        <v/>
      </c>
      <c r="I91" s="4" t="str">
        <f>HYPERLINK("http://141.218.60.56/~jnz1568/getInfo.php?workbook=05_01.xlsx&amp;sheet=A0&amp;row=91&amp;col=9&amp;number=&amp;sourceID=11","")</f>
        <v/>
      </c>
      <c r="J91" s="4" t="str">
        <f>HYPERLINK("http://141.218.60.56/~jnz1568/getInfo.php?workbook=05_01.xlsx&amp;sheet=A0&amp;row=91&amp;col=10&amp;number=4.2952e-06&amp;sourceID=11","4.2952e-06")</f>
        <v>4.2952e-06</v>
      </c>
      <c r="K91" s="4" t="str">
        <f>HYPERLINK("http://141.218.60.56/~jnz1568/getInfo.php?workbook=05_01.xlsx&amp;sheet=A0&amp;row=91&amp;col=11&amp;number=&amp;sourceID=11","")</f>
        <v/>
      </c>
      <c r="L91" s="4" t="str">
        <f>HYPERLINK("http://141.218.60.56/~jnz1568/getInfo.php?workbook=05_01.xlsx&amp;sheet=A0&amp;row=91&amp;col=12&amp;number=8.9467&amp;sourceID=11","8.9467")</f>
        <v>8.9467</v>
      </c>
      <c r="M91" s="4" t="str">
        <f>HYPERLINK("http://141.218.60.56/~jnz1568/getInfo.php?workbook=05_01.xlsx&amp;sheet=A0&amp;row=91&amp;col=13&amp;number=&amp;sourceID=11","")</f>
        <v/>
      </c>
      <c r="N91" s="4" t="str">
        <f>HYPERLINK("http://141.218.60.56/~jnz1568/getInfo.php?workbook=05_01.xlsx&amp;sheet=A0&amp;row=91&amp;col=14&amp;number=8.9472&amp;sourceID=12","8.9472")</f>
        <v>8.9472</v>
      </c>
      <c r="O91" s="4" t="str">
        <f>HYPERLINK("http://141.218.60.56/~jnz1568/getInfo.php?workbook=05_01.xlsx&amp;sheet=A0&amp;row=91&amp;col=15&amp;number=&amp;sourceID=12","")</f>
        <v/>
      </c>
      <c r="P91" s="4" t="str">
        <f>HYPERLINK("http://141.218.60.56/~jnz1568/getInfo.php?workbook=05_01.xlsx&amp;sheet=A0&amp;row=91&amp;col=16&amp;number=&amp;sourceID=12","")</f>
        <v/>
      </c>
      <c r="Q91" s="4" t="str">
        <f>HYPERLINK("http://141.218.60.56/~jnz1568/getInfo.php?workbook=05_01.xlsx&amp;sheet=A0&amp;row=91&amp;col=17&amp;number=4.297e-06&amp;sourceID=12","4.297e-06")</f>
        <v>4.297e-06</v>
      </c>
      <c r="R91" s="4" t="str">
        <f>HYPERLINK("http://141.218.60.56/~jnz1568/getInfo.php?workbook=05_01.xlsx&amp;sheet=A0&amp;row=91&amp;col=18&amp;number=&amp;sourceID=12","")</f>
        <v/>
      </c>
      <c r="S91" s="4" t="str">
        <f>HYPERLINK("http://141.218.60.56/~jnz1568/getInfo.php?workbook=05_01.xlsx&amp;sheet=A0&amp;row=91&amp;col=19&amp;number=8.9472&amp;sourceID=12","8.9472")</f>
        <v>8.9472</v>
      </c>
      <c r="T91" s="4" t="str">
        <f>HYPERLINK("http://141.218.60.56/~jnz1568/getInfo.php?workbook=05_01.xlsx&amp;sheet=A0&amp;row=91&amp;col=20&amp;number=&amp;sourceID=12","")</f>
        <v/>
      </c>
    </row>
    <row r="92" spans="1:20">
      <c r="A92" s="3">
        <v>5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HYPERLINK("http://141.218.60.56/~jnz1568/getInfo.php?workbook=05_01.xlsx&amp;sheet=A0&amp;row=92&amp;col=6&amp;number=&amp;sourceID=18","")</f>
        <v/>
      </c>
      <c r="G92" s="4" t="str">
        <f>HYPERLINK("http://141.218.60.56/~jnz1568/getInfo.php?workbook=05_01.xlsx&amp;sheet=A0&amp;row=92&amp;col=7&amp;number==&amp;sourceID=11","=")</f>
        <v>=</v>
      </c>
      <c r="H92" s="4" t="str">
        <f>HYPERLINK("http://141.218.60.56/~jnz1568/getInfo.php?workbook=05_01.xlsx&amp;sheet=A0&amp;row=92&amp;col=8&amp;number=&amp;sourceID=11","")</f>
        <v/>
      </c>
      <c r="I92" s="4" t="str">
        <f>HYPERLINK("http://141.218.60.56/~jnz1568/getInfo.php?workbook=05_01.xlsx&amp;sheet=A0&amp;row=92&amp;col=9&amp;number=80855&amp;sourceID=11","80855")</f>
        <v>80855</v>
      </c>
      <c r="J92" s="4" t="str">
        <f>HYPERLINK("http://141.218.60.56/~jnz1568/getInfo.php?workbook=05_01.xlsx&amp;sheet=A0&amp;row=92&amp;col=10&amp;number=&amp;sourceID=11","")</f>
        <v/>
      </c>
      <c r="K92" s="4" t="str">
        <f>HYPERLINK("http://141.218.60.56/~jnz1568/getInfo.php?workbook=05_01.xlsx&amp;sheet=A0&amp;row=92&amp;col=11&amp;number=&amp;sourceID=11","")</f>
        <v/>
      </c>
      <c r="L92" s="4" t="str">
        <f>HYPERLINK("http://141.218.60.56/~jnz1568/getInfo.php?workbook=05_01.xlsx&amp;sheet=A0&amp;row=92&amp;col=12&amp;number=&amp;sourceID=11","")</f>
        <v/>
      </c>
      <c r="M92" s="4" t="str">
        <f>HYPERLINK("http://141.218.60.56/~jnz1568/getInfo.php?workbook=05_01.xlsx&amp;sheet=A0&amp;row=92&amp;col=13&amp;number=0.00028012&amp;sourceID=11","0.00028012")</f>
        <v>0.00028012</v>
      </c>
      <c r="N92" s="4" t="str">
        <f>HYPERLINK("http://141.218.60.56/~jnz1568/getInfo.php?workbook=05_01.xlsx&amp;sheet=A0&amp;row=92&amp;col=14&amp;number=80859&amp;sourceID=12","80859")</f>
        <v>80859</v>
      </c>
      <c r="O92" s="4" t="str">
        <f>HYPERLINK("http://141.218.60.56/~jnz1568/getInfo.php?workbook=05_01.xlsx&amp;sheet=A0&amp;row=92&amp;col=15&amp;number=&amp;sourceID=12","")</f>
        <v/>
      </c>
      <c r="P92" s="4" t="str">
        <f>HYPERLINK("http://141.218.60.56/~jnz1568/getInfo.php?workbook=05_01.xlsx&amp;sheet=A0&amp;row=92&amp;col=16&amp;number=80859&amp;sourceID=12","80859")</f>
        <v>80859</v>
      </c>
      <c r="Q92" s="4" t="str">
        <f>HYPERLINK("http://141.218.60.56/~jnz1568/getInfo.php?workbook=05_01.xlsx&amp;sheet=A0&amp;row=92&amp;col=17&amp;number=&amp;sourceID=12","")</f>
        <v/>
      </c>
      <c r="R92" s="4" t="str">
        <f>HYPERLINK("http://141.218.60.56/~jnz1568/getInfo.php?workbook=05_01.xlsx&amp;sheet=A0&amp;row=92&amp;col=18&amp;number=&amp;sourceID=12","")</f>
        <v/>
      </c>
      <c r="S92" s="4" t="str">
        <f>HYPERLINK("http://141.218.60.56/~jnz1568/getInfo.php?workbook=05_01.xlsx&amp;sheet=A0&amp;row=92&amp;col=19&amp;number=&amp;sourceID=12","")</f>
        <v/>
      </c>
      <c r="T92" s="4" t="str">
        <f>HYPERLINK("http://141.218.60.56/~jnz1568/getInfo.php?workbook=05_01.xlsx&amp;sheet=A0&amp;row=92&amp;col=20&amp;number=0.00028014&amp;sourceID=12","0.00028014")</f>
        <v>0.00028014</v>
      </c>
    </row>
    <row r="93" spans="1:20">
      <c r="A93" s="3">
        <v>5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HYPERLINK("http://141.218.60.56/~jnz1568/getInfo.php?workbook=05_01.xlsx&amp;sheet=A0&amp;row=93&amp;col=6&amp;number=&amp;sourceID=18","")</f>
        <v/>
      </c>
      <c r="G93" s="4" t="str">
        <f>HYPERLINK("http://141.218.60.56/~jnz1568/getInfo.php?workbook=05_01.xlsx&amp;sheet=A0&amp;row=93&amp;col=7&amp;number==&amp;sourceID=11","=")</f>
        <v>=</v>
      </c>
      <c r="H93" s="4" t="str">
        <f>HYPERLINK("http://141.218.60.56/~jnz1568/getInfo.php?workbook=05_01.xlsx&amp;sheet=A0&amp;row=93&amp;col=8&amp;number=12897000000&amp;sourceID=11","12897000000")</f>
        <v>12897000000</v>
      </c>
      <c r="I93" s="4" t="str">
        <f>HYPERLINK("http://141.218.60.56/~jnz1568/getInfo.php?workbook=05_01.xlsx&amp;sheet=A0&amp;row=93&amp;col=9&amp;number=&amp;sourceID=11","")</f>
        <v/>
      </c>
      <c r="J93" s="4" t="str">
        <f>HYPERLINK("http://141.218.60.56/~jnz1568/getInfo.php?workbook=05_01.xlsx&amp;sheet=A0&amp;row=93&amp;col=10&amp;number=3.0538e-08&amp;sourceID=11","3.0538e-08")</f>
        <v>3.0538e-08</v>
      </c>
      <c r="K93" s="4" t="str">
        <f>HYPERLINK("http://141.218.60.56/~jnz1568/getInfo.php?workbook=05_01.xlsx&amp;sheet=A0&amp;row=93&amp;col=11&amp;number=&amp;sourceID=11","")</f>
        <v/>
      </c>
      <c r="L93" s="4" t="str">
        <f>HYPERLINK("http://141.218.60.56/~jnz1568/getInfo.php?workbook=05_01.xlsx&amp;sheet=A0&amp;row=93&amp;col=12&amp;number=48.829&amp;sourceID=11","48.829")</f>
        <v>48.829</v>
      </c>
      <c r="M93" s="4" t="str">
        <f>HYPERLINK("http://141.218.60.56/~jnz1568/getInfo.php?workbook=05_01.xlsx&amp;sheet=A0&amp;row=93&amp;col=13&amp;number=&amp;sourceID=11","")</f>
        <v/>
      </c>
      <c r="N93" s="4" t="str">
        <f>HYPERLINK("http://141.218.60.56/~jnz1568/getInfo.php?workbook=05_01.xlsx&amp;sheet=A0&amp;row=93&amp;col=14&amp;number=12898000000&amp;sourceID=12","12898000000")</f>
        <v>12898000000</v>
      </c>
      <c r="O93" s="4" t="str">
        <f>HYPERLINK("http://141.218.60.56/~jnz1568/getInfo.php?workbook=05_01.xlsx&amp;sheet=A0&amp;row=93&amp;col=15&amp;number=12898000000&amp;sourceID=12","12898000000")</f>
        <v>12898000000</v>
      </c>
      <c r="P93" s="4" t="str">
        <f>HYPERLINK("http://141.218.60.56/~jnz1568/getInfo.php?workbook=05_01.xlsx&amp;sheet=A0&amp;row=93&amp;col=16&amp;number=&amp;sourceID=12","")</f>
        <v/>
      </c>
      <c r="Q93" s="4" t="str">
        <f>HYPERLINK("http://141.218.60.56/~jnz1568/getInfo.php?workbook=05_01.xlsx&amp;sheet=A0&amp;row=93&amp;col=17&amp;number=3.0663e-08&amp;sourceID=12","3.0663e-08")</f>
        <v>3.0663e-08</v>
      </c>
      <c r="R93" s="4" t="str">
        <f>HYPERLINK("http://141.218.60.56/~jnz1568/getInfo.php?workbook=05_01.xlsx&amp;sheet=A0&amp;row=93&amp;col=18&amp;number=&amp;sourceID=12","")</f>
        <v/>
      </c>
      <c r="S93" s="4" t="str">
        <f>HYPERLINK("http://141.218.60.56/~jnz1568/getInfo.php?workbook=05_01.xlsx&amp;sheet=A0&amp;row=93&amp;col=19&amp;number=48.832&amp;sourceID=12","48.832")</f>
        <v>48.832</v>
      </c>
      <c r="T93" s="4" t="str">
        <f>HYPERLINK("http://141.218.60.56/~jnz1568/getInfo.php?workbook=05_01.xlsx&amp;sheet=A0&amp;row=93&amp;col=20&amp;number=&amp;sourceID=12","")</f>
        <v/>
      </c>
    </row>
    <row r="94" spans="1:20">
      <c r="A94" s="3">
        <v>5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HYPERLINK("http://141.218.60.56/~jnz1568/getInfo.php?workbook=05_01.xlsx&amp;sheet=A0&amp;row=94&amp;col=6&amp;number=&amp;sourceID=18","")</f>
        <v/>
      </c>
      <c r="G94" s="4" t="str">
        <f>HYPERLINK("http://141.218.60.56/~jnz1568/getInfo.php?workbook=05_01.xlsx&amp;sheet=A0&amp;row=94&amp;col=7&amp;number==&amp;sourceID=11","=")</f>
        <v>=</v>
      </c>
      <c r="H94" s="4" t="str">
        <f>HYPERLINK("http://141.218.60.56/~jnz1568/getInfo.php?workbook=05_01.xlsx&amp;sheet=A0&amp;row=94&amp;col=8&amp;number=&amp;sourceID=11","")</f>
        <v/>
      </c>
      <c r="I94" s="4" t="str">
        <f>HYPERLINK("http://141.218.60.56/~jnz1568/getInfo.php?workbook=05_01.xlsx&amp;sheet=A0&amp;row=94&amp;col=9&amp;number=&amp;sourceID=11","")</f>
        <v/>
      </c>
      <c r="J94" s="4" t="str">
        <f>HYPERLINK("http://141.218.60.56/~jnz1568/getInfo.php?workbook=05_01.xlsx&amp;sheet=A0&amp;row=94&amp;col=10&amp;number=0.2736&amp;sourceID=11","0.2736")</f>
        <v>0.2736</v>
      </c>
      <c r="K94" s="4" t="str">
        <f>HYPERLINK("http://141.218.60.56/~jnz1568/getInfo.php?workbook=05_01.xlsx&amp;sheet=A0&amp;row=94&amp;col=11&amp;number=&amp;sourceID=11","")</f>
        <v/>
      </c>
      <c r="L94" s="4" t="str">
        <f>HYPERLINK("http://141.218.60.56/~jnz1568/getInfo.php?workbook=05_01.xlsx&amp;sheet=A0&amp;row=94&amp;col=12&amp;number=0.20502&amp;sourceID=11","0.20502")</f>
        <v>0.20502</v>
      </c>
      <c r="M94" s="4" t="str">
        <f>HYPERLINK("http://141.218.60.56/~jnz1568/getInfo.php?workbook=05_01.xlsx&amp;sheet=A0&amp;row=94&amp;col=13&amp;number=&amp;sourceID=11","")</f>
        <v/>
      </c>
      <c r="N94" s="4" t="str">
        <f>HYPERLINK("http://141.218.60.56/~jnz1568/getInfo.php?workbook=05_01.xlsx&amp;sheet=A0&amp;row=94&amp;col=14&amp;number=0.47865&amp;sourceID=12","0.47865")</f>
        <v>0.47865</v>
      </c>
      <c r="O94" s="4" t="str">
        <f>HYPERLINK("http://141.218.60.56/~jnz1568/getInfo.php?workbook=05_01.xlsx&amp;sheet=A0&amp;row=94&amp;col=15&amp;number=&amp;sourceID=12","")</f>
        <v/>
      </c>
      <c r="P94" s="4" t="str">
        <f>HYPERLINK("http://141.218.60.56/~jnz1568/getInfo.php?workbook=05_01.xlsx&amp;sheet=A0&amp;row=94&amp;col=16&amp;number=&amp;sourceID=12","")</f>
        <v/>
      </c>
      <c r="Q94" s="4" t="str">
        <f>HYPERLINK("http://141.218.60.56/~jnz1568/getInfo.php?workbook=05_01.xlsx&amp;sheet=A0&amp;row=94&amp;col=17&amp;number=0.27362&amp;sourceID=12","0.27362")</f>
        <v>0.27362</v>
      </c>
      <c r="R94" s="4" t="str">
        <f>HYPERLINK("http://141.218.60.56/~jnz1568/getInfo.php?workbook=05_01.xlsx&amp;sheet=A0&amp;row=94&amp;col=18&amp;number=&amp;sourceID=12","")</f>
        <v/>
      </c>
      <c r="S94" s="4" t="str">
        <f>HYPERLINK("http://141.218.60.56/~jnz1568/getInfo.php?workbook=05_01.xlsx&amp;sheet=A0&amp;row=94&amp;col=19&amp;number=0.20503&amp;sourceID=12","0.20503")</f>
        <v>0.20503</v>
      </c>
      <c r="T94" s="4" t="str">
        <f>HYPERLINK("http://141.218.60.56/~jnz1568/getInfo.php?workbook=05_01.xlsx&amp;sheet=A0&amp;row=94&amp;col=20&amp;number=&amp;sourceID=12","")</f>
        <v/>
      </c>
    </row>
    <row r="95" spans="1:20">
      <c r="A95" s="3">
        <v>5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HYPERLINK("http://141.218.60.56/~jnz1568/getInfo.php?workbook=05_01.xlsx&amp;sheet=A0&amp;row=95&amp;col=6&amp;number=&amp;sourceID=18","")</f>
        <v/>
      </c>
      <c r="G95" s="4" t="str">
        <f>HYPERLINK("http://141.218.60.56/~jnz1568/getInfo.php?workbook=05_01.xlsx&amp;sheet=A0&amp;row=95&amp;col=7&amp;number==&amp;sourceID=11","=")</f>
        <v>=</v>
      </c>
      <c r="H95" s="4" t="str">
        <f>HYPERLINK("http://141.218.60.56/~jnz1568/getInfo.php?workbook=05_01.xlsx&amp;sheet=A0&amp;row=95&amp;col=8&amp;number=&amp;sourceID=11","")</f>
        <v/>
      </c>
      <c r="I95" s="4" t="str">
        <f>HYPERLINK("http://141.218.60.56/~jnz1568/getInfo.php?workbook=05_01.xlsx&amp;sheet=A0&amp;row=95&amp;col=9&amp;number=58856&amp;sourceID=11","58856")</f>
        <v>58856</v>
      </c>
      <c r="J95" s="4" t="str">
        <f>HYPERLINK("http://141.218.60.56/~jnz1568/getInfo.php?workbook=05_01.xlsx&amp;sheet=A0&amp;row=95&amp;col=10&amp;number=&amp;sourceID=11","")</f>
        <v/>
      </c>
      <c r="K95" s="4" t="str">
        <f>HYPERLINK("http://141.218.60.56/~jnz1568/getInfo.php?workbook=05_01.xlsx&amp;sheet=A0&amp;row=95&amp;col=11&amp;number=&amp;sourceID=11","")</f>
        <v/>
      </c>
      <c r="L95" s="4" t="str">
        <f>HYPERLINK("http://141.218.60.56/~jnz1568/getInfo.php?workbook=05_01.xlsx&amp;sheet=A0&amp;row=95&amp;col=12&amp;number=&amp;sourceID=11","")</f>
        <v/>
      </c>
      <c r="M95" s="4" t="str">
        <f>HYPERLINK("http://141.218.60.56/~jnz1568/getInfo.php?workbook=05_01.xlsx&amp;sheet=A0&amp;row=95&amp;col=13&amp;number=1.3713e-05&amp;sourceID=11","1.3713e-05")</f>
        <v>1.3713e-05</v>
      </c>
      <c r="N95" s="4" t="str">
        <f>HYPERLINK("http://141.218.60.56/~jnz1568/getInfo.php?workbook=05_01.xlsx&amp;sheet=A0&amp;row=95&amp;col=14&amp;number=58859&amp;sourceID=12","58859")</f>
        <v>58859</v>
      </c>
      <c r="O95" s="4" t="str">
        <f>HYPERLINK("http://141.218.60.56/~jnz1568/getInfo.php?workbook=05_01.xlsx&amp;sheet=A0&amp;row=95&amp;col=15&amp;number=&amp;sourceID=12","")</f>
        <v/>
      </c>
      <c r="P95" s="4" t="str">
        <f>HYPERLINK("http://141.218.60.56/~jnz1568/getInfo.php?workbook=05_01.xlsx&amp;sheet=A0&amp;row=95&amp;col=16&amp;number=58859&amp;sourceID=12","58859")</f>
        <v>58859</v>
      </c>
      <c r="Q95" s="4" t="str">
        <f>HYPERLINK("http://141.218.60.56/~jnz1568/getInfo.php?workbook=05_01.xlsx&amp;sheet=A0&amp;row=95&amp;col=17&amp;number=&amp;sourceID=12","")</f>
        <v/>
      </c>
      <c r="R95" s="4" t="str">
        <f>HYPERLINK("http://141.218.60.56/~jnz1568/getInfo.php?workbook=05_01.xlsx&amp;sheet=A0&amp;row=95&amp;col=18&amp;number=&amp;sourceID=12","")</f>
        <v/>
      </c>
      <c r="S95" s="4" t="str">
        <f>HYPERLINK("http://141.218.60.56/~jnz1568/getInfo.php?workbook=05_01.xlsx&amp;sheet=A0&amp;row=95&amp;col=19&amp;number=&amp;sourceID=12","")</f>
        <v/>
      </c>
      <c r="T95" s="4" t="str">
        <f>HYPERLINK("http://141.218.60.56/~jnz1568/getInfo.php?workbook=05_01.xlsx&amp;sheet=A0&amp;row=95&amp;col=20&amp;number=1.3714e-05&amp;sourceID=12","1.3714e-05")</f>
        <v>1.3714e-05</v>
      </c>
    </row>
    <row r="96" spans="1:20">
      <c r="A96" s="3">
        <v>5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HYPERLINK("http://141.218.60.56/~jnz1568/getInfo.php?workbook=05_01.xlsx&amp;sheet=A0&amp;row=96&amp;col=6&amp;number=&amp;sourceID=18","")</f>
        <v/>
      </c>
      <c r="G96" s="4" t="str">
        <f>HYPERLINK("http://141.218.60.56/~jnz1568/getInfo.php?workbook=05_01.xlsx&amp;sheet=A0&amp;row=96&amp;col=7&amp;number==&amp;sourceID=11","=")</f>
        <v>=</v>
      </c>
      <c r="H96" s="4" t="str">
        <f>HYPERLINK("http://141.218.60.56/~jnz1568/getInfo.php?workbook=05_01.xlsx&amp;sheet=A0&amp;row=96&amp;col=8&amp;number=&amp;sourceID=11","")</f>
        <v/>
      </c>
      <c r="I96" s="4" t="str">
        <f>HYPERLINK("http://141.218.60.56/~jnz1568/getInfo.php?workbook=05_01.xlsx&amp;sheet=A0&amp;row=96&amp;col=9&amp;number=3720.2&amp;sourceID=11","3720.2")</f>
        <v>3720.2</v>
      </c>
      <c r="J96" s="4" t="str">
        <f>HYPERLINK("http://141.218.60.56/~jnz1568/getInfo.php?workbook=05_01.xlsx&amp;sheet=A0&amp;row=96&amp;col=10&amp;number=&amp;sourceID=11","")</f>
        <v/>
      </c>
      <c r="K96" s="4" t="str">
        <f>HYPERLINK("http://141.218.60.56/~jnz1568/getInfo.php?workbook=05_01.xlsx&amp;sheet=A0&amp;row=96&amp;col=11&amp;number=0.00013984&amp;sourceID=11","0.00013984")</f>
        <v>0.00013984</v>
      </c>
      <c r="L96" s="4" t="str">
        <f>HYPERLINK("http://141.218.60.56/~jnz1568/getInfo.php?workbook=05_01.xlsx&amp;sheet=A0&amp;row=96&amp;col=12&amp;number=&amp;sourceID=11","")</f>
        <v/>
      </c>
      <c r="M96" s="4" t="str">
        <f>HYPERLINK("http://141.218.60.56/~jnz1568/getInfo.php?workbook=05_01.xlsx&amp;sheet=A0&amp;row=96&amp;col=13&amp;number=4.9481e-08&amp;sourceID=11","4.9481e-08")</f>
        <v>4.9481e-08</v>
      </c>
      <c r="N96" s="4" t="str">
        <f>HYPERLINK("http://141.218.60.56/~jnz1568/getInfo.php?workbook=05_01.xlsx&amp;sheet=A0&amp;row=96&amp;col=14&amp;number=3720.4&amp;sourceID=12","3720.4")</f>
        <v>3720.4</v>
      </c>
      <c r="O96" s="4" t="str">
        <f>HYPERLINK("http://141.218.60.56/~jnz1568/getInfo.php?workbook=05_01.xlsx&amp;sheet=A0&amp;row=96&amp;col=15&amp;number=&amp;sourceID=12","")</f>
        <v/>
      </c>
      <c r="P96" s="4" t="str">
        <f>HYPERLINK("http://141.218.60.56/~jnz1568/getInfo.php?workbook=05_01.xlsx&amp;sheet=A0&amp;row=96&amp;col=16&amp;number=3720.4&amp;sourceID=12","3720.4")</f>
        <v>3720.4</v>
      </c>
      <c r="Q96" s="4" t="str">
        <f>HYPERLINK("http://141.218.60.56/~jnz1568/getInfo.php?workbook=05_01.xlsx&amp;sheet=A0&amp;row=96&amp;col=17&amp;number=&amp;sourceID=12","")</f>
        <v/>
      </c>
      <c r="R96" s="4" t="str">
        <f>HYPERLINK("http://141.218.60.56/~jnz1568/getInfo.php?workbook=05_01.xlsx&amp;sheet=A0&amp;row=96&amp;col=18&amp;number=0.00013985&amp;sourceID=12","0.00013985")</f>
        <v>0.00013985</v>
      </c>
      <c r="S96" s="4" t="str">
        <f>HYPERLINK("http://141.218.60.56/~jnz1568/getInfo.php?workbook=05_01.xlsx&amp;sheet=A0&amp;row=96&amp;col=19&amp;number=&amp;sourceID=12","")</f>
        <v/>
      </c>
      <c r="T96" s="4" t="str">
        <f>HYPERLINK("http://141.218.60.56/~jnz1568/getInfo.php?workbook=05_01.xlsx&amp;sheet=A0&amp;row=96&amp;col=20&amp;number=4.9483e-08&amp;sourceID=12","4.9483e-08")</f>
        <v>4.9483e-08</v>
      </c>
    </row>
    <row r="97" spans="1:20">
      <c r="A97" s="3">
        <v>5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HYPERLINK("http://141.218.60.56/~jnz1568/getInfo.php?workbook=05_01.xlsx&amp;sheet=A0&amp;row=97&amp;col=6&amp;number=&amp;sourceID=18","")</f>
        <v/>
      </c>
      <c r="G97" s="4" t="str">
        <f>HYPERLINK("http://141.218.60.56/~jnz1568/getInfo.php?workbook=05_01.xlsx&amp;sheet=A0&amp;row=97&amp;col=7&amp;number==&amp;sourceID=11","=")</f>
        <v>=</v>
      </c>
      <c r="H97" s="4" t="str">
        <f>HYPERLINK("http://141.218.60.56/~jnz1568/getInfo.php?workbook=05_01.xlsx&amp;sheet=A0&amp;row=97&amp;col=8&amp;number=4400600000&amp;sourceID=11","4400600000")</f>
        <v>4400600000</v>
      </c>
      <c r="I97" s="4" t="str">
        <f>HYPERLINK("http://141.218.60.56/~jnz1568/getInfo.php?workbook=05_01.xlsx&amp;sheet=A0&amp;row=97&amp;col=9&amp;number=&amp;sourceID=11","")</f>
        <v/>
      </c>
      <c r="J97" s="4" t="str">
        <f>HYPERLINK("http://141.218.60.56/~jnz1568/getInfo.php?workbook=05_01.xlsx&amp;sheet=A0&amp;row=97&amp;col=10&amp;number=0.21846&amp;sourceID=11","0.21846")</f>
        <v>0.21846</v>
      </c>
      <c r="K97" s="4" t="str">
        <f>HYPERLINK("http://141.218.60.56/~jnz1568/getInfo.php?workbook=05_01.xlsx&amp;sheet=A0&amp;row=97&amp;col=11&amp;number=&amp;sourceID=11","")</f>
        <v/>
      </c>
      <c r="L97" s="4" t="str">
        <f>HYPERLINK("http://141.218.60.56/~jnz1568/getInfo.php?workbook=05_01.xlsx&amp;sheet=A0&amp;row=97&amp;col=12&amp;number=1.1203&amp;sourceID=11","1.1203")</f>
        <v>1.1203</v>
      </c>
      <c r="M97" s="4" t="str">
        <f>HYPERLINK("http://141.218.60.56/~jnz1568/getInfo.php?workbook=05_01.xlsx&amp;sheet=A0&amp;row=97&amp;col=13&amp;number=&amp;sourceID=11","")</f>
        <v/>
      </c>
      <c r="N97" s="4" t="str">
        <f>HYPERLINK("http://141.218.60.56/~jnz1568/getInfo.php?workbook=05_01.xlsx&amp;sheet=A0&amp;row=97&amp;col=14&amp;number=4400800000&amp;sourceID=12","4400800000")</f>
        <v>4400800000</v>
      </c>
      <c r="O97" s="4" t="str">
        <f>HYPERLINK("http://141.218.60.56/~jnz1568/getInfo.php?workbook=05_01.xlsx&amp;sheet=A0&amp;row=97&amp;col=15&amp;number=4400800000&amp;sourceID=12","4400800000")</f>
        <v>4400800000</v>
      </c>
      <c r="P97" s="4" t="str">
        <f>HYPERLINK("http://141.218.60.56/~jnz1568/getInfo.php?workbook=05_01.xlsx&amp;sheet=A0&amp;row=97&amp;col=16&amp;number=&amp;sourceID=12","")</f>
        <v/>
      </c>
      <c r="Q97" s="4" t="str">
        <f>HYPERLINK("http://141.218.60.56/~jnz1568/getInfo.php?workbook=05_01.xlsx&amp;sheet=A0&amp;row=97&amp;col=17&amp;number=0.21847&amp;sourceID=12","0.21847")</f>
        <v>0.21847</v>
      </c>
      <c r="R97" s="4" t="str">
        <f>HYPERLINK("http://141.218.60.56/~jnz1568/getInfo.php?workbook=05_01.xlsx&amp;sheet=A0&amp;row=97&amp;col=18&amp;number=&amp;sourceID=12","")</f>
        <v/>
      </c>
      <c r="S97" s="4" t="str">
        <f>HYPERLINK("http://141.218.60.56/~jnz1568/getInfo.php?workbook=05_01.xlsx&amp;sheet=A0&amp;row=97&amp;col=19&amp;number=1.1203&amp;sourceID=12","1.1203")</f>
        <v>1.1203</v>
      </c>
      <c r="T97" s="4" t="str">
        <f>HYPERLINK("http://141.218.60.56/~jnz1568/getInfo.php?workbook=05_01.xlsx&amp;sheet=A0&amp;row=97&amp;col=20&amp;number=&amp;sourceID=12","")</f>
        <v/>
      </c>
    </row>
    <row r="98" spans="1:20">
      <c r="A98" s="3">
        <v>5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HYPERLINK("http://141.218.60.56/~jnz1568/getInfo.php?workbook=05_01.xlsx&amp;sheet=A0&amp;row=98&amp;col=6&amp;number=&amp;sourceID=18","")</f>
        <v/>
      </c>
      <c r="G98" s="4" t="str">
        <f>HYPERLINK("http://141.218.60.56/~jnz1568/getInfo.php?workbook=05_01.xlsx&amp;sheet=A0&amp;row=98&amp;col=7&amp;number==&amp;sourceID=11","=")</f>
        <v>=</v>
      </c>
      <c r="H98" s="4" t="str">
        <f>HYPERLINK("http://141.218.60.56/~jnz1568/getInfo.php?workbook=05_01.xlsx&amp;sheet=A0&amp;row=98&amp;col=8&amp;number=&amp;sourceID=11","")</f>
        <v/>
      </c>
      <c r="I98" s="4" t="str">
        <f>HYPERLINK("http://141.218.60.56/~jnz1568/getInfo.php?workbook=05_01.xlsx&amp;sheet=A0&amp;row=98&amp;col=9&amp;number=14878&amp;sourceID=11","14878")</f>
        <v>14878</v>
      </c>
      <c r="J98" s="4" t="str">
        <f>HYPERLINK("http://141.218.60.56/~jnz1568/getInfo.php?workbook=05_01.xlsx&amp;sheet=A0&amp;row=98&amp;col=10&amp;number=&amp;sourceID=11","")</f>
        <v/>
      </c>
      <c r="K98" s="4" t="str">
        <f>HYPERLINK("http://141.218.60.56/~jnz1568/getInfo.php?workbook=05_01.xlsx&amp;sheet=A0&amp;row=98&amp;col=11&amp;number=0.00059242&amp;sourceID=11","0.00059242")</f>
        <v>0.00059242</v>
      </c>
      <c r="L98" s="4" t="str">
        <f>HYPERLINK("http://141.218.60.56/~jnz1568/getInfo.php?workbook=05_01.xlsx&amp;sheet=A0&amp;row=98&amp;col=12&amp;number=&amp;sourceID=11","")</f>
        <v/>
      </c>
      <c r="M98" s="4" t="str">
        <f>HYPERLINK("http://141.218.60.56/~jnz1568/getInfo.php?workbook=05_01.xlsx&amp;sheet=A0&amp;row=98&amp;col=13&amp;number=6.0087e-06&amp;sourceID=11","6.0087e-06")</f>
        <v>6.0087e-06</v>
      </c>
      <c r="N98" s="4" t="str">
        <f>HYPERLINK("http://141.218.60.56/~jnz1568/getInfo.php?workbook=05_01.xlsx&amp;sheet=A0&amp;row=98&amp;col=14&amp;number=14878&amp;sourceID=12","14878")</f>
        <v>14878</v>
      </c>
      <c r="O98" s="4" t="str">
        <f>HYPERLINK("http://141.218.60.56/~jnz1568/getInfo.php?workbook=05_01.xlsx&amp;sheet=A0&amp;row=98&amp;col=15&amp;number=&amp;sourceID=12","")</f>
        <v/>
      </c>
      <c r="P98" s="4" t="str">
        <f>HYPERLINK("http://141.218.60.56/~jnz1568/getInfo.php?workbook=05_01.xlsx&amp;sheet=A0&amp;row=98&amp;col=16&amp;number=14878&amp;sourceID=12","14878")</f>
        <v>14878</v>
      </c>
      <c r="Q98" s="4" t="str">
        <f>HYPERLINK("http://141.218.60.56/~jnz1568/getInfo.php?workbook=05_01.xlsx&amp;sheet=A0&amp;row=98&amp;col=17&amp;number=&amp;sourceID=12","")</f>
        <v/>
      </c>
      <c r="R98" s="4" t="str">
        <f>HYPERLINK("http://141.218.60.56/~jnz1568/getInfo.php?workbook=05_01.xlsx&amp;sheet=A0&amp;row=98&amp;col=18&amp;number=0.00059245&amp;sourceID=12","0.00059245")</f>
        <v>0.00059245</v>
      </c>
      <c r="S98" s="4" t="str">
        <f>HYPERLINK("http://141.218.60.56/~jnz1568/getInfo.php?workbook=05_01.xlsx&amp;sheet=A0&amp;row=98&amp;col=19&amp;number=&amp;sourceID=12","")</f>
        <v/>
      </c>
      <c r="T98" s="4" t="str">
        <f>HYPERLINK("http://141.218.60.56/~jnz1568/getInfo.php?workbook=05_01.xlsx&amp;sheet=A0&amp;row=98&amp;col=20&amp;number=6.009e-06&amp;sourceID=12","6.009e-06")</f>
        <v>6.009e-06</v>
      </c>
    </row>
    <row r="99" spans="1:20">
      <c r="A99" s="3">
        <v>5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HYPERLINK("http://141.218.60.56/~jnz1568/getInfo.php?workbook=05_01.xlsx&amp;sheet=A0&amp;row=99&amp;col=6&amp;number=&amp;sourceID=18","")</f>
        <v/>
      </c>
      <c r="G99" s="4" t="str">
        <f>HYPERLINK("http://141.218.60.56/~jnz1568/getInfo.php?workbook=05_01.xlsx&amp;sheet=A0&amp;row=99&amp;col=7&amp;number==&amp;sourceID=11","=")</f>
        <v>=</v>
      </c>
      <c r="H99" s="4" t="str">
        <f>HYPERLINK("http://141.218.60.56/~jnz1568/getInfo.php?workbook=05_01.xlsx&amp;sheet=A0&amp;row=99&amp;col=8&amp;number=&amp;sourceID=11","")</f>
        <v/>
      </c>
      <c r="I99" s="4" t="str">
        <f>HYPERLINK("http://141.218.60.56/~jnz1568/getInfo.php?workbook=05_01.xlsx&amp;sheet=A0&amp;row=99&amp;col=9&amp;number=&amp;sourceID=11","")</f>
        <v/>
      </c>
      <c r="J99" s="4" t="str">
        <f>HYPERLINK("http://141.218.60.56/~jnz1568/getInfo.php?workbook=05_01.xlsx&amp;sheet=A0&amp;row=99&amp;col=10&amp;number=0&amp;sourceID=11","0")</f>
        <v>0</v>
      </c>
      <c r="K99" s="4" t="str">
        <f>HYPERLINK("http://141.218.60.56/~jnz1568/getInfo.php?workbook=05_01.xlsx&amp;sheet=A0&amp;row=99&amp;col=11&amp;number=&amp;sourceID=11","")</f>
        <v/>
      </c>
      <c r="L99" s="4" t="str">
        <f>HYPERLINK("http://141.218.60.56/~jnz1568/getInfo.php?workbook=05_01.xlsx&amp;sheet=A0&amp;row=99&amp;col=12&amp;number=0&amp;sourceID=11","0")</f>
        <v>0</v>
      </c>
      <c r="M99" s="4" t="str">
        <f>HYPERLINK("http://141.218.60.56/~jnz1568/getInfo.php?workbook=05_01.xlsx&amp;sheet=A0&amp;row=99&amp;col=13&amp;number=&amp;sourceID=11","")</f>
        <v/>
      </c>
      <c r="N99" s="4" t="str">
        <f>HYPERLINK("http://141.218.60.56/~jnz1568/getInfo.php?workbook=05_01.xlsx&amp;sheet=A0&amp;row=99&amp;col=14&amp;number=0&amp;sourceID=12","0")</f>
        <v>0</v>
      </c>
      <c r="O99" s="4" t="str">
        <f>HYPERLINK("http://141.218.60.56/~jnz1568/getInfo.php?workbook=05_01.xlsx&amp;sheet=A0&amp;row=99&amp;col=15&amp;number=&amp;sourceID=12","")</f>
        <v/>
      </c>
      <c r="P99" s="4" t="str">
        <f>HYPERLINK("http://141.218.60.56/~jnz1568/getInfo.php?workbook=05_01.xlsx&amp;sheet=A0&amp;row=99&amp;col=16&amp;number=&amp;sourceID=12","")</f>
        <v/>
      </c>
      <c r="Q99" s="4" t="str">
        <f>HYPERLINK("http://141.218.60.56/~jnz1568/getInfo.php?workbook=05_01.xlsx&amp;sheet=A0&amp;row=99&amp;col=17&amp;number=0&amp;sourceID=12","0")</f>
        <v>0</v>
      </c>
      <c r="R99" s="4" t="str">
        <f>HYPERLINK("http://141.218.60.56/~jnz1568/getInfo.php?workbook=05_01.xlsx&amp;sheet=A0&amp;row=99&amp;col=18&amp;number=&amp;sourceID=12","")</f>
        <v/>
      </c>
      <c r="S99" s="4" t="str">
        <f>HYPERLINK("http://141.218.60.56/~jnz1568/getInfo.php?workbook=05_01.xlsx&amp;sheet=A0&amp;row=99&amp;col=19&amp;number=0&amp;sourceID=12","0")</f>
        <v>0</v>
      </c>
      <c r="T99" s="4" t="str">
        <f>HYPERLINK("http://141.218.60.56/~jnz1568/getInfo.php?workbook=05_01.xlsx&amp;sheet=A0&amp;row=99&amp;col=20&amp;number=&amp;sourceID=12","")</f>
        <v/>
      </c>
    </row>
    <row r="100" spans="1:20">
      <c r="A100" s="3">
        <v>5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HYPERLINK("http://141.218.60.56/~jnz1568/getInfo.php?workbook=05_01.xlsx&amp;sheet=A0&amp;row=100&amp;col=6&amp;number=&amp;sourceID=18","")</f>
        <v/>
      </c>
      <c r="G100" s="4" t="str">
        <f>HYPERLINK("http://141.218.60.56/~jnz1568/getInfo.php?workbook=05_01.xlsx&amp;sheet=A0&amp;row=100&amp;col=7&amp;number==&amp;sourceID=11","=")</f>
        <v>=</v>
      </c>
      <c r="H100" s="4" t="str">
        <f>HYPERLINK("http://141.218.60.56/~jnz1568/getInfo.php?workbook=05_01.xlsx&amp;sheet=A0&amp;row=100&amp;col=8&amp;number=&amp;sourceID=11","")</f>
        <v/>
      </c>
      <c r="I100" s="4" t="str">
        <f>HYPERLINK("http://141.218.60.56/~jnz1568/getInfo.php?workbook=05_01.xlsx&amp;sheet=A0&amp;row=100&amp;col=9&amp;number=8.25e-13&amp;sourceID=11","8.25e-13")</f>
        <v>8.25e-13</v>
      </c>
      <c r="J100" s="4" t="str">
        <f>HYPERLINK("http://141.218.60.56/~jnz1568/getInfo.php?workbook=05_01.xlsx&amp;sheet=A0&amp;row=100&amp;col=10&amp;number=&amp;sourceID=11","")</f>
        <v/>
      </c>
      <c r="K100" s="4" t="str">
        <f>HYPERLINK("http://141.218.60.56/~jnz1568/getInfo.php?workbook=05_01.xlsx&amp;sheet=A0&amp;row=100&amp;col=11&amp;number=&amp;sourceID=11","")</f>
        <v/>
      </c>
      <c r="L100" s="4" t="str">
        <f>HYPERLINK("http://141.218.60.56/~jnz1568/getInfo.php?workbook=05_01.xlsx&amp;sheet=A0&amp;row=100&amp;col=12&amp;number=&amp;sourceID=11","")</f>
        <v/>
      </c>
      <c r="M100" s="4" t="str">
        <f>HYPERLINK("http://141.218.60.56/~jnz1568/getInfo.php?workbook=05_01.xlsx&amp;sheet=A0&amp;row=100&amp;col=13&amp;number=0&amp;sourceID=11","0")</f>
        <v>0</v>
      </c>
      <c r="N100" s="4" t="str">
        <f>HYPERLINK("http://141.218.60.56/~jnz1568/getInfo.php?workbook=05_01.xlsx&amp;sheet=A0&amp;row=100&amp;col=14&amp;number=8.25e-13&amp;sourceID=12","8.25e-13")</f>
        <v>8.25e-13</v>
      </c>
      <c r="O100" s="4" t="str">
        <f>HYPERLINK("http://141.218.60.56/~jnz1568/getInfo.php?workbook=05_01.xlsx&amp;sheet=A0&amp;row=100&amp;col=15&amp;number=&amp;sourceID=12","")</f>
        <v/>
      </c>
      <c r="P100" s="4" t="str">
        <f>HYPERLINK("http://141.218.60.56/~jnz1568/getInfo.php?workbook=05_01.xlsx&amp;sheet=A0&amp;row=100&amp;col=16&amp;number=8.25e-13&amp;sourceID=12","8.25e-13")</f>
        <v>8.25e-13</v>
      </c>
      <c r="Q100" s="4" t="str">
        <f>HYPERLINK("http://141.218.60.56/~jnz1568/getInfo.php?workbook=05_01.xlsx&amp;sheet=A0&amp;row=100&amp;col=17&amp;number=&amp;sourceID=12","")</f>
        <v/>
      </c>
      <c r="R100" s="4" t="str">
        <f>HYPERLINK("http://141.218.60.56/~jnz1568/getInfo.php?workbook=05_01.xlsx&amp;sheet=A0&amp;row=100&amp;col=18&amp;number=&amp;sourceID=12","")</f>
        <v/>
      </c>
      <c r="S100" s="4" t="str">
        <f>HYPERLINK("http://141.218.60.56/~jnz1568/getInfo.php?workbook=05_01.xlsx&amp;sheet=A0&amp;row=100&amp;col=19&amp;number=&amp;sourceID=12","")</f>
        <v/>
      </c>
      <c r="T100" s="4" t="str">
        <f>HYPERLINK("http://141.218.60.56/~jnz1568/getInfo.php?workbook=05_01.xlsx&amp;sheet=A0&amp;row=100&amp;col=20&amp;number=0&amp;sourceID=12","0")</f>
        <v>0</v>
      </c>
    </row>
    <row r="101" spans="1:20">
      <c r="A101" s="3">
        <v>5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HYPERLINK("http://141.218.60.56/~jnz1568/getInfo.php?workbook=05_01.xlsx&amp;sheet=A0&amp;row=101&amp;col=6&amp;number=&amp;sourceID=18","")</f>
        <v/>
      </c>
      <c r="G101" s="4" t="str">
        <f>HYPERLINK("http://141.218.60.56/~jnz1568/getInfo.php?workbook=05_01.xlsx&amp;sheet=A0&amp;row=101&amp;col=7&amp;number==&amp;sourceID=11","=")</f>
        <v>=</v>
      </c>
      <c r="H101" s="4" t="str">
        <f>HYPERLINK("http://141.218.60.56/~jnz1568/getInfo.php?workbook=05_01.xlsx&amp;sheet=A0&amp;row=101&amp;col=8&amp;number=&amp;sourceID=11","")</f>
        <v/>
      </c>
      <c r="I101" s="4" t="str">
        <f>HYPERLINK("http://141.218.60.56/~jnz1568/getInfo.php?workbook=05_01.xlsx&amp;sheet=A0&amp;row=101&amp;col=9&amp;number=0&amp;sourceID=11","0")</f>
        <v>0</v>
      </c>
      <c r="J101" s="4" t="str">
        <f>HYPERLINK("http://141.218.60.56/~jnz1568/getInfo.php?workbook=05_01.xlsx&amp;sheet=A0&amp;row=101&amp;col=10&amp;number=&amp;sourceID=11","")</f>
        <v/>
      </c>
      <c r="K101" s="4" t="str">
        <f>HYPERLINK("http://141.218.60.56/~jnz1568/getInfo.php?workbook=05_01.xlsx&amp;sheet=A0&amp;row=101&amp;col=11&amp;number=9.2896e-09&amp;sourceID=11","9.2896e-09")</f>
        <v>9.2896e-09</v>
      </c>
      <c r="L101" s="4" t="str">
        <f>HYPERLINK("http://141.218.60.56/~jnz1568/getInfo.php?workbook=05_01.xlsx&amp;sheet=A0&amp;row=101&amp;col=12&amp;number=&amp;sourceID=11","")</f>
        <v/>
      </c>
      <c r="M101" s="4" t="str">
        <f>HYPERLINK("http://141.218.60.56/~jnz1568/getInfo.php?workbook=05_01.xlsx&amp;sheet=A0&amp;row=101&amp;col=13&amp;number=0&amp;sourceID=11","0")</f>
        <v>0</v>
      </c>
      <c r="N101" s="4" t="str">
        <f>HYPERLINK("http://141.218.60.56/~jnz1568/getInfo.php?workbook=05_01.xlsx&amp;sheet=A0&amp;row=101&amp;col=14&amp;number=9.2908e-09&amp;sourceID=12","9.2908e-09")</f>
        <v>9.2908e-09</v>
      </c>
      <c r="O101" s="4" t="str">
        <f>HYPERLINK("http://141.218.60.56/~jnz1568/getInfo.php?workbook=05_01.xlsx&amp;sheet=A0&amp;row=101&amp;col=15&amp;number=&amp;sourceID=12","")</f>
        <v/>
      </c>
      <c r="P101" s="4" t="str">
        <f>HYPERLINK("http://141.218.60.56/~jnz1568/getInfo.php?workbook=05_01.xlsx&amp;sheet=A0&amp;row=101&amp;col=16&amp;number=0&amp;sourceID=12","0")</f>
        <v>0</v>
      </c>
      <c r="Q101" s="4" t="str">
        <f>HYPERLINK("http://141.218.60.56/~jnz1568/getInfo.php?workbook=05_01.xlsx&amp;sheet=A0&amp;row=101&amp;col=17&amp;number=&amp;sourceID=12","")</f>
        <v/>
      </c>
      <c r="R101" s="4" t="str">
        <f>HYPERLINK("http://141.218.60.56/~jnz1568/getInfo.php?workbook=05_01.xlsx&amp;sheet=A0&amp;row=101&amp;col=18&amp;number=9.2908e-09&amp;sourceID=12","9.2908e-09")</f>
        <v>9.2908e-09</v>
      </c>
      <c r="S101" s="4" t="str">
        <f>HYPERLINK("http://141.218.60.56/~jnz1568/getInfo.php?workbook=05_01.xlsx&amp;sheet=A0&amp;row=101&amp;col=19&amp;number=&amp;sourceID=12","")</f>
        <v/>
      </c>
      <c r="T101" s="4" t="str">
        <f>HYPERLINK("http://141.218.60.56/~jnz1568/getInfo.php?workbook=05_01.xlsx&amp;sheet=A0&amp;row=101&amp;col=20&amp;number=0&amp;sourceID=12","0")</f>
        <v>0</v>
      </c>
    </row>
    <row r="102" spans="1:20">
      <c r="A102" s="3">
        <v>5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HYPERLINK("http://141.218.60.56/~jnz1568/getInfo.php?workbook=05_01.xlsx&amp;sheet=A0&amp;row=102&amp;col=6&amp;number=&amp;sourceID=18","")</f>
        <v/>
      </c>
      <c r="G102" s="4" t="str">
        <f>HYPERLINK("http://141.218.60.56/~jnz1568/getInfo.php?workbook=05_01.xlsx&amp;sheet=A0&amp;row=102&amp;col=7&amp;number==&amp;sourceID=11","=")</f>
        <v>=</v>
      </c>
      <c r="H102" s="4" t="str">
        <f>HYPERLINK("http://141.218.60.56/~jnz1568/getInfo.php?workbook=05_01.xlsx&amp;sheet=A0&amp;row=102&amp;col=8&amp;number=0.012057&amp;sourceID=11","0.012057")</f>
        <v>0.012057</v>
      </c>
      <c r="I102" s="4" t="str">
        <f>HYPERLINK("http://141.218.60.56/~jnz1568/getInfo.php?workbook=05_01.xlsx&amp;sheet=A0&amp;row=102&amp;col=9&amp;number=&amp;sourceID=11","")</f>
        <v/>
      </c>
      <c r="J102" s="4" t="str">
        <f>HYPERLINK("http://141.218.60.56/~jnz1568/getInfo.php?workbook=05_01.xlsx&amp;sheet=A0&amp;row=102&amp;col=10&amp;number=0&amp;sourceID=11","0")</f>
        <v>0</v>
      </c>
      <c r="K102" s="4" t="str">
        <f>HYPERLINK("http://141.218.60.56/~jnz1568/getInfo.php?workbook=05_01.xlsx&amp;sheet=A0&amp;row=102&amp;col=11&amp;number=&amp;sourceID=11","")</f>
        <v/>
      </c>
      <c r="L102" s="4" t="str">
        <f>HYPERLINK("http://141.218.60.56/~jnz1568/getInfo.php?workbook=05_01.xlsx&amp;sheet=A0&amp;row=102&amp;col=12&amp;number=0&amp;sourceID=11","0")</f>
        <v>0</v>
      </c>
      <c r="M102" s="4" t="str">
        <f>HYPERLINK("http://141.218.60.56/~jnz1568/getInfo.php?workbook=05_01.xlsx&amp;sheet=A0&amp;row=102&amp;col=13&amp;number=&amp;sourceID=11","")</f>
        <v/>
      </c>
      <c r="N102" s="4" t="str">
        <f>HYPERLINK("http://141.218.60.56/~jnz1568/getInfo.php?workbook=05_01.xlsx&amp;sheet=A0&amp;row=102&amp;col=14&amp;number=0.012058&amp;sourceID=12","0.012058")</f>
        <v>0.012058</v>
      </c>
      <c r="O102" s="4" t="str">
        <f>HYPERLINK("http://141.218.60.56/~jnz1568/getInfo.php?workbook=05_01.xlsx&amp;sheet=A0&amp;row=102&amp;col=15&amp;number=0.012058&amp;sourceID=12","0.012058")</f>
        <v>0.012058</v>
      </c>
      <c r="P102" s="4" t="str">
        <f>HYPERLINK("http://141.218.60.56/~jnz1568/getInfo.php?workbook=05_01.xlsx&amp;sheet=A0&amp;row=102&amp;col=16&amp;number=&amp;sourceID=12","")</f>
        <v/>
      </c>
      <c r="Q102" s="4" t="str">
        <f>HYPERLINK("http://141.218.60.56/~jnz1568/getInfo.php?workbook=05_01.xlsx&amp;sheet=A0&amp;row=102&amp;col=17&amp;number=0&amp;sourceID=12","0")</f>
        <v>0</v>
      </c>
      <c r="R102" s="4" t="str">
        <f>HYPERLINK("http://141.218.60.56/~jnz1568/getInfo.php?workbook=05_01.xlsx&amp;sheet=A0&amp;row=102&amp;col=18&amp;number=&amp;sourceID=12","")</f>
        <v/>
      </c>
      <c r="S102" s="4" t="str">
        <f>HYPERLINK("http://141.218.60.56/~jnz1568/getInfo.php?workbook=05_01.xlsx&amp;sheet=A0&amp;row=102&amp;col=19&amp;number=0&amp;sourceID=12","0")</f>
        <v>0</v>
      </c>
      <c r="T102" s="4" t="str">
        <f>HYPERLINK("http://141.218.60.56/~jnz1568/getInfo.php?workbook=05_01.xlsx&amp;sheet=A0&amp;row=102&amp;col=20&amp;number=&amp;sourceID=12","")</f>
        <v/>
      </c>
    </row>
    <row r="103" spans="1:20">
      <c r="A103" s="3">
        <v>5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HYPERLINK("http://141.218.60.56/~jnz1568/getInfo.php?workbook=05_01.xlsx&amp;sheet=A0&amp;row=103&amp;col=6&amp;number=&amp;sourceID=18","")</f>
        <v/>
      </c>
      <c r="G103" s="4" t="str">
        <f>HYPERLINK("http://141.218.60.56/~jnz1568/getInfo.php?workbook=05_01.xlsx&amp;sheet=A0&amp;row=103&amp;col=7&amp;number==&amp;sourceID=11","=")</f>
        <v>=</v>
      </c>
      <c r="H103" s="4" t="str">
        <f>HYPERLINK("http://141.218.60.56/~jnz1568/getInfo.php?workbook=05_01.xlsx&amp;sheet=A0&amp;row=103&amp;col=8&amp;number=&amp;sourceID=11","")</f>
        <v/>
      </c>
      <c r="I103" s="4" t="str">
        <f>HYPERLINK("http://141.218.60.56/~jnz1568/getInfo.php?workbook=05_01.xlsx&amp;sheet=A0&amp;row=103&amp;col=9&amp;number=&amp;sourceID=11","")</f>
        <v/>
      </c>
      <c r="J103" s="4" t="str">
        <f>HYPERLINK("http://141.218.60.56/~jnz1568/getInfo.php?workbook=05_01.xlsx&amp;sheet=A0&amp;row=103&amp;col=10&amp;number=121.25&amp;sourceID=11","121.25")</f>
        <v>121.25</v>
      </c>
      <c r="K103" s="4" t="str">
        <f>HYPERLINK("http://141.218.60.56/~jnz1568/getInfo.php?workbook=05_01.xlsx&amp;sheet=A0&amp;row=103&amp;col=11&amp;number=&amp;sourceID=11","")</f>
        <v/>
      </c>
      <c r="L103" s="4" t="str">
        <f>HYPERLINK("http://141.218.60.56/~jnz1568/getInfo.php?workbook=05_01.xlsx&amp;sheet=A0&amp;row=103&amp;col=12&amp;number=&amp;sourceID=11","")</f>
        <v/>
      </c>
      <c r="M103" s="4" t="str">
        <f>HYPERLINK("http://141.218.60.56/~jnz1568/getInfo.php?workbook=05_01.xlsx&amp;sheet=A0&amp;row=103&amp;col=13&amp;number=&amp;sourceID=11","")</f>
        <v/>
      </c>
      <c r="N103" s="4" t="str">
        <f>HYPERLINK("http://141.218.60.56/~jnz1568/getInfo.php?workbook=05_01.xlsx&amp;sheet=A0&amp;row=103&amp;col=14&amp;number=121.26&amp;sourceID=12","121.26")</f>
        <v>121.26</v>
      </c>
      <c r="O103" s="4" t="str">
        <f>HYPERLINK("http://141.218.60.56/~jnz1568/getInfo.php?workbook=05_01.xlsx&amp;sheet=A0&amp;row=103&amp;col=15&amp;number=&amp;sourceID=12","")</f>
        <v/>
      </c>
      <c r="P103" s="4" t="str">
        <f>HYPERLINK("http://141.218.60.56/~jnz1568/getInfo.php?workbook=05_01.xlsx&amp;sheet=A0&amp;row=103&amp;col=16&amp;number=&amp;sourceID=12","")</f>
        <v/>
      </c>
      <c r="Q103" s="4" t="str">
        <f>HYPERLINK("http://141.218.60.56/~jnz1568/getInfo.php?workbook=05_01.xlsx&amp;sheet=A0&amp;row=103&amp;col=17&amp;number=121.26&amp;sourceID=12","121.26")</f>
        <v>121.26</v>
      </c>
      <c r="R103" s="4" t="str">
        <f>HYPERLINK("http://141.218.60.56/~jnz1568/getInfo.php?workbook=05_01.xlsx&amp;sheet=A0&amp;row=103&amp;col=18&amp;number=&amp;sourceID=12","")</f>
        <v/>
      </c>
      <c r="S103" s="4" t="str">
        <f>HYPERLINK("http://141.218.60.56/~jnz1568/getInfo.php?workbook=05_01.xlsx&amp;sheet=A0&amp;row=103&amp;col=19&amp;number=&amp;sourceID=12","")</f>
        <v/>
      </c>
      <c r="T103" s="4" t="str">
        <f>HYPERLINK("http://141.218.60.56/~jnz1568/getInfo.php?workbook=05_01.xlsx&amp;sheet=A0&amp;row=103&amp;col=20&amp;number=&amp;sourceID=12","")</f>
        <v/>
      </c>
    </row>
    <row r="104" spans="1:20">
      <c r="A104" s="3">
        <v>5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HYPERLINK("http://141.218.60.56/~jnz1568/getInfo.php?workbook=05_01.xlsx&amp;sheet=A0&amp;row=104&amp;col=6&amp;number=&amp;sourceID=18","")</f>
        <v/>
      </c>
      <c r="G104" s="4" t="str">
        <f>HYPERLINK("http://141.218.60.56/~jnz1568/getInfo.php?workbook=05_01.xlsx&amp;sheet=A0&amp;row=104&amp;col=7&amp;number==&amp;sourceID=11","=")</f>
        <v>=</v>
      </c>
      <c r="H104" s="4" t="str">
        <f>HYPERLINK("http://141.218.60.56/~jnz1568/getInfo.php?workbook=05_01.xlsx&amp;sheet=A0&amp;row=104&amp;col=8&amp;number=&amp;sourceID=11","")</f>
        <v/>
      </c>
      <c r="I104" s="4" t="str">
        <f>HYPERLINK("http://141.218.60.56/~jnz1568/getInfo.php?workbook=05_01.xlsx&amp;sheet=A0&amp;row=104&amp;col=9&amp;number=&amp;sourceID=11","")</f>
        <v/>
      </c>
      <c r="J104" s="4" t="str">
        <f>HYPERLINK("http://141.218.60.56/~jnz1568/getInfo.php?workbook=05_01.xlsx&amp;sheet=A0&amp;row=104&amp;col=10&amp;number=&amp;sourceID=11","")</f>
        <v/>
      </c>
      <c r="K104" s="4" t="str">
        <f>HYPERLINK("http://141.218.60.56/~jnz1568/getInfo.php?workbook=05_01.xlsx&amp;sheet=A0&amp;row=104&amp;col=11&amp;number=&amp;sourceID=11","")</f>
        <v/>
      </c>
      <c r="L104" s="4" t="str">
        <f>HYPERLINK("http://141.218.60.56/~jnz1568/getInfo.php?workbook=05_01.xlsx&amp;sheet=A0&amp;row=104&amp;col=12&amp;number=&amp;sourceID=11","")</f>
        <v/>
      </c>
      <c r="M104" s="4" t="str">
        <f>HYPERLINK("http://141.218.60.56/~jnz1568/getInfo.php?workbook=05_01.xlsx&amp;sheet=A0&amp;row=104&amp;col=13&amp;number=0.0010755&amp;sourceID=11","0.0010755")</f>
        <v>0.0010755</v>
      </c>
      <c r="N104" s="4" t="str">
        <f>HYPERLINK("http://141.218.60.56/~jnz1568/getInfo.php?workbook=05_01.xlsx&amp;sheet=A0&amp;row=104&amp;col=14&amp;number=0.0010756&amp;sourceID=12","0.0010756")</f>
        <v>0.0010756</v>
      </c>
      <c r="O104" s="4" t="str">
        <f>HYPERLINK("http://141.218.60.56/~jnz1568/getInfo.php?workbook=05_01.xlsx&amp;sheet=A0&amp;row=104&amp;col=15&amp;number=&amp;sourceID=12","")</f>
        <v/>
      </c>
      <c r="P104" s="4" t="str">
        <f>HYPERLINK("http://141.218.60.56/~jnz1568/getInfo.php?workbook=05_01.xlsx&amp;sheet=A0&amp;row=104&amp;col=16&amp;number=&amp;sourceID=12","")</f>
        <v/>
      </c>
      <c r="Q104" s="4" t="str">
        <f>HYPERLINK("http://141.218.60.56/~jnz1568/getInfo.php?workbook=05_01.xlsx&amp;sheet=A0&amp;row=104&amp;col=17&amp;number=&amp;sourceID=12","")</f>
        <v/>
      </c>
      <c r="R104" s="4" t="str">
        <f>HYPERLINK("http://141.218.60.56/~jnz1568/getInfo.php?workbook=05_01.xlsx&amp;sheet=A0&amp;row=104&amp;col=18&amp;number=&amp;sourceID=12","")</f>
        <v/>
      </c>
      <c r="S104" s="4" t="str">
        <f>HYPERLINK("http://141.218.60.56/~jnz1568/getInfo.php?workbook=05_01.xlsx&amp;sheet=A0&amp;row=104&amp;col=19&amp;number=&amp;sourceID=12","")</f>
        <v/>
      </c>
      <c r="T104" s="4" t="str">
        <f>HYPERLINK("http://141.218.60.56/~jnz1568/getInfo.php?workbook=05_01.xlsx&amp;sheet=A0&amp;row=104&amp;col=20&amp;number=0.0010756&amp;sourceID=12","0.0010756")</f>
        <v>0.0010756</v>
      </c>
    </row>
    <row r="105" spans="1:20">
      <c r="A105" s="3">
        <v>5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HYPERLINK("http://141.218.60.56/~jnz1568/getInfo.php?workbook=05_01.xlsx&amp;sheet=A0&amp;row=105&amp;col=6&amp;number=&amp;sourceID=18","")</f>
        <v/>
      </c>
      <c r="G105" s="4" t="str">
        <f>HYPERLINK("http://141.218.60.56/~jnz1568/getInfo.php?workbook=05_01.xlsx&amp;sheet=A0&amp;row=105&amp;col=7&amp;number==&amp;sourceID=11","=")</f>
        <v>=</v>
      </c>
      <c r="H105" s="4" t="str">
        <f>HYPERLINK("http://141.218.60.56/~jnz1568/getInfo.php?workbook=05_01.xlsx&amp;sheet=A0&amp;row=105&amp;col=8&amp;number=&amp;sourceID=11","")</f>
        <v/>
      </c>
      <c r="I105" s="4" t="str">
        <f>HYPERLINK("http://141.218.60.56/~jnz1568/getInfo.php?workbook=05_01.xlsx&amp;sheet=A0&amp;row=105&amp;col=9&amp;number=&amp;sourceID=11","")</f>
        <v/>
      </c>
      <c r="J105" s="4" t="str">
        <f>HYPERLINK("http://141.218.60.56/~jnz1568/getInfo.php?workbook=05_01.xlsx&amp;sheet=A0&amp;row=105&amp;col=10&amp;number=47.867&amp;sourceID=11","47.867")</f>
        <v>47.867</v>
      </c>
      <c r="K105" s="4" t="str">
        <f>HYPERLINK("http://141.218.60.56/~jnz1568/getInfo.php?workbook=05_01.xlsx&amp;sheet=A0&amp;row=105&amp;col=11&amp;number=&amp;sourceID=11","")</f>
        <v/>
      </c>
      <c r="L105" s="4" t="str">
        <f>HYPERLINK("http://141.218.60.56/~jnz1568/getInfo.php?workbook=05_01.xlsx&amp;sheet=A0&amp;row=105&amp;col=12&amp;number=&amp;sourceID=11","")</f>
        <v/>
      </c>
      <c r="M105" s="4" t="str">
        <f>HYPERLINK("http://141.218.60.56/~jnz1568/getInfo.php?workbook=05_01.xlsx&amp;sheet=A0&amp;row=105&amp;col=13&amp;number=&amp;sourceID=11","")</f>
        <v/>
      </c>
      <c r="N105" s="4" t="str">
        <f>HYPERLINK("http://141.218.60.56/~jnz1568/getInfo.php?workbook=05_01.xlsx&amp;sheet=A0&amp;row=105&amp;col=14&amp;number=47.87&amp;sourceID=12","47.87")</f>
        <v>47.87</v>
      </c>
      <c r="O105" s="4" t="str">
        <f>HYPERLINK("http://141.218.60.56/~jnz1568/getInfo.php?workbook=05_01.xlsx&amp;sheet=A0&amp;row=105&amp;col=15&amp;number=&amp;sourceID=12","")</f>
        <v/>
      </c>
      <c r="P105" s="4" t="str">
        <f>HYPERLINK("http://141.218.60.56/~jnz1568/getInfo.php?workbook=05_01.xlsx&amp;sheet=A0&amp;row=105&amp;col=16&amp;number=&amp;sourceID=12","")</f>
        <v/>
      </c>
      <c r="Q105" s="4" t="str">
        <f>HYPERLINK("http://141.218.60.56/~jnz1568/getInfo.php?workbook=05_01.xlsx&amp;sheet=A0&amp;row=105&amp;col=17&amp;number=47.87&amp;sourceID=12","47.87")</f>
        <v>47.87</v>
      </c>
      <c r="R105" s="4" t="str">
        <f>HYPERLINK("http://141.218.60.56/~jnz1568/getInfo.php?workbook=05_01.xlsx&amp;sheet=A0&amp;row=105&amp;col=18&amp;number=&amp;sourceID=12","")</f>
        <v/>
      </c>
      <c r="S105" s="4" t="str">
        <f>HYPERLINK("http://141.218.60.56/~jnz1568/getInfo.php?workbook=05_01.xlsx&amp;sheet=A0&amp;row=105&amp;col=19&amp;number=&amp;sourceID=12","")</f>
        <v/>
      </c>
      <c r="T105" s="4" t="str">
        <f>HYPERLINK("http://141.218.60.56/~jnz1568/getInfo.php?workbook=05_01.xlsx&amp;sheet=A0&amp;row=105&amp;col=20&amp;number=&amp;sourceID=12","")</f>
        <v/>
      </c>
    </row>
    <row r="106" spans="1:20">
      <c r="A106" s="3">
        <v>5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HYPERLINK("http://141.218.60.56/~jnz1568/getInfo.php?workbook=05_01.xlsx&amp;sheet=A0&amp;row=106&amp;col=6&amp;number=&amp;sourceID=18","")</f>
        <v/>
      </c>
      <c r="G106" s="4" t="str">
        <f>HYPERLINK("http://141.218.60.56/~jnz1568/getInfo.php?workbook=05_01.xlsx&amp;sheet=A0&amp;row=106&amp;col=7&amp;number==&amp;sourceID=11","=")</f>
        <v>=</v>
      </c>
      <c r="H106" s="4" t="str">
        <f>HYPERLINK("http://141.218.60.56/~jnz1568/getInfo.php?workbook=05_01.xlsx&amp;sheet=A0&amp;row=106&amp;col=8&amp;number=&amp;sourceID=11","")</f>
        <v/>
      </c>
      <c r="I106" s="4" t="str">
        <f>HYPERLINK("http://141.218.60.56/~jnz1568/getInfo.php?workbook=05_01.xlsx&amp;sheet=A0&amp;row=106&amp;col=9&amp;number=965510&amp;sourceID=11","965510")</f>
        <v>965510</v>
      </c>
      <c r="J106" s="4" t="str">
        <f>HYPERLINK("http://141.218.60.56/~jnz1568/getInfo.php?workbook=05_01.xlsx&amp;sheet=A0&amp;row=106&amp;col=10&amp;number=&amp;sourceID=11","")</f>
        <v/>
      </c>
      <c r="K106" s="4" t="str">
        <f>HYPERLINK("http://141.218.60.56/~jnz1568/getInfo.php?workbook=05_01.xlsx&amp;sheet=A0&amp;row=106&amp;col=11&amp;number=&amp;sourceID=11","")</f>
        <v/>
      </c>
      <c r="L106" s="4" t="str">
        <f>HYPERLINK("http://141.218.60.56/~jnz1568/getInfo.php?workbook=05_01.xlsx&amp;sheet=A0&amp;row=106&amp;col=12&amp;number=&amp;sourceID=11","")</f>
        <v/>
      </c>
      <c r="M106" s="4" t="str">
        <f>HYPERLINK("http://141.218.60.56/~jnz1568/getInfo.php?workbook=05_01.xlsx&amp;sheet=A0&amp;row=106&amp;col=13&amp;number=0.0032235&amp;sourceID=11","0.0032235")</f>
        <v>0.0032235</v>
      </c>
      <c r="N106" s="4" t="str">
        <f>HYPERLINK("http://141.218.60.56/~jnz1568/getInfo.php?workbook=05_01.xlsx&amp;sheet=A0&amp;row=106&amp;col=14&amp;number=965560&amp;sourceID=12","965560")</f>
        <v>965560</v>
      </c>
      <c r="O106" s="4" t="str">
        <f>HYPERLINK("http://141.218.60.56/~jnz1568/getInfo.php?workbook=05_01.xlsx&amp;sheet=A0&amp;row=106&amp;col=15&amp;number=&amp;sourceID=12","")</f>
        <v/>
      </c>
      <c r="P106" s="4" t="str">
        <f>HYPERLINK("http://141.218.60.56/~jnz1568/getInfo.php?workbook=05_01.xlsx&amp;sheet=A0&amp;row=106&amp;col=16&amp;number=965560&amp;sourceID=12","965560")</f>
        <v>965560</v>
      </c>
      <c r="Q106" s="4" t="str">
        <f>HYPERLINK("http://141.218.60.56/~jnz1568/getInfo.php?workbook=05_01.xlsx&amp;sheet=A0&amp;row=106&amp;col=17&amp;number=&amp;sourceID=12","")</f>
        <v/>
      </c>
      <c r="R106" s="4" t="str">
        <f>HYPERLINK("http://141.218.60.56/~jnz1568/getInfo.php?workbook=05_01.xlsx&amp;sheet=A0&amp;row=106&amp;col=18&amp;number=&amp;sourceID=12","")</f>
        <v/>
      </c>
      <c r="S106" s="4" t="str">
        <f>HYPERLINK("http://141.218.60.56/~jnz1568/getInfo.php?workbook=05_01.xlsx&amp;sheet=A0&amp;row=106&amp;col=19&amp;number=&amp;sourceID=12","")</f>
        <v/>
      </c>
      <c r="T106" s="4" t="str">
        <f>HYPERLINK("http://141.218.60.56/~jnz1568/getInfo.php?workbook=05_01.xlsx&amp;sheet=A0&amp;row=106&amp;col=20&amp;number=0.0032236&amp;sourceID=12","0.0032236")</f>
        <v>0.0032236</v>
      </c>
    </row>
    <row r="107" spans="1:20">
      <c r="A107" s="3">
        <v>5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HYPERLINK("http://141.218.60.56/~jnz1568/getInfo.php?workbook=05_01.xlsx&amp;sheet=A0&amp;row=107&amp;col=6&amp;number=&amp;sourceID=18","")</f>
        <v/>
      </c>
      <c r="G107" s="4" t="str">
        <f>HYPERLINK("http://141.218.60.56/~jnz1568/getInfo.php?workbook=05_01.xlsx&amp;sheet=A0&amp;row=107&amp;col=7&amp;number==&amp;sourceID=11","=")</f>
        <v>=</v>
      </c>
      <c r="H107" s="4" t="str">
        <f>HYPERLINK("http://141.218.60.56/~jnz1568/getInfo.php?workbook=05_01.xlsx&amp;sheet=A0&amp;row=107&amp;col=8&amp;number=&amp;sourceID=11","")</f>
        <v/>
      </c>
      <c r="I107" s="4" t="str">
        <f>HYPERLINK("http://141.218.60.56/~jnz1568/getInfo.php?workbook=05_01.xlsx&amp;sheet=A0&amp;row=107&amp;col=9&amp;number=&amp;sourceID=11","")</f>
        <v/>
      </c>
      <c r="J107" s="4" t="str">
        <f>HYPERLINK("http://141.218.60.56/~jnz1568/getInfo.php?workbook=05_01.xlsx&amp;sheet=A0&amp;row=107&amp;col=10&amp;number=&amp;sourceID=11","")</f>
        <v/>
      </c>
      <c r="K107" s="4" t="str">
        <f>HYPERLINK("http://141.218.60.56/~jnz1568/getInfo.php?workbook=05_01.xlsx&amp;sheet=A0&amp;row=107&amp;col=11&amp;number=&amp;sourceID=11","")</f>
        <v/>
      </c>
      <c r="L107" s="4" t="str">
        <f>HYPERLINK("http://141.218.60.56/~jnz1568/getInfo.php?workbook=05_01.xlsx&amp;sheet=A0&amp;row=107&amp;col=12&amp;number=&amp;sourceID=11","")</f>
        <v/>
      </c>
      <c r="M107" s="4" t="str">
        <f>HYPERLINK("http://141.218.60.56/~jnz1568/getInfo.php?workbook=05_01.xlsx&amp;sheet=A0&amp;row=107&amp;col=13&amp;number=6.7873e-06&amp;sourceID=11","6.7873e-06")</f>
        <v>6.7873e-06</v>
      </c>
      <c r="N107" s="4" t="str">
        <f>HYPERLINK("http://141.218.60.56/~jnz1568/getInfo.php?workbook=05_01.xlsx&amp;sheet=A0&amp;row=107&amp;col=14&amp;number=6.7876e-06&amp;sourceID=12","6.7876e-06")</f>
        <v>6.7876e-06</v>
      </c>
      <c r="O107" s="4" t="str">
        <f>HYPERLINK("http://141.218.60.56/~jnz1568/getInfo.php?workbook=05_01.xlsx&amp;sheet=A0&amp;row=107&amp;col=15&amp;number=&amp;sourceID=12","")</f>
        <v/>
      </c>
      <c r="P107" s="4" t="str">
        <f>HYPERLINK("http://141.218.60.56/~jnz1568/getInfo.php?workbook=05_01.xlsx&amp;sheet=A0&amp;row=107&amp;col=16&amp;number=&amp;sourceID=12","")</f>
        <v/>
      </c>
      <c r="Q107" s="4" t="str">
        <f>HYPERLINK("http://141.218.60.56/~jnz1568/getInfo.php?workbook=05_01.xlsx&amp;sheet=A0&amp;row=107&amp;col=17&amp;number=&amp;sourceID=12","")</f>
        <v/>
      </c>
      <c r="R107" s="4" t="str">
        <f>HYPERLINK("http://141.218.60.56/~jnz1568/getInfo.php?workbook=05_01.xlsx&amp;sheet=A0&amp;row=107&amp;col=18&amp;number=&amp;sourceID=12","")</f>
        <v/>
      </c>
      <c r="S107" s="4" t="str">
        <f>HYPERLINK("http://141.218.60.56/~jnz1568/getInfo.php?workbook=05_01.xlsx&amp;sheet=A0&amp;row=107&amp;col=19&amp;number=&amp;sourceID=12","")</f>
        <v/>
      </c>
      <c r="T107" s="4" t="str">
        <f>HYPERLINK("http://141.218.60.56/~jnz1568/getInfo.php?workbook=05_01.xlsx&amp;sheet=A0&amp;row=107&amp;col=20&amp;number=6.7876e-06&amp;sourceID=12","6.7876e-06")</f>
        <v>6.7876e-06</v>
      </c>
    </row>
    <row r="108" spans="1:20">
      <c r="A108" s="3">
        <v>5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HYPERLINK("http://141.218.60.56/~jnz1568/getInfo.php?workbook=05_01.xlsx&amp;sheet=A0&amp;row=108&amp;col=6&amp;number=&amp;sourceID=18","")</f>
        <v/>
      </c>
      <c r="G108" s="4" t="str">
        <f>HYPERLINK("http://141.218.60.56/~jnz1568/getInfo.php?workbook=05_01.xlsx&amp;sheet=A0&amp;row=108&amp;col=7&amp;number==&amp;sourceID=11","=")</f>
        <v>=</v>
      </c>
      <c r="H108" s="4" t="str">
        <f>HYPERLINK("http://141.218.60.56/~jnz1568/getInfo.php?workbook=05_01.xlsx&amp;sheet=A0&amp;row=108&amp;col=8&amp;number=&amp;sourceID=11","")</f>
        <v/>
      </c>
      <c r="I108" s="4" t="str">
        <f>HYPERLINK("http://141.218.60.56/~jnz1568/getInfo.php?workbook=05_01.xlsx&amp;sheet=A0&amp;row=108&amp;col=9&amp;number=&amp;sourceID=11","")</f>
        <v/>
      </c>
      <c r="J108" s="4" t="str">
        <f>HYPERLINK("http://141.218.60.56/~jnz1568/getInfo.php?workbook=05_01.xlsx&amp;sheet=A0&amp;row=108&amp;col=10&amp;number=0.43848&amp;sourceID=11","0.43848")</f>
        <v>0.43848</v>
      </c>
      <c r="K108" s="4" t="str">
        <f>HYPERLINK("http://141.218.60.56/~jnz1568/getInfo.php?workbook=05_01.xlsx&amp;sheet=A0&amp;row=108&amp;col=11&amp;number=&amp;sourceID=11","")</f>
        <v/>
      </c>
      <c r="L108" s="4" t="str">
        <f>HYPERLINK("http://141.218.60.56/~jnz1568/getInfo.php?workbook=05_01.xlsx&amp;sheet=A0&amp;row=108&amp;col=12&amp;number=&amp;sourceID=11","")</f>
        <v/>
      </c>
      <c r="M108" s="4" t="str">
        <f>HYPERLINK("http://141.218.60.56/~jnz1568/getInfo.php?workbook=05_01.xlsx&amp;sheet=A0&amp;row=108&amp;col=13&amp;number=&amp;sourceID=11","")</f>
        <v/>
      </c>
      <c r="N108" s="4" t="str">
        <f>HYPERLINK("http://141.218.60.56/~jnz1568/getInfo.php?workbook=05_01.xlsx&amp;sheet=A0&amp;row=108&amp;col=14&amp;number=0.4385&amp;sourceID=12","0.4385")</f>
        <v>0.4385</v>
      </c>
      <c r="O108" s="4" t="str">
        <f>HYPERLINK("http://141.218.60.56/~jnz1568/getInfo.php?workbook=05_01.xlsx&amp;sheet=A0&amp;row=108&amp;col=15&amp;number=&amp;sourceID=12","")</f>
        <v/>
      </c>
      <c r="P108" s="4" t="str">
        <f>HYPERLINK("http://141.218.60.56/~jnz1568/getInfo.php?workbook=05_01.xlsx&amp;sheet=A0&amp;row=108&amp;col=16&amp;number=&amp;sourceID=12","")</f>
        <v/>
      </c>
      <c r="Q108" s="4" t="str">
        <f>HYPERLINK("http://141.218.60.56/~jnz1568/getInfo.php?workbook=05_01.xlsx&amp;sheet=A0&amp;row=108&amp;col=17&amp;number=0.4385&amp;sourceID=12","0.4385")</f>
        <v>0.4385</v>
      </c>
      <c r="R108" s="4" t="str">
        <f>HYPERLINK("http://141.218.60.56/~jnz1568/getInfo.php?workbook=05_01.xlsx&amp;sheet=A0&amp;row=108&amp;col=18&amp;number=&amp;sourceID=12","")</f>
        <v/>
      </c>
      <c r="S108" s="4" t="str">
        <f>HYPERLINK("http://141.218.60.56/~jnz1568/getInfo.php?workbook=05_01.xlsx&amp;sheet=A0&amp;row=108&amp;col=19&amp;number=&amp;sourceID=12","")</f>
        <v/>
      </c>
      <c r="T108" s="4" t="str">
        <f>HYPERLINK("http://141.218.60.56/~jnz1568/getInfo.php?workbook=05_01.xlsx&amp;sheet=A0&amp;row=108&amp;col=20&amp;number=&amp;sourceID=12","")</f>
        <v/>
      </c>
    </row>
    <row r="109" spans="1:20">
      <c r="A109" s="3">
        <v>5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HYPERLINK("http://141.218.60.56/~jnz1568/getInfo.php?workbook=05_01.xlsx&amp;sheet=A0&amp;row=109&amp;col=6&amp;number=&amp;sourceID=18","")</f>
        <v/>
      </c>
      <c r="G109" s="4" t="str">
        <f>HYPERLINK("http://141.218.60.56/~jnz1568/getInfo.php?workbook=05_01.xlsx&amp;sheet=A0&amp;row=109&amp;col=7&amp;number==&amp;sourceID=11","=")</f>
        <v>=</v>
      </c>
      <c r="H109" s="4" t="str">
        <f>HYPERLINK("http://141.218.60.56/~jnz1568/getInfo.php?workbook=05_01.xlsx&amp;sheet=A0&amp;row=109&amp;col=8&amp;number=&amp;sourceID=11","")</f>
        <v/>
      </c>
      <c r="I109" s="4" t="str">
        <f>HYPERLINK("http://141.218.60.56/~jnz1568/getInfo.php?workbook=05_01.xlsx&amp;sheet=A0&amp;row=109&amp;col=9&amp;number=&amp;sourceID=11","")</f>
        <v/>
      </c>
      <c r="J109" s="4" t="str">
        <f>HYPERLINK("http://141.218.60.56/~jnz1568/getInfo.php?workbook=05_01.xlsx&amp;sheet=A0&amp;row=109&amp;col=10&amp;number=0.052675&amp;sourceID=11","0.052675")</f>
        <v>0.052675</v>
      </c>
      <c r="K109" s="4" t="str">
        <f>HYPERLINK("http://141.218.60.56/~jnz1568/getInfo.php?workbook=05_01.xlsx&amp;sheet=A0&amp;row=109&amp;col=11&amp;number=&amp;sourceID=11","")</f>
        <v/>
      </c>
      <c r="L109" s="4" t="str">
        <f>HYPERLINK("http://141.218.60.56/~jnz1568/getInfo.php?workbook=05_01.xlsx&amp;sheet=A0&amp;row=109&amp;col=12&amp;number=0.48173&amp;sourceID=11","0.48173")</f>
        <v>0.48173</v>
      </c>
      <c r="M109" s="4" t="str">
        <f>HYPERLINK("http://141.218.60.56/~jnz1568/getInfo.php?workbook=05_01.xlsx&amp;sheet=A0&amp;row=109&amp;col=13&amp;number=&amp;sourceID=11","")</f>
        <v/>
      </c>
      <c r="N109" s="4" t="str">
        <f>HYPERLINK("http://141.218.60.56/~jnz1568/getInfo.php?workbook=05_01.xlsx&amp;sheet=A0&amp;row=109&amp;col=14&amp;number=0.53444&amp;sourceID=12","0.53444")</f>
        <v>0.53444</v>
      </c>
      <c r="O109" s="4" t="str">
        <f>HYPERLINK("http://141.218.60.56/~jnz1568/getInfo.php?workbook=05_01.xlsx&amp;sheet=A0&amp;row=109&amp;col=15&amp;number=&amp;sourceID=12","")</f>
        <v/>
      </c>
      <c r="P109" s="4" t="str">
        <f>HYPERLINK("http://141.218.60.56/~jnz1568/getInfo.php?workbook=05_01.xlsx&amp;sheet=A0&amp;row=109&amp;col=16&amp;number=&amp;sourceID=12","")</f>
        <v/>
      </c>
      <c r="Q109" s="4" t="str">
        <f>HYPERLINK("http://141.218.60.56/~jnz1568/getInfo.php?workbook=05_01.xlsx&amp;sheet=A0&amp;row=109&amp;col=17&amp;number=0.052678&amp;sourceID=12","0.052678")</f>
        <v>0.052678</v>
      </c>
      <c r="R109" s="4" t="str">
        <f>HYPERLINK("http://141.218.60.56/~jnz1568/getInfo.php?workbook=05_01.xlsx&amp;sheet=A0&amp;row=109&amp;col=18&amp;number=&amp;sourceID=12","")</f>
        <v/>
      </c>
      <c r="S109" s="4" t="str">
        <f>HYPERLINK("http://141.218.60.56/~jnz1568/getInfo.php?workbook=05_01.xlsx&amp;sheet=A0&amp;row=109&amp;col=19&amp;number=0.48176&amp;sourceID=12","0.48176")</f>
        <v>0.48176</v>
      </c>
      <c r="T109" s="4" t="str">
        <f>HYPERLINK("http://141.218.60.56/~jnz1568/getInfo.php?workbook=05_01.xlsx&amp;sheet=A0&amp;row=109&amp;col=20&amp;number=&amp;sourceID=12","")</f>
        <v/>
      </c>
    </row>
    <row r="110" spans="1:20">
      <c r="A110" s="3">
        <v>5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HYPERLINK("http://141.218.60.56/~jnz1568/getInfo.php?workbook=05_01.xlsx&amp;sheet=A0&amp;row=110&amp;col=6&amp;number=&amp;sourceID=18","")</f>
        <v/>
      </c>
      <c r="G110" s="4" t="str">
        <f>HYPERLINK("http://141.218.60.56/~jnz1568/getInfo.php?workbook=05_01.xlsx&amp;sheet=A0&amp;row=110&amp;col=7&amp;number==&amp;sourceID=11","=")</f>
        <v>=</v>
      </c>
      <c r="H110" s="4" t="str">
        <f>HYPERLINK("http://141.218.60.56/~jnz1568/getInfo.php?workbook=05_01.xlsx&amp;sheet=A0&amp;row=110&amp;col=8&amp;number=&amp;sourceID=11","")</f>
        <v/>
      </c>
      <c r="I110" s="4" t="str">
        <f>HYPERLINK("http://141.218.60.56/~jnz1568/getInfo.php?workbook=05_01.xlsx&amp;sheet=A0&amp;row=110&amp;col=9&amp;number=90472&amp;sourceID=11","90472")</f>
        <v>90472</v>
      </c>
      <c r="J110" s="4" t="str">
        <f>HYPERLINK("http://141.218.60.56/~jnz1568/getInfo.php?workbook=05_01.xlsx&amp;sheet=A0&amp;row=110&amp;col=10&amp;number=&amp;sourceID=11","")</f>
        <v/>
      </c>
      <c r="K110" s="4" t="str">
        <f>HYPERLINK("http://141.218.60.56/~jnz1568/getInfo.php?workbook=05_01.xlsx&amp;sheet=A0&amp;row=110&amp;col=11&amp;number=&amp;sourceID=11","")</f>
        <v/>
      </c>
      <c r="L110" s="4" t="str">
        <f>HYPERLINK("http://141.218.60.56/~jnz1568/getInfo.php?workbook=05_01.xlsx&amp;sheet=A0&amp;row=110&amp;col=12&amp;number=&amp;sourceID=11","")</f>
        <v/>
      </c>
      <c r="M110" s="4" t="str">
        <f>HYPERLINK("http://141.218.60.56/~jnz1568/getInfo.php?workbook=05_01.xlsx&amp;sheet=A0&amp;row=110&amp;col=13&amp;number=2.0307e-05&amp;sourceID=11","2.0307e-05")</f>
        <v>2.0307e-05</v>
      </c>
      <c r="N110" s="4" t="str">
        <f>HYPERLINK("http://141.218.60.56/~jnz1568/getInfo.php?workbook=05_01.xlsx&amp;sheet=A0&amp;row=110&amp;col=14&amp;number=90476&amp;sourceID=12","90476")</f>
        <v>90476</v>
      </c>
      <c r="O110" s="4" t="str">
        <f>HYPERLINK("http://141.218.60.56/~jnz1568/getInfo.php?workbook=05_01.xlsx&amp;sheet=A0&amp;row=110&amp;col=15&amp;number=&amp;sourceID=12","")</f>
        <v/>
      </c>
      <c r="P110" s="4" t="str">
        <f>HYPERLINK("http://141.218.60.56/~jnz1568/getInfo.php?workbook=05_01.xlsx&amp;sheet=A0&amp;row=110&amp;col=16&amp;number=90476&amp;sourceID=12","90476")</f>
        <v>90476</v>
      </c>
      <c r="Q110" s="4" t="str">
        <f>HYPERLINK("http://141.218.60.56/~jnz1568/getInfo.php?workbook=05_01.xlsx&amp;sheet=A0&amp;row=110&amp;col=17&amp;number=&amp;sourceID=12","")</f>
        <v/>
      </c>
      <c r="R110" s="4" t="str">
        <f>HYPERLINK("http://141.218.60.56/~jnz1568/getInfo.php?workbook=05_01.xlsx&amp;sheet=A0&amp;row=110&amp;col=18&amp;number=&amp;sourceID=12","")</f>
        <v/>
      </c>
      <c r="S110" s="4" t="str">
        <f>HYPERLINK("http://141.218.60.56/~jnz1568/getInfo.php?workbook=05_01.xlsx&amp;sheet=A0&amp;row=110&amp;col=19&amp;number=&amp;sourceID=12","")</f>
        <v/>
      </c>
      <c r="T110" s="4" t="str">
        <f>HYPERLINK("http://141.218.60.56/~jnz1568/getInfo.php?workbook=05_01.xlsx&amp;sheet=A0&amp;row=110&amp;col=20&amp;number=2.0308e-05&amp;sourceID=12","2.0308e-05")</f>
        <v>2.0308e-05</v>
      </c>
    </row>
    <row r="111" spans="1:20">
      <c r="A111" s="3">
        <v>5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HYPERLINK("http://141.218.60.56/~jnz1568/getInfo.php?workbook=05_01.xlsx&amp;sheet=A0&amp;row=111&amp;col=6&amp;number=&amp;sourceID=18","")</f>
        <v/>
      </c>
      <c r="G111" s="4" t="str">
        <f>HYPERLINK("http://141.218.60.56/~jnz1568/getInfo.php?workbook=05_01.xlsx&amp;sheet=A0&amp;row=111&amp;col=7&amp;number==&amp;sourceID=11","=")</f>
        <v>=</v>
      </c>
      <c r="H111" s="4" t="str">
        <f>HYPERLINK("http://141.218.60.56/~jnz1568/getInfo.php?workbook=05_01.xlsx&amp;sheet=A0&amp;row=111&amp;col=8&amp;number=8621600000&amp;sourceID=11","8621600000")</f>
        <v>8621600000</v>
      </c>
      <c r="I111" s="4" t="str">
        <f>HYPERLINK("http://141.218.60.56/~jnz1568/getInfo.php?workbook=05_01.xlsx&amp;sheet=A0&amp;row=111&amp;col=9&amp;number=&amp;sourceID=11","")</f>
        <v/>
      </c>
      <c r="J111" s="4" t="str">
        <f>HYPERLINK("http://141.218.60.56/~jnz1568/getInfo.php?workbook=05_01.xlsx&amp;sheet=A0&amp;row=111&amp;col=10&amp;number=0.15792&amp;sourceID=11","0.15792")</f>
        <v>0.15792</v>
      </c>
      <c r="K111" s="4" t="str">
        <f>HYPERLINK("http://141.218.60.56/~jnz1568/getInfo.php?workbook=05_01.xlsx&amp;sheet=A0&amp;row=111&amp;col=11&amp;number=&amp;sourceID=11","")</f>
        <v/>
      </c>
      <c r="L111" s="4" t="str">
        <f>HYPERLINK("http://141.218.60.56/~jnz1568/getInfo.php?workbook=05_01.xlsx&amp;sheet=A0&amp;row=111&amp;col=12&amp;number=3.3176&amp;sourceID=11","3.3176")</f>
        <v>3.3176</v>
      </c>
      <c r="M111" s="4" t="str">
        <f>HYPERLINK("http://141.218.60.56/~jnz1568/getInfo.php?workbook=05_01.xlsx&amp;sheet=A0&amp;row=111&amp;col=13&amp;number=&amp;sourceID=11","")</f>
        <v/>
      </c>
      <c r="N111" s="4" t="str">
        <f>HYPERLINK("http://141.218.60.56/~jnz1568/getInfo.php?workbook=05_01.xlsx&amp;sheet=A0&amp;row=111&amp;col=14&amp;number=8622000000&amp;sourceID=12","8622000000")</f>
        <v>8622000000</v>
      </c>
      <c r="O111" s="4" t="str">
        <f>HYPERLINK("http://141.218.60.56/~jnz1568/getInfo.php?workbook=05_01.xlsx&amp;sheet=A0&amp;row=111&amp;col=15&amp;number=8622000000&amp;sourceID=12","8622000000")</f>
        <v>8622000000</v>
      </c>
      <c r="P111" s="4" t="str">
        <f>HYPERLINK("http://141.218.60.56/~jnz1568/getInfo.php?workbook=05_01.xlsx&amp;sheet=A0&amp;row=111&amp;col=16&amp;number=&amp;sourceID=12","")</f>
        <v/>
      </c>
      <c r="Q111" s="4" t="str">
        <f>HYPERLINK("http://141.218.60.56/~jnz1568/getInfo.php?workbook=05_01.xlsx&amp;sheet=A0&amp;row=111&amp;col=17&amp;number=0.15793&amp;sourceID=12","0.15793")</f>
        <v>0.15793</v>
      </c>
      <c r="R111" s="4" t="str">
        <f>HYPERLINK("http://141.218.60.56/~jnz1568/getInfo.php?workbook=05_01.xlsx&amp;sheet=A0&amp;row=111&amp;col=18&amp;number=&amp;sourceID=12","")</f>
        <v/>
      </c>
      <c r="S111" s="4" t="str">
        <f>HYPERLINK("http://141.218.60.56/~jnz1568/getInfo.php?workbook=05_01.xlsx&amp;sheet=A0&amp;row=111&amp;col=19&amp;number=3.3178&amp;sourceID=12","3.3178")</f>
        <v>3.3178</v>
      </c>
      <c r="T111" s="4" t="str">
        <f>HYPERLINK("http://141.218.60.56/~jnz1568/getInfo.php?workbook=05_01.xlsx&amp;sheet=A0&amp;row=111&amp;col=20&amp;number=&amp;sourceID=12","")</f>
        <v/>
      </c>
    </row>
    <row r="112" spans="1:20">
      <c r="A112" s="3">
        <v>5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HYPERLINK("http://141.218.60.56/~jnz1568/getInfo.php?workbook=05_01.xlsx&amp;sheet=A0&amp;row=112&amp;col=6&amp;number=&amp;sourceID=18","")</f>
        <v/>
      </c>
      <c r="G112" s="4" t="str">
        <f>HYPERLINK("http://141.218.60.56/~jnz1568/getInfo.php?workbook=05_01.xlsx&amp;sheet=A0&amp;row=112&amp;col=7&amp;number==&amp;sourceID=11","=")</f>
        <v>=</v>
      </c>
      <c r="H112" s="4" t="str">
        <f>HYPERLINK("http://141.218.60.56/~jnz1568/getInfo.php?workbook=05_01.xlsx&amp;sheet=A0&amp;row=112&amp;col=8&amp;number=&amp;sourceID=11","")</f>
        <v/>
      </c>
      <c r="I112" s="4" t="str">
        <f>HYPERLINK("http://141.218.60.56/~jnz1568/getInfo.php?workbook=05_01.xlsx&amp;sheet=A0&amp;row=112&amp;col=9&amp;number=&amp;sourceID=11","")</f>
        <v/>
      </c>
      <c r="J112" s="4" t="str">
        <f>HYPERLINK("http://141.218.60.56/~jnz1568/getInfo.php?workbook=05_01.xlsx&amp;sheet=A0&amp;row=112&amp;col=10&amp;number=&amp;sourceID=11","")</f>
        <v/>
      </c>
      <c r="K112" s="4" t="str">
        <f>HYPERLINK("http://141.218.60.56/~jnz1568/getInfo.php?workbook=05_01.xlsx&amp;sheet=A0&amp;row=112&amp;col=11&amp;number=&amp;sourceID=11","")</f>
        <v/>
      </c>
      <c r="L112" s="4" t="str">
        <f>HYPERLINK("http://141.218.60.56/~jnz1568/getInfo.php?workbook=05_01.xlsx&amp;sheet=A0&amp;row=112&amp;col=12&amp;number=&amp;sourceID=11","")</f>
        <v/>
      </c>
      <c r="M112" s="4" t="str">
        <f>HYPERLINK("http://141.218.60.56/~jnz1568/getInfo.php?workbook=05_01.xlsx&amp;sheet=A0&amp;row=112&amp;col=13&amp;number=0&amp;sourceID=11","0")</f>
        <v>0</v>
      </c>
      <c r="N112" s="4" t="str">
        <f>HYPERLINK("http://141.218.60.56/~jnz1568/getInfo.php?workbook=05_01.xlsx&amp;sheet=A0&amp;row=112&amp;col=14&amp;number=0&amp;sourceID=12","0")</f>
        <v>0</v>
      </c>
      <c r="O112" s="4" t="str">
        <f>HYPERLINK("http://141.218.60.56/~jnz1568/getInfo.php?workbook=05_01.xlsx&amp;sheet=A0&amp;row=112&amp;col=15&amp;number=&amp;sourceID=12","")</f>
        <v/>
      </c>
      <c r="P112" s="4" t="str">
        <f>HYPERLINK("http://141.218.60.56/~jnz1568/getInfo.php?workbook=05_01.xlsx&amp;sheet=A0&amp;row=112&amp;col=16&amp;number=&amp;sourceID=12","")</f>
        <v/>
      </c>
      <c r="Q112" s="4" t="str">
        <f>HYPERLINK("http://141.218.60.56/~jnz1568/getInfo.php?workbook=05_01.xlsx&amp;sheet=A0&amp;row=112&amp;col=17&amp;number=&amp;sourceID=12","")</f>
        <v/>
      </c>
      <c r="R112" s="4" t="str">
        <f>HYPERLINK("http://141.218.60.56/~jnz1568/getInfo.php?workbook=05_01.xlsx&amp;sheet=A0&amp;row=112&amp;col=18&amp;number=&amp;sourceID=12","")</f>
        <v/>
      </c>
      <c r="S112" s="4" t="str">
        <f>HYPERLINK("http://141.218.60.56/~jnz1568/getInfo.php?workbook=05_01.xlsx&amp;sheet=A0&amp;row=112&amp;col=19&amp;number=&amp;sourceID=12","")</f>
        <v/>
      </c>
      <c r="T112" s="4" t="str">
        <f>HYPERLINK("http://141.218.60.56/~jnz1568/getInfo.php?workbook=05_01.xlsx&amp;sheet=A0&amp;row=112&amp;col=20&amp;number=0&amp;sourceID=12","0")</f>
        <v>0</v>
      </c>
    </row>
    <row r="113" spans="1:20">
      <c r="A113" s="3">
        <v>5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HYPERLINK("http://141.218.60.56/~jnz1568/getInfo.php?workbook=05_01.xlsx&amp;sheet=A0&amp;row=113&amp;col=6&amp;number=&amp;sourceID=18","")</f>
        <v/>
      </c>
      <c r="G113" s="4" t="str">
        <f>HYPERLINK("http://141.218.60.56/~jnz1568/getInfo.php?workbook=05_01.xlsx&amp;sheet=A0&amp;row=113&amp;col=7&amp;number==&amp;sourceID=11","=")</f>
        <v>=</v>
      </c>
      <c r="H113" s="4" t="str">
        <f>HYPERLINK("http://141.218.60.56/~jnz1568/getInfo.php?workbook=05_01.xlsx&amp;sheet=A0&amp;row=113&amp;col=8&amp;number=&amp;sourceID=11","")</f>
        <v/>
      </c>
      <c r="I113" s="4" t="str">
        <f>HYPERLINK("http://141.218.60.56/~jnz1568/getInfo.php?workbook=05_01.xlsx&amp;sheet=A0&amp;row=113&amp;col=9&amp;number=&amp;sourceID=11","")</f>
        <v/>
      </c>
      <c r="J113" s="4" t="str">
        <f>HYPERLINK("http://141.218.60.56/~jnz1568/getInfo.php?workbook=05_01.xlsx&amp;sheet=A0&amp;row=113&amp;col=10&amp;number=0&amp;sourceID=11","0")</f>
        <v>0</v>
      </c>
      <c r="K113" s="4" t="str">
        <f>HYPERLINK("http://141.218.60.56/~jnz1568/getInfo.php?workbook=05_01.xlsx&amp;sheet=A0&amp;row=113&amp;col=11&amp;number=&amp;sourceID=11","")</f>
        <v/>
      </c>
      <c r="L113" s="4" t="str">
        <f>HYPERLINK("http://141.218.60.56/~jnz1568/getInfo.php?workbook=05_01.xlsx&amp;sheet=A0&amp;row=113&amp;col=12&amp;number=&amp;sourceID=11","")</f>
        <v/>
      </c>
      <c r="M113" s="4" t="str">
        <f>HYPERLINK("http://141.218.60.56/~jnz1568/getInfo.php?workbook=05_01.xlsx&amp;sheet=A0&amp;row=113&amp;col=13&amp;number=&amp;sourceID=11","")</f>
        <v/>
      </c>
      <c r="N113" s="4" t="str">
        <f>HYPERLINK("http://141.218.60.56/~jnz1568/getInfo.php?workbook=05_01.xlsx&amp;sheet=A0&amp;row=113&amp;col=14&amp;number=0&amp;sourceID=12","0")</f>
        <v>0</v>
      </c>
      <c r="O113" s="4" t="str">
        <f>HYPERLINK("http://141.218.60.56/~jnz1568/getInfo.php?workbook=05_01.xlsx&amp;sheet=A0&amp;row=113&amp;col=15&amp;number=&amp;sourceID=12","")</f>
        <v/>
      </c>
      <c r="P113" s="4" t="str">
        <f>HYPERLINK("http://141.218.60.56/~jnz1568/getInfo.php?workbook=05_01.xlsx&amp;sheet=A0&amp;row=113&amp;col=16&amp;number=&amp;sourceID=12","")</f>
        <v/>
      </c>
      <c r="Q113" s="4" t="str">
        <f>HYPERLINK("http://141.218.60.56/~jnz1568/getInfo.php?workbook=05_01.xlsx&amp;sheet=A0&amp;row=113&amp;col=17&amp;number=0&amp;sourceID=12","0")</f>
        <v>0</v>
      </c>
      <c r="R113" s="4" t="str">
        <f>HYPERLINK("http://141.218.60.56/~jnz1568/getInfo.php?workbook=05_01.xlsx&amp;sheet=A0&amp;row=113&amp;col=18&amp;number=&amp;sourceID=12","")</f>
        <v/>
      </c>
      <c r="S113" s="4" t="str">
        <f>HYPERLINK("http://141.218.60.56/~jnz1568/getInfo.php?workbook=05_01.xlsx&amp;sheet=A0&amp;row=113&amp;col=19&amp;number=&amp;sourceID=12","")</f>
        <v/>
      </c>
      <c r="T113" s="4" t="str">
        <f>HYPERLINK("http://141.218.60.56/~jnz1568/getInfo.php?workbook=05_01.xlsx&amp;sheet=A0&amp;row=113&amp;col=20&amp;number=&amp;sourceID=12","")</f>
        <v/>
      </c>
    </row>
    <row r="114" spans="1:20">
      <c r="A114" s="3">
        <v>5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HYPERLINK("http://141.218.60.56/~jnz1568/getInfo.php?workbook=05_01.xlsx&amp;sheet=A0&amp;row=114&amp;col=6&amp;number=&amp;sourceID=18","")</f>
        <v/>
      </c>
      <c r="G114" s="4" t="str">
        <f>HYPERLINK("http://141.218.60.56/~jnz1568/getInfo.php?workbook=05_01.xlsx&amp;sheet=A0&amp;row=114&amp;col=7&amp;number==&amp;sourceID=11","=")</f>
        <v>=</v>
      </c>
      <c r="H114" s="4" t="str">
        <f>HYPERLINK("http://141.218.60.56/~jnz1568/getInfo.php?workbook=05_01.xlsx&amp;sheet=A0&amp;row=114&amp;col=8&amp;number=&amp;sourceID=11","")</f>
        <v/>
      </c>
      <c r="I114" s="4" t="str">
        <f>HYPERLINK("http://141.218.60.56/~jnz1568/getInfo.php?workbook=05_01.xlsx&amp;sheet=A0&amp;row=114&amp;col=9&amp;number=&amp;sourceID=11","")</f>
        <v/>
      </c>
      <c r="J114" s="4" t="str">
        <f>HYPERLINK("http://141.218.60.56/~jnz1568/getInfo.php?workbook=05_01.xlsx&amp;sheet=A0&amp;row=114&amp;col=10&amp;number=0&amp;sourceID=11","0")</f>
        <v>0</v>
      </c>
      <c r="K114" s="4" t="str">
        <f>HYPERLINK("http://141.218.60.56/~jnz1568/getInfo.php?workbook=05_01.xlsx&amp;sheet=A0&amp;row=114&amp;col=11&amp;number=&amp;sourceID=11","")</f>
        <v/>
      </c>
      <c r="L114" s="4" t="str">
        <f>HYPERLINK("http://141.218.60.56/~jnz1568/getInfo.php?workbook=05_01.xlsx&amp;sheet=A0&amp;row=114&amp;col=12&amp;number=0&amp;sourceID=11","0")</f>
        <v>0</v>
      </c>
      <c r="M114" s="4" t="str">
        <f>HYPERLINK("http://141.218.60.56/~jnz1568/getInfo.php?workbook=05_01.xlsx&amp;sheet=A0&amp;row=114&amp;col=13&amp;number=&amp;sourceID=11","")</f>
        <v/>
      </c>
      <c r="N114" s="4" t="str">
        <f>HYPERLINK("http://141.218.60.56/~jnz1568/getInfo.php?workbook=05_01.xlsx&amp;sheet=A0&amp;row=114&amp;col=14&amp;number=0&amp;sourceID=12","0")</f>
        <v>0</v>
      </c>
      <c r="O114" s="4" t="str">
        <f>HYPERLINK("http://141.218.60.56/~jnz1568/getInfo.php?workbook=05_01.xlsx&amp;sheet=A0&amp;row=114&amp;col=15&amp;number=&amp;sourceID=12","")</f>
        <v/>
      </c>
      <c r="P114" s="4" t="str">
        <f>HYPERLINK("http://141.218.60.56/~jnz1568/getInfo.php?workbook=05_01.xlsx&amp;sheet=A0&amp;row=114&amp;col=16&amp;number=&amp;sourceID=12","")</f>
        <v/>
      </c>
      <c r="Q114" s="4" t="str">
        <f>HYPERLINK("http://141.218.60.56/~jnz1568/getInfo.php?workbook=05_01.xlsx&amp;sheet=A0&amp;row=114&amp;col=17&amp;number=0&amp;sourceID=12","0")</f>
        <v>0</v>
      </c>
      <c r="R114" s="4" t="str">
        <f>HYPERLINK("http://141.218.60.56/~jnz1568/getInfo.php?workbook=05_01.xlsx&amp;sheet=A0&amp;row=114&amp;col=18&amp;number=&amp;sourceID=12","")</f>
        <v/>
      </c>
      <c r="S114" s="4" t="str">
        <f>HYPERLINK("http://141.218.60.56/~jnz1568/getInfo.php?workbook=05_01.xlsx&amp;sheet=A0&amp;row=114&amp;col=19&amp;number=0&amp;sourceID=12","0")</f>
        <v>0</v>
      </c>
      <c r="T114" s="4" t="str">
        <f>HYPERLINK("http://141.218.60.56/~jnz1568/getInfo.php?workbook=05_01.xlsx&amp;sheet=A0&amp;row=114&amp;col=20&amp;number=&amp;sourceID=12","")</f>
        <v/>
      </c>
    </row>
    <row r="115" spans="1:20">
      <c r="A115" s="3">
        <v>5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HYPERLINK("http://141.218.60.56/~jnz1568/getInfo.php?workbook=05_01.xlsx&amp;sheet=A0&amp;row=115&amp;col=6&amp;number=&amp;sourceID=18","")</f>
        <v/>
      </c>
      <c r="G115" s="4" t="str">
        <f>HYPERLINK("http://141.218.60.56/~jnz1568/getInfo.php?workbook=05_01.xlsx&amp;sheet=A0&amp;row=115&amp;col=7&amp;number==&amp;sourceID=11","=")</f>
        <v>=</v>
      </c>
      <c r="H115" s="4" t="str">
        <f>HYPERLINK("http://141.218.60.56/~jnz1568/getInfo.php?workbook=05_01.xlsx&amp;sheet=A0&amp;row=115&amp;col=8&amp;number=&amp;sourceID=11","")</f>
        <v/>
      </c>
      <c r="I115" s="4" t="str">
        <f>HYPERLINK("http://141.218.60.56/~jnz1568/getInfo.php?workbook=05_01.xlsx&amp;sheet=A0&amp;row=115&amp;col=9&amp;number=4e-15&amp;sourceID=11","4e-15")</f>
        <v>4e-15</v>
      </c>
      <c r="J115" s="4" t="str">
        <f>HYPERLINK("http://141.218.60.56/~jnz1568/getInfo.php?workbook=05_01.xlsx&amp;sheet=A0&amp;row=115&amp;col=10&amp;number=&amp;sourceID=11","")</f>
        <v/>
      </c>
      <c r="K115" s="4" t="str">
        <f>HYPERLINK("http://141.218.60.56/~jnz1568/getInfo.php?workbook=05_01.xlsx&amp;sheet=A0&amp;row=115&amp;col=11&amp;number=&amp;sourceID=11","")</f>
        <v/>
      </c>
      <c r="L115" s="4" t="str">
        <f>HYPERLINK("http://141.218.60.56/~jnz1568/getInfo.php?workbook=05_01.xlsx&amp;sheet=A0&amp;row=115&amp;col=12&amp;number=&amp;sourceID=11","")</f>
        <v/>
      </c>
      <c r="M115" s="4" t="str">
        <f>HYPERLINK("http://141.218.60.56/~jnz1568/getInfo.php?workbook=05_01.xlsx&amp;sheet=A0&amp;row=115&amp;col=13&amp;number=0&amp;sourceID=11","0")</f>
        <v>0</v>
      </c>
      <c r="N115" s="4" t="str">
        <f>HYPERLINK("http://141.218.60.56/~jnz1568/getInfo.php?workbook=05_01.xlsx&amp;sheet=A0&amp;row=115&amp;col=14&amp;number=4e-15&amp;sourceID=12","4e-15")</f>
        <v>4e-15</v>
      </c>
      <c r="O115" s="4" t="str">
        <f>HYPERLINK("http://141.218.60.56/~jnz1568/getInfo.php?workbook=05_01.xlsx&amp;sheet=A0&amp;row=115&amp;col=15&amp;number=&amp;sourceID=12","")</f>
        <v/>
      </c>
      <c r="P115" s="4" t="str">
        <f>HYPERLINK("http://141.218.60.56/~jnz1568/getInfo.php?workbook=05_01.xlsx&amp;sheet=A0&amp;row=115&amp;col=16&amp;number=4e-15&amp;sourceID=12","4e-15")</f>
        <v>4e-15</v>
      </c>
      <c r="Q115" s="4" t="str">
        <f>HYPERLINK("http://141.218.60.56/~jnz1568/getInfo.php?workbook=05_01.xlsx&amp;sheet=A0&amp;row=115&amp;col=17&amp;number=&amp;sourceID=12","")</f>
        <v/>
      </c>
      <c r="R115" s="4" t="str">
        <f>HYPERLINK("http://141.218.60.56/~jnz1568/getInfo.php?workbook=05_01.xlsx&amp;sheet=A0&amp;row=115&amp;col=18&amp;number=&amp;sourceID=12","")</f>
        <v/>
      </c>
      <c r="S115" s="4" t="str">
        <f>HYPERLINK("http://141.218.60.56/~jnz1568/getInfo.php?workbook=05_01.xlsx&amp;sheet=A0&amp;row=115&amp;col=19&amp;number=&amp;sourceID=12","")</f>
        <v/>
      </c>
      <c r="T115" s="4" t="str">
        <f>HYPERLINK("http://141.218.60.56/~jnz1568/getInfo.php?workbook=05_01.xlsx&amp;sheet=A0&amp;row=115&amp;col=20&amp;number=0&amp;sourceID=12","0")</f>
        <v>0</v>
      </c>
    </row>
    <row r="116" spans="1:20">
      <c r="A116" s="3">
        <v>5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HYPERLINK("http://141.218.60.56/~jnz1568/getInfo.php?workbook=05_01.xlsx&amp;sheet=A0&amp;row=116&amp;col=6&amp;number=&amp;sourceID=18","")</f>
        <v/>
      </c>
      <c r="G116" s="4" t="str">
        <f>HYPERLINK("http://141.218.60.56/~jnz1568/getInfo.php?workbook=05_01.xlsx&amp;sheet=A0&amp;row=116&amp;col=7&amp;number==&amp;sourceID=11","=")</f>
        <v>=</v>
      </c>
      <c r="H116" s="4" t="str">
        <f>HYPERLINK("http://141.218.60.56/~jnz1568/getInfo.php?workbook=05_01.xlsx&amp;sheet=A0&amp;row=116&amp;col=8&amp;number=&amp;sourceID=11","")</f>
        <v/>
      </c>
      <c r="I116" s="4" t="str">
        <f>HYPERLINK("http://141.218.60.56/~jnz1568/getInfo.php?workbook=05_01.xlsx&amp;sheet=A0&amp;row=116&amp;col=9&amp;number=0&amp;sourceID=11","0")</f>
        <v>0</v>
      </c>
      <c r="J116" s="4" t="str">
        <f>HYPERLINK("http://141.218.60.56/~jnz1568/getInfo.php?workbook=05_01.xlsx&amp;sheet=A0&amp;row=116&amp;col=10&amp;number=&amp;sourceID=11","")</f>
        <v/>
      </c>
      <c r="K116" s="4" t="str">
        <f>HYPERLINK("http://141.218.60.56/~jnz1568/getInfo.php?workbook=05_01.xlsx&amp;sheet=A0&amp;row=116&amp;col=11&amp;number=1.2436e-09&amp;sourceID=11","1.2436e-09")</f>
        <v>1.2436e-09</v>
      </c>
      <c r="L116" s="4" t="str">
        <f>HYPERLINK("http://141.218.60.56/~jnz1568/getInfo.php?workbook=05_01.xlsx&amp;sheet=A0&amp;row=116&amp;col=12&amp;number=&amp;sourceID=11","")</f>
        <v/>
      </c>
      <c r="M116" s="4" t="str">
        <f>HYPERLINK("http://141.218.60.56/~jnz1568/getInfo.php?workbook=05_01.xlsx&amp;sheet=A0&amp;row=116&amp;col=13&amp;number=0&amp;sourceID=11","0")</f>
        <v>0</v>
      </c>
      <c r="N116" s="4" t="str">
        <f>HYPERLINK("http://141.218.60.56/~jnz1568/getInfo.php?workbook=05_01.xlsx&amp;sheet=A0&amp;row=116&amp;col=14&amp;number=1.2437e-09&amp;sourceID=12","1.2437e-09")</f>
        <v>1.2437e-09</v>
      </c>
      <c r="O116" s="4" t="str">
        <f>HYPERLINK("http://141.218.60.56/~jnz1568/getInfo.php?workbook=05_01.xlsx&amp;sheet=A0&amp;row=116&amp;col=15&amp;number=&amp;sourceID=12","")</f>
        <v/>
      </c>
      <c r="P116" s="4" t="str">
        <f>HYPERLINK("http://141.218.60.56/~jnz1568/getInfo.php?workbook=05_01.xlsx&amp;sheet=A0&amp;row=116&amp;col=16&amp;number=0&amp;sourceID=12","0")</f>
        <v>0</v>
      </c>
      <c r="Q116" s="4" t="str">
        <f>HYPERLINK("http://141.218.60.56/~jnz1568/getInfo.php?workbook=05_01.xlsx&amp;sheet=A0&amp;row=116&amp;col=17&amp;number=&amp;sourceID=12","")</f>
        <v/>
      </c>
      <c r="R116" s="4" t="str">
        <f>HYPERLINK("http://141.218.60.56/~jnz1568/getInfo.php?workbook=05_01.xlsx&amp;sheet=A0&amp;row=116&amp;col=18&amp;number=1.2437e-09&amp;sourceID=12","1.2437e-09")</f>
        <v>1.2437e-09</v>
      </c>
      <c r="S116" s="4" t="str">
        <f>HYPERLINK("http://141.218.60.56/~jnz1568/getInfo.php?workbook=05_01.xlsx&amp;sheet=A0&amp;row=116&amp;col=19&amp;number=&amp;sourceID=12","")</f>
        <v/>
      </c>
      <c r="T116" s="4" t="str">
        <f>HYPERLINK("http://141.218.60.56/~jnz1568/getInfo.php?workbook=05_01.xlsx&amp;sheet=A0&amp;row=116&amp;col=20&amp;number=0&amp;sourceID=12","0")</f>
        <v>0</v>
      </c>
    </row>
    <row r="117" spans="1:20">
      <c r="A117" s="3">
        <v>5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HYPERLINK("http://141.218.60.56/~jnz1568/getInfo.php?workbook=05_01.xlsx&amp;sheet=A0&amp;row=117&amp;col=6&amp;number=&amp;sourceID=18","")</f>
        <v/>
      </c>
      <c r="G117" s="4" t="str">
        <f>HYPERLINK("http://141.218.60.56/~jnz1568/getInfo.php?workbook=05_01.xlsx&amp;sheet=A0&amp;row=117&amp;col=7&amp;number==&amp;sourceID=11","=")</f>
        <v>=</v>
      </c>
      <c r="H117" s="4" t="str">
        <f>HYPERLINK("http://141.218.60.56/~jnz1568/getInfo.php?workbook=05_01.xlsx&amp;sheet=A0&amp;row=117&amp;col=8&amp;number=0.00094157&amp;sourceID=11","0.00094157")</f>
        <v>0.00094157</v>
      </c>
      <c r="I117" s="4" t="str">
        <f>HYPERLINK("http://141.218.60.56/~jnz1568/getInfo.php?workbook=05_01.xlsx&amp;sheet=A0&amp;row=117&amp;col=9&amp;number=&amp;sourceID=11","")</f>
        <v/>
      </c>
      <c r="J117" s="4" t="str">
        <f>HYPERLINK("http://141.218.60.56/~jnz1568/getInfo.php?workbook=05_01.xlsx&amp;sheet=A0&amp;row=117&amp;col=10&amp;number=0&amp;sourceID=11","0")</f>
        <v>0</v>
      </c>
      <c r="K117" s="4" t="str">
        <f>HYPERLINK("http://141.218.60.56/~jnz1568/getInfo.php?workbook=05_01.xlsx&amp;sheet=A0&amp;row=117&amp;col=11&amp;number=&amp;sourceID=11","")</f>
        <v/>
      </c>
      <c r="L117" s="4" t="str">
        <f>HYPERLINK("http://141.218.60.56/~jnz1568/getInfo.php?workbook=05_01.xlsx&amp;sheet=A0&amp;row=117&amp;col=12&amp;number=0&amp;sourceID=11","0")</f>
        <v>0</v>
      </c>
      <c r="M117" s="4" t="str">
        <f>HYPERLINK("http://141.218.60.56/~jnz1568/getInfo.php?workbook=05_01.xlsx&amp;sheet=A0&amp;row=117&amp;col=13&amp;number=&amp;sourceID=11","")</f>
        <v/>
      </c>
      <c r="N117" s="4" t="str">
        <f>HYPERLINK("http://141.218.60.56/~jnz1568/getInfo.php?workbook=05_01.xlsx&amp;sheet=A0&amp;row=117&amp;col=14&amp;number=0.00094165&amp;sourceID=12","0.00094165")</f>
        <v>0.00094165</v>
      </c>
      <c r="O117" s="4" t="str">
        <f>HYPERLINK("http://141.218.60.56/~jnz1568/getInfo.php?workbook=05_01.xlsx&amp;sheet=A0&amp;row=117&amp;col=15&amp;number=0.00094165&amp;sourceID=12","0.00094165")</f>
        <v>0.00094165</v>
      </c>
      <c r="P117" s="4" t="str">
        <f>HYPERLINK("http://141.218.60.56/~jnz1568/getInfo.php?workbook=05_01.xlsx&amp;sheet=A0&amp;row=117&amp;col=16&amp;number=&amp;sourceID=12","")</f>
        <v/>
      </c>
      <c r="Q117" s="4" t="str">
        <f>HYPERLINK("http://141.218.60.56/~jnz1568/getInfo.php?workbook=05_01.xlsx&amp;sheet=A0&amp;row=117&amp;col=17&amp;number=0&amp;sourceID=12","0")</f>
        <v>0</v>
      </c>
      <c r="R117" s="4" t="str">
        <f>HYPERLINK("http://141.218.60.56/~jnz1568/getInfo.php?workbook=05_01.xlsx&amp;sheet=A0&amp;row=117&amp;col=18&amp;number=&amp;sourceID=12","")</f>
        <v/>
      </c>
      <c r="S117" s="4" t="str">
        <f>HYPERLINK("http://141.218.60.56/~jnz1568/getInfo.php?workbook=05_01.xlsx&amp;sheet=A0&amp;row=117&amp;col=19&amp;number=0&amp;sourceID=12","0")</f>
        <v>0</v>
      </c>
      <c r="T117" s="4" t="str">
        <f>HYPERLINK("http://141.218.60.56/~jnz1568/getInfo.php?workbook=05_01.xlsx&amp;sheet=A0&amp;row=117&amp;col=20&amp;number=&amp;sourceID=12","")</f>
        <v/>
      </c>
    </row>
    <row r="118" spans="1:20">
      <c r="A118" s="3">
        <v>5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HYPERLINK("http://141.218.60.56/~jnz1568/getInfo.php?workbook=05_01.xlsx&amp;sheet=A0&amp;row=118&amp;col=6&amp;number=&amp;sourceID=18","")</f>
        <v/>
      </c>
      <c r="G118" s="4" t="str">
        <f>HYPERLINK("http://141.218.60.56/~jnz1568/getInfo.php?workbook=05_01.xlsx&amp;sheet=A0&amp;row=118&amp;col=7&amp;number==&amp;sourceID=11","=")</f>
        <v>=</v>
      </c>
      <c r="H118" s="4" t="str">
        <f>HYPERLINK("http://141.218.60.56/~jnz1568/getInfo.php?workbook=05_01.xlsx&amp;sheet=A0&amp;row=118&amp;col=8&amp;number=21485000000&amp;sourceID=11","21485000000")</f>
        <v>21485000000</v>
      </c>
      <c r="I118" s="4" t="str">
        <f>HYPERLINK("http://141.218.60.56/~jnz1568/getInfo.php?workbook=05_01.xlsx&amp;sheet=A0&amp;row=118&amp;col=9&amp;number=&amp;sourceID=11","")</f>
        <v/>
      </c>
      <c r="J118" s="4" t="str">
        <f>HYPERLINK("http://141.218.60.56/~jnz1568/getInfo.php?workbook=05_01.xlsx&amp;sheet=A0&amp;row=118&amp;col=10&amp;number=&amp;sourceID=11","")</f>
        <v/>
      </c>
      <c r="K118" s="4" t="str">
        <f>HYPERLINK("http://141.218.60.56/~jnz1568/getInfo.php?workbook=05_01.xlsx&amp;sheet=A0&amp;row=118&amp;col=11&amp;number=&amp;sourceID=11","")</f>
        <v/>
      </c>
      <c r="L118" s="4" t="str">
        <f>HYPERLINK("http://141.218.60.56/~jnz1568/getInfo.php?workbook=05_01.xlsx&amp;sheet=A0&amp;row=118&amp;col=12&amp;number=&amp;sourceID=11","")</f>
        <v/>
      </c>
      <c r="M118" s="4" t="str">
        <f>HYPERLINK("http://141.218.60.56/~jnz1568/getInfo.php?workbook=05_01.xlsx&amp;sheet=A0&amp;row=118&amp;col=13&amp;number=&amp;sourceID=11","")</f>
        <v/>
      </c>
      <c r="N118" s="4" t="str">
        <f>HYPERLINK("http://141.218.60.56/~jnz1568/getInfo.php?workbook=05_01.xlsx&amp;sheet=A0&amp;row=118&amp;col=14&amp;number=21486000000&amp;sourceID=12","21486000000")</f>
        <v>21486000000</v>
      </c>
      <c r="O118" s="4" t="str">
        <f>HYPERLINK("http://141.218.60.56/~jnz1568/getInfo.php?workbook=05_01.xlsx&amp;sheet=A0&amp;row=118&amp;col=15&amp;number=21486000000&amp;sourceID=12","21486000000")</f>
        <v>21486000000</v>
      </c>
      <c r="P118" s="4" t="str">
        <f>HYPERLINK("http://141.218.60.56/~jnz1568/getInfo.php?workbook=05_01.xlsx&amp;sheet=A0&amp;row=118&amp;col=16&amp;number=&amp;sourceID=12","")</f>
        <v/>
      </c>
      <c r="Q118" s="4" t="str">
        <f>HYPERLINK("http://141.218.60.56/~jnz1568/getInfo.php?workbook=05_01.xlsx&amp;sheet=A0&amp;row=118&amp;col=17&amp;number=&amp;sourceID=12","")</f>
        <v/>
      </c>
      <c r="R118" s="4" t="str">
        <f>HYPERLINK("http://141.218.60.56/~jnz1568/getInfo.php?workbook=05_01.xlsx&amp;sheet=A0&amp;row=118&amp;col=18&amp;number=&amp;sourceID=12","")</f>
        <v/>
      </c>
      <c r="S118" s="4" t="str">
        <f>HYPERLINK("http://141.218.60.56/~jnz1568/getInfo.php?workbook=05_01.xlsx&amp;sheet=A0&amp;row=118&amp;col=19&amp;number=&amp;sourceID=12","")</f>
        <v/>
      </c>
      <c r="T118" s="4" t="str">
        <f>HYPERLINK("http://141.218.60.56/~jnz1568/getInfo.php?workbook=05_01.xlsx&amp;sheet=A0&amp;row=118&amp;col=20&amp;number=&amp;sourceID=12","")</f>
        <v/>
      </c>
    </row>
    <row r="119" spans="1:20">
      <c r="A119" s="3">
        <v>5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HYPERLINK("http://141.218.60.56/~jnz1568/getInfo.php?workbook=05_01.xlsx&amp;sheet=A0&amp;row=119&amp;col=6&amp;number=&amp;sourceID=18","")</f>
        <v/>
      </c>
      <c r="G119" s="4" t="str">
        <f>HYPERLINK("http://141.218.60.56/~jnz1568/getInfo.php?workbook=05_01.xlsx&amp;sheet=A0&amp;row=119&amp;col=7&amp;number==&amp;sourceID=11","=")</f>
        <v>=</v>
      </c>
      <c r="H119" s="4" t="str">
        <f>HYPERLINK("http://141.218.60.56/~jnz1568/getInfo.php?workbook=05_01.xlsx&amp;sheet=A0&amp;row=119&amp;col=8&amp;number=&amp;sourceID=11","")</f>
        <v/>
      </c>
      <c r="I119" s="4" t="str">
        <f>HYPERLINK("http://141.218.60.56/~jnz1568/getInfo.php?workbook=05_01.xlsx&amp;sheet=A0&amp;row=119&amp;col=9&amp;number=&amp;sourceID=11","")</f>
        <v/>
      </c>
      <c r="J119" s="4" t="str">
        <f>HYPERLINK("http://141.218.60.56/~jnz1568/getInfo.php?workbook=05_01.xlsx&amp;sheet=A0&amp;row=119&amp;col=10&amp;number=&amp;sourceID=11","")</f>
        <v/>
      </c>
      <c r="K119" s="4" t="str">
        <f>HYPERLINK("http://141.218.60.56/~jnz1568/getInfo.php?workbook=05_01.xlsx&amp;sheet=A0&amp;row=119&amp;col=11&amp;number=0.0024193&amp;sourceID=11","0.0024193")</f>
        <v>0.0024193</v>
      </c>
      <c r="L119" s="4" t="str">
        <f>HYPERLINK("http://141.218.60.56/~jnz1568/getInfo.php?workbook=05_01.xlsx&amp;sheet=A0&amp;row=119&amp;col=12&amp;number=&amp;sourceID=11","")</f>
        <v/>
      </c>
      <c r="M119" s="4" t="str">
        <f>HYPERLINK("http://141.218.60.56/~jnz1568/getInfo.php?workbook=05_01.xlsx&amp;sheet=A0&amp;row=119&amp;col=13&amp;number=&amp;sourceID=11","")</f>
        <v/>
      </c>
      <c r="N119" s="4" t="str">
        <f>HYPERLINK("http://141.218.60.56/~jnz1568/getInfo.php?workbook=05_01.xlsx&amp;sheet=A0&amp;row=119&amp;col=14&amp;number=0.0024283&amp;sourceID=12","0.0024283")</f>
        <v>0.0024283</v>
      </c>
      <c r="O119" s="4" t="str">
        <f>HYPERLINK("http://141.218.60.56/~jnz1568/getInfo.php?workbook=05_01.xlsx&amp;sheet=A0&amp;row=119&amp;col=15&amp;number=&amp;sourceID=12","")</f>
        <v/>
      </c>
      <c r="P119" s="4" t="str">
        <f>HYPERLINK("http://141.218.60.56/~jnz1568/getInfo.php?workbook=05_01.xlsx&amp;sheet=A0&amp;row=119&amp;col=16&amp;number=&amp;sourceID=12","")</f>
        <v/>
      </c>
      <c r="Q119" s="4" t="str">
        <f>HYPERLINK("http://141.218.60.56/~jnz1568/getInfo.php?workbook=05_01.xlsx&amp;sheet=A0&amp;row=119&amp;col=17&amp;number=&amp;sourceID=12","")</f>
        <v/>
      </c>
      <c r="R119" s="4" t="str">
        <f>HYPERLINK("http://141.218.60.56/~jnz1568/getInfo.php?workbook=05_01.xlsx&amp;sheet=A0&amp;row=119&amp;col=18&amp;number=0.0024283&amp;sourceID=12","0.0024283")</f>
        <v>0.0024283</v>
      </c>
      <c r="S119" s="4" t="str">
        <f>HYPERLINK("http://141.218.60.56/~jnz1568/getInfo.php?workbook=05_01.xlsx&amp;sheet=A0&amp;row=119&amp;col=19&amp;number=&amp;sourceID=12","")</f>
        <v/>
      </c>
      <c r="T119" s="4" t="str">
        <f>HYPERLINK("http://141.218.60.56/~jnz1568/getInfo.php?workbook=05_01.xlsx&amp;sheet=A0&amp;row=119&amp;col=20&amp;number=&amp;sourceID=12","")</f>
        <v/>
      </c>
    </row>
    <row r="120" spans="1:20">
      <c r="A120" s="3">
        <v>5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HYPERLINK("http://141.218.60.56/~jnz1568/getInfo.php?workbook=05_01.xlsx&amp;sheet=A0&amp;row=120&amp;col=6&amp;number=&amp;sourceID=18","")</f>
        <v/>
      </c>
      <c r="G120" s="4" t="str">
        <f>HYPERLINK("http://141.218.60.56/~jnz1568/getInfo.php?workbook=05_01.xlsx&amp;sheet=A0&amp;row=120&amp;col=7&amp;number==&amp;sourceID=11","=")</f>
        <v>=</v>
      </c>
      <c r="H120" s="4" t="str">
        <f>HYPERLINK("http://141.218.60.56/~jnz1568/getInfo.php?workbook=05_01.xlsx&amp;sheet=A0&amp;row=120&amp;col=8&amp;number=3096200000&amp;sourceID=11","3096200000")</f>
        <v>3096200000</v>
      </c>
      <c r="I120" s="4" t="str">
        <f>HYPERLINK("http://141.218.60.56/~jnz1568/getInfo.php?workbook=05_01.xlsx&amp;sheet=A0&amp;row=120&amp;col=9&amp;number=&amp;sourceID=11","")</f>
        <v/>
      </c>
      <c r="J120" s="4" t="str">
        <f>HYPERLINK("http://141.218.60.56/~jnz1568/getInfo.php?workbook=05_01.xlsx&amp;sheet=A0&amp;row=120&amp;col=10&amp;number=&amp;sourceID=11","")</f>
        <v/>
      </c>
      <c r="K120" s="4" t="str">
        <f>HYPERLINK("http://141.218.60.56/~jnz1568/getInfo.php?workbook=05_01.xlsx&amp;sheet=A0&amp;row=120&amp;col=11&amp;number=&amp;sourceID=11","")</f>
        <v/>
      </c>
      <c r="L120" s="4" t="str">
        <f>HYPERLINK("http://141.218.60.56/~jnz1568/getInfo.php?workbook=05_01.xlsx&amp;sheet=A0&amp;row=120&amp;col=12&amp;number=&amp;sourceID=11","")</f>
        <v/>
      </c>
      <c r="M120" s="4" t="str">
        <f>HYPERLINK("http://141.218.60.56/~jnz1568/getInfo.php?workbook=05_01.xlsx&amp;sheet=A0&amp;row=120&amp;col=13&amp;number=&amp;sourceID=11","")</f>
        <v/>
      </c>
      <c r="N120" s="4" t="str">
        <f>HYPERLINK("http://141.218.60.56/~jnz1568/getInfo.php?workbook=05_01.xlsx&amp;sheet=A0&amp;row=120&amp;col=14&amp;number=3096300000&amp;sourceID=12","3096300000")</f>
        <v>3096300000</v>
      </c>
      <c r="O120" s="4" t="str">
        <f>HYPERLINK("http://141.218.60.56/~jnz1568/getInfo.php?workbook=05_01.xlsx&amp;sheet=A0&amp;row=120&amp;col=15&amp;number=3096300000&amp;sourceID=12","3096300000")</f>
        <v>3096300000</v>
      </c>
      <c r="P120" s="4" t="str">
        <f>HYPERLINK("http://141.218.60.56/~jnz1568/getInfo.php?workbook=05_01.xlsx&amp;sheet=A0&amp;row=120&amp;col=16&amp;number=&amp;sourceID=12","")</f>
        <v/>
      </c>
      <c r="Q120" s="4" t="str">
        <f>HYPERLINK("http://141.218.60.56/~jnz1568/getInfo.php?workbook=05_01.xlsx&amp;sheet=A0&amp;row=120&amp;col=17&amp;number=&amp;sourceID=12","")</f>
        <v/>
      </c>
      <c r="R120" s="4" t="str">
        <f>HYPERLINK("http://141.218.60.56/~jnz1568/getInfo.php?workbook=05_01.xlsx&amp;sheet=A0&amp;row=120&amp;col=18&amp;number=&amp;sourceID=12","")</f>
        <v/>
      </c>
      <c r="S120" s="4" t="str">
        <f>HYPERLINK("http://141.218.60.56/~jnz1568/getInfo.php?workbook=05_01.xlsx&amp;sheet=A0&amp;row=120&amp;col=19&amp;number=&amp;sourceID=12","")</f>
        <v/>
      </c>
      <c r="T120" s="4" t="str">
        <f>HYPERLINK("http://141.218.60.56/~jnz1568/getInfo.php?workbook=05_01.xlsx&amp;sheet=A0&amp;row=120&amp;col=20&amp;number=&amp;sourceID=12","")</f>
        <v/>
      </c>
    </row>
    <row r="121" spans="1:20">
      <c r="A121" s="3">
        <v>5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HYPERLINK("http://141.218.60.56/~jnz1568/getInfo.php?workbook=05_01.xlsx&amp;sheet=A0&amp;row=121&amp;col=6&amp;number=&amp;sourceID=18","")</f>
        <v/>
      </c>
      <c r="G121" s="4" t="str">
        <f>HYPERLINK("http://141.218.60.56/~jnz1568/getInfo.php?workbook=05_01.xlsx&amp;sheet=A0&amp;row=121&amp;col=7&amp;number==&amp;sourceID=11","=")</f>
        <v>=</v>
      </c>
      <c r="H121" s="4" t="str">
        <f>HYPERLINK("http://141.218.60.56/~jnz1568/getInfo.php?workbook=05_01.xlsx&amp;sheet=A0&amp;row=121&amp;col=8&amp;number=&amp;sourceID=11","")</f>
        <v/>
      </c>
      <c r="I121" s="4" t="str">
        <f>HYPERLINK("http://141.218.60.56/~jnz1568/getInfo.php?workbook=05_01.xlsx&amp;sheet=A0&amp;row=121&amp;col=9&amp;number=82314&amp;sourceID=11","82314")</f>
        <v>82314</v>
      </c>
      <c r="J121" s="4" t="str">
        <f>HYPERLINK("http://141.218.60.56/~jnz1568/getInfo.php?workbook=05_01.xlsx&amp;sheet=A0&amp;row=121&amp;col=10&amp;number=&amp;sourceID=11","")</f>
        <v/>
      </c>
      <c r="K121" s="4" t="str">
        <f>HYPERLINK("http://141.218.60.56/~jnz1568/getInfo.php?workbook=05_01.xlsx&amp;sheet=A0&amp;row=121&amp;col=11&amp;number=0.042548&amp;sourceID=11","0.042548")</f>
        <v>0.042548</v>
      </c>
      <c r="L121" s="4" t="str">
        <f>HYPERLINK("http://141.218.60.56/~jnz1568/getInfo.php?workbook=05_01.xlsx&amp;sheet=A0&amp;row=121&amp;col=12&amp;number=&amp;sourceID=11","")</f>
        <v/>
      </c>
      <c r="M121" s="4" t="str">
        <f>HYPERLINK("http://141.218.60.56/~jnz1568/getInfo.php?workbook=05_01.xlsx&amp;sheet=A0&amp;row=121&amp;col=13&amp;number=&amp;sourceID=11","")</f>
        <v/>
      </c>
      <c r="N121" s="4" t="str">
        <f>HYPERLINK("http://141.218.60.56/~jnz1568/getInfo.php?workbook=05_01.xlsx&amp;sheet=A0&amp;row=121&amp;col=14&amp;number=82318&amp;sourceID=12","82318")</f>
        <v>82318</v>
      </c>
      <c r="O121" s="4" t="str">
        <f>HYPERLINK("http://141.218.60.56/~jnz1568/getInfo.php?workbook=05_01.xlsx&amp;sheet=A0&amp;row=121&amp;col=15&amp;number=&amp;sourceID=12","")</f>
        <v/>
      </c>
      <c r="P121" s="4" t="str">
        <f>HYPERLINK("http://141.218.60.56/~jnz1568/getInfo.php?workbook=05_01.xlsx&amp;sheet=A0&amp;row=121&amp;col=16&amp;number=82318&amp;sourceID=12","82318")</f>
        <v>82318</v>
      </c>
      <c r="Q121" s="4" t="str">
        <f>HYPERLINK("http://141.218.60.56/~jnz1568/getInfo.php?workbook=05_01.xlsx&amp;sheet=A0&amp;row=121&amp;col=17&amp;number=&amp;sourceID=12","")</f>
        <v/>
      </c>
      <c r="R121" s="4" t="str">
        <f>HYPERLINK("http://141.218.60.56/~jnz1568/getInfo.php?workbook=05_01.xlsx&amp;sheet=A0&amp;row=121&amp;col=18&amp;number=0.042521&amp;sourceID=12","0.042521")</f>
        <v>0.042521</v>
      </c>
      <c r="S121" s="4" t="str">
        <f>HYPERLINK("http://141.218.60.56/~jnz1568/getInfo.php?workbook=05_01.xlsx&amp;sheet=A0&amp;row=121&amp;col=19&amp;number=&amp;sourceID=12","")</f>
        <v/>
      </c>
      <c r="T121" s="4" t="str">
        <f>HYPERLINK("http://141.218.60.56/~jnz1568/getInfo.php?workbook=05_01.xlsx&amp;sheet=A0&amp;row=121&amp;col=20&amp;number=&amp;sourceID=12","")</f>
        <v/>
      </c>
    </row>
    <row r="122" spans="1:20">
      <c r="A122" s="3">
        <v>5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HYPERLINK("http://141.218.60.56/~jnz1568/getInfo.php?workbook=05_01.xlsx&amp;sheet=A0&amp;row=122&amp;col=6&amp;number=&amp;sourceID=18","")</f>
        <v/>
      </c>
      <c r="G122" s="4" t="str">
        <f>HYPERLINK("http://141.218.60.56/~jnz1568/getInfo.php?workbook=05_01.xlsx&amp;sheet=A0&amp;row=122&amp;col=7&amp;number==&amp;sourceID=11","=")</f>
        <v>=</v>
      </c>
      <c r="H122" s="4" t="str">
        <f>HYPERLINK("http://141.218.60.56/~jnz1568/getInfo.php?workbook=05_01.xlsx&amp;sheet=A0&amp;row=122&amp;col=8&amp;number=&amp;sourceID=11","")</f>
        <v/>
      </c>
      <c r="I122" s="4" t="str">
        <f>HYPERLINK("http://141.218.60.56/~jnz1568/getInfo.php?workbook=05_01.xlsx&amp;sheet=A0&amp;row=122&amp;col=9&amp;number=&amp;sourceID=11","")</f>
        <v/>
      </c>
      <c r="J122" s="4" t="str">
        <f>HYPERLINK("http://141.218.60.56/~jnz1568/getInfo.php?workbook=05_01.xlsx&amp;sheet=A0&amp;row=122&amp;col=10&amp;number=&amp;sourceID=11","")</f>
        <v/>
      </c>
      <c r="K122" s="4" t="str">
        <f>HYPERLINK("http://141.218.60.56/~jnz1568/getInfo.php?workbook=05_01.xlsx&amp;sheet=A0&amp;row=122&amp;col=11&amp;number=7.5144e-05&amp;sourceID=11","7.5144e-05")</f>
        <v>7.5144e-05</v>
      </c>
      <c r="L122" s="4" t="str">
        <f>HYPERLINK("http://141.218.60.56/~jnz1568/getInfo.php?workbook=05_01.xlsx&amp;sheet=A0&amp;row=122&amp;col=12&amp;number=&amp;sourceID=11","")</f>
        <v/>
      </c>
      <c r="M122" s="4" t="str">
        <f>HYPERLINK("http://141.218.60.56/~jnz1568/getInfo.php?workbook=05_01.xlsx&amp;sheet=A0&amp;row=122&amp;col=13&amp;number=&amp;sourceID=11","")</f>
        <v/>
      </c>
      <c r="N122" s="4" t="str">
        <f>HYPERLINK("http://141.218.60.56/~jnz1568/getInfo.php?workbook=05_01.xlsx&amp;sheet=A0&amp;row=122&amp;col=14&amp;number=7.5147e-05&amp;sourceID=12","7.5147e-05")</f>
        <v>7.5147e-05</v>
      </c>
      <c r="O122" s="4" t="str">
        <f>HYPERLINK("http://141.218.60.56/~jnz1568/getInfo.php?workbook=05_01.xlsx&amp;sheet=A0&amp;row=122&amp;col=15&amp;number=&amp;sourceID=12","")</f>
        <v/>
      </c>
      <c r="P122" s="4" t="str">
        <f>HYPERLINK("http://141.218.60.56/~jnz1568/getInfo.php?workbook=05_01.xlsx&amp;sheet=A0&amp;row=122&amp;col=16&amp;number=&amp;sourceID=12","")</f>
        <v/>
      </c>
      <c r="Q122" s="4" t="str">
        <f>HYPERLINK("http://141.218.60.56/~jnz1568/getInfo.php?workbook=05_01.xlsx&amp;sheet=A0&amp;row=122&amp;col=17&amp;number=&amp;sourceID=12","")</f>
        <v/>
      </c>
      <c r="R122" s="4" t="str">
        <f>HYPERLINK("http://141.218.60.56/~jnz1568/getInfo.php?workbook=05_01.xlsx&amp;sheet=A0&amp;row=122&amp;col=18&amp;number=7.5147e-05&amp;sourceID=12","7.5147e-05")</f>
        <v>7.5147e-05</v>
      </c>
      <c r="S122" s="4" t="str">
        <f>HYPERLINK("http://141.218.60.56/~jnz1568/getInfo.php?workbook=05_01.xlsx&amp;sheet=A0&amp;row=122&amp;col=19&amp;number=&amp;sourceID=12","")</f>
        <v/>
      </c>
      <c r="T122" s="4" t="str">
        <f>HYPERLINK("http://141.218.60.56/~jnz1568/getInfo.php?workbook=05_01.xlsx&amp;sheet=A0&amp;row=122&amp;col=20&amp;number=&amp;sourceID=12","")</f>
        <v/>
      </c>
    </row>
    <row r="123" spans="1:20">
      <c r="A123" s="3">
        <v>5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HYPERLINK("http://141.218.60.56/~jnz1568/getInfo.php?workbook=05_01.xlsx&amp;sheet=A0&amp;row=123&amp;col=6&amp;number=&amp;sourceID=18","")</f>
        <v/>
      </c>
      <c r="G123" s="4" t="str">
        <f>HYPERLINK("http://141.218.60.56/~jnz1568/getInfo.php?workbook=05_01.xlsx&amp;sheet=A0&amp;row=123&amp;col=7&amp;number==&amp;sourceID=11","=")</f>
        <v>=</v>
      </c>
      <c r="H123" s="4" t="str">
        <f>HYPERLINK("http://141.218.60.56/~jnz1568/getInfo.php?workbook=05_01.xlsx&amp;sheet=A0&amp;row=123&amp;col=8&amp;number=1024800000&amp;sourceID=11","1024800000")</f>
        <v>1024800000</v>
      </c>
      <c r="I123" s="4" t="str">
        <f>HYPERLINK("http://141.218.60.56/~jnz1568/getInfo.php?workbook=05_01.xlsx&amp;sheet=A0&amp;row=123&amp;col=9&amp;number=&amp;sourceID=11","")</f>
        <v/>
      </c>
      <c r="J123" s="4" t="str">
        <f>HYPERLINK("http://141.218.60.56/~jnz1568/getInfo.php?workbook=05_01.xlsx&amp;sheet=A0&amp;row=123&amp;col=10&amp;number=&amp;sourceID=11","")</f>
        <v/>
      </c>
      <c r="K123" s="4" t="str">
        <f>HYPERLINK("http://141.218.60.56/~jnz1568/getInfo.php?workbook=05_01.xlsx&amp;sheet=A0&amp;row=123&amp;col=11&amp;number=&amp;sourceID=11","")</f>
        <v/>
      </c>
      <c r="L123" s="4" t="str">
        <f>HYPERLINK("http://141.218.60.56/~jnz1568/getInfo.php?workbook=05_01.xlsx&amp;sheet=A0&amp;row=123&amp;col=12&amp;number=&amp;sourceID=11","")</f>
        <v/>
      </c>
      <c r="M123" s="4" t="str">
        <f>HYPERLINK("http://141.218.60.56/~jnz1568/getInfo.php?workbook=05_01.xlsx&amp;sheet=A0&amp;row=123&amp;col=13&amp;number=&amp;sourceID=11","")</f>
        <v/>
      </c>
      <c r="N123" s="4" t="str">
        <f>HYPERLINK("http://141.218.60.56/~jnz1568/getInfo.php?workbook=05_01.xlsx&amp;sheet=A0&amp;row=123&amp;col=14&amp;number=1024800000&amp;sourceID=12","1024800000")</f>
        <v>1024800000</v>
      </c>
      <c r="O123" s="4" t="str">
        <f>HYPERLINK("http://141.218.60.56/~jnz1568/getInfo.php?workbook=05_01.xlsx&amp;sheet=A0&amp;row=123&amp;col=15&amp;number=1024800000&amp;sourceID=12","1024800000")</f>
        <v>1024800000</v>
      </c>
      <c r="P123" s="4" t="str">
        <f>HYPERLINK("http://141.218.60.56/~jnz1568/getInfo.php?workbook=05_01.xlsx&amp;sheet=A0&amp;row=123&amp;col=16&amp;number=&amp;sourceID=12","")</f>
        <v/>
      </c>
      <c r="Q123" s="4" t="str">
        <f>HYPERLINK("http://141.218.60.56/~jnz1568/getInfo.php?workbook=05_01.xlsx&amp;sheet=A0&amp;row=123&amp;col=17&amp;number=&amp;sourceID=12","")</f>
        <v/>
      </c>
      <c r="R123" s="4" t="str">
        <f>HYPERLINK("http://141.218.60.56/~jnz1568/getInfo.php?workbook=05_01.xlsx&amp;sheet=A0&amp;row=123&amp;col=18&amp;number=&amp;sourceID=12","")</f>
        <v/>
      </c>
      <c r="S123" s="4" t="str">
        <f>HYPERLINK("http://141.218.60.56/~jnz1568/getInfo.php?workbook=05_01.xlsx&amp;sheet=A0&amp;row=123&amp;col=19&amp;number=&amp;sourceID=12","")</f>
        <v/>
      </c>
      <c r="T123" s="4" t="str">
        <f>HYPERLINK("http://141.218.60.56/~jnz1568/getInfo.php?workbook=05_01.xlsx&amp;sheet=A0&amp;row=123&amp;col=20&amp;number=&amp;sourceID=12","")</f>
        <v/>
      </c>
    </row>
    <row r="124" spans="1:20">
      <c r="A124" s="3">
        <v>5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HYPERLINK("http://141.218.60.56/~jnz1568/getInfo.php?workbook=05_01.xlsx&amp;sheet=A0&amp;row=124&amp;col=6&amp;number=&amp;sourceID=18","")</f>
        <v/>
      </c>
      <c r="G124" s="4" t="str">
        <f>HYPERLINK("http://141.218.60.56/~jnz1568/getInfo.php?workbook=05_01.xlsx&amp;sheet=A0&amp;row=124&amp;col=7&amp;number==&amp;sourceID=11","=")</f>
        <v>=</v>
      </c>
      <c r="H124" s="4" t="str">
        <f>HYPERLINK("http://141.218.60.56/~jnz1568/getInfo.php?workbook=05_01.xlsx&amp;sheet=A0&amp;row=124&amp;col=8&amp;number=93881000&amp;sourceID=11","93881000")</f>
        <v>93881000</v>
      </c>
      <c r="I124" s="4" t="str">
        <f>HYPERLINK("http://141.218.60.56/~jnz1568/getInfo.php?workbook=05_01.xlsx&amp;sheet=A0&amp;row=124&amp;col=9&amp;number=&amp;sourceID=11","")</f>
        <v/>
      </c>
      <c r="J124" s="4" t="str">
        <f>HYPERLINK("http://141.218.60.56/~jnz1568/getInfo.php?workbook=05_01.xlsx&amp;sheet=A0&amp;row=124&amp;col=10&amp;number=&amp;sourceID=11","")</f>
        <v/>
      </c>
      <c r="K124" s="4" t="str">
        <f>HYPERLINK("http://141.218.60.56/~jnz1568/getInfo.php?workbook=05_01.xlsx&amp;sheet=A0&amp;row=124&amp;col=11&amp;number=&amp;sourceID=11","")</f>
        <v/>
      </c>
      <c r="L124" s="4" t="str">
        <f>HYPERLINK("http://141.218.60.56/~jnz1568/getInfo.php?workbook=05_01.xlsx&amp;sheet=A0&amp;row=124&amp;col=12&amp;number=0.0015781&amp;sourceID=11","0.0015781")</f>
        <v>0.0015781</v>
      </c>
      <c r="M124" s="4" t="str">
        <f>HYPERLINK("http://141.218.60.56/~jnz1568/getInfo.php?workbook=05_01.xlsx&amp;sheet=A0&amp;row=124&amp;col=13&amp;number=&amp;sourceID=11","")</f>
        <v/>
      </c>
      <c r="N124" s="4" t="str">
        <f>HYPERLINK("http://141.218.60.56/~jnz1568/getInfo.php?workbook=05_01.xlsx&amp;sheet=A0&amp;row=124&amp;col=14&amp;number=93886000&amp;sourceID=12","93886000")</f>
        <v>93886000</v>
      </c>
      <c r="O124" s="4" t="str">
        <f>HYPERLINK("http://141.218.60.56/~jnz1568/getInfo.php?workbook=05_01.xlsx&amp;sheet=A0&amp;row=124&amp;col=15&amp;number=93886000&amp;sourceID=12","93886000")</f>
        <v>93886000</v>
      </c>
      <c r="P124" s="4" t="str">
        <f>HYPERLINK("http://141.218.60.56/~jnz1568/getInfo.php?workbook=05_01.xlsx&amp;sheet=A0&amp;row=124&amp;col=16&amp;number=&amp;sourceID=12","")</f>
        <v/>
      </c>
      <c r="Q124" s="4" t="str">
        <f>HYPERLINK("http://141.218.60.56/~jnz1568/getInfo.php?workbook=05_01.xlsx&amp;sheet=A0&amp;row=124&amp;col=17&amp;number=&amp;sourceID=12","")</f>
        <v/>
      </c>
      <c r="R124" s="4" t="str">
        <f>HYPERLINK("http://141.218.60.56/~jnz1568/getInfo.php?workbook=05_01.xlsx&amp;sheet=A0&amp;row=124&amp;col=18&amp;number=&amp;sourceID=12","")</f>
        <v/>
      </c>
      <c r="S124" s="4" t="str">
        <f>HYPERLINK("http://141.218.60.56/~jnz1568/getInfo.php?workbook=05_01.xlsx&amp;sheet=A0&amp;row=124&amp;col=19&amp;number=0.0015782&amp;sourceID=12","0.0015782")</f>
        <v>0.0015782</v>
      </c>
      <c r="T124" s="4" t="str">
        <f>HYPERLINK("http://141.218.60.56/~jnz1568/getInfo.php?workbook=05_01.xlsx&amp;sheet=A0&amp;row=124&amp;col=20&amp;number=&amp;sourceID=12","")</f>
        <v/>
      </c>
    </row>
    <row r="125" spans="1:20">
      <c r="A125" s="3">
        <v>5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HYPERLINK("http://141.218.60.56/~jnz1568/getInfo.php?workbook=05_01.xlsx&amp;sheet=A0&amp;row=125&amp;col=6&amp;number=&amp;sourceID=18","")</f>
        <v/>
      </c>
      <c r="G125" s="4" t="str">
        <f>HYPERLINK("http://141.218.60.56/~jnz1568/getInfo.php?workbook=05_01.xlsx&amp;sheet=A0&amp;row=125&amp;col=7&amp;number==&amp;sourceID=11","=")</f>
        <v>=</v>
      </c>
      <c r="H125" s="4" t="str">
        <f>HYPERLINK("http://141.218.60.56/~jnz1568/getInfo.php?workbook=05_01.xlsx&amp;sheet=A0&amp;row=125&amp;col=8&amp;number=&amp;sourceID=11","")</f>
        <v/>
      </c>
      <c r="I125" s="4" t="str">
        <f>HYPERLINK("http://141.218.60.56/~jnz1568/getInfo.php?workbook=05_01.xlsx&amp;sheet=A0&amp;row=125&amp;col=9&amp;number=22316&amp;sourceID=11","22316")</f>
        <v>22316</v>
      </c>
      <c r="J125" s="4" t="str">
        <f>HYPERLINK("http://141.218.60.56/~jnz1568/getInfo.php?workbook=05_01.xlsx&amp;sheet=A0&amp;row=125&amp;col=10&amp;number=&amp;sourceID=11","")</f>
        <v/>
      </c>
      <c r="K125" s="4" t="str">
        <f>HYPERLINK("http://141.218.60.56/~jnz1568/getInfo.php?workbook=05_01.xlsx&amp;sheet=A0&amp;row=125&amp;col=11&amp;number=0.004055&amp;sourceID=11","0.004055")</f>
        <v>0.004055</v>
      </c>
      <c r="L125" s="4" t="str">
        <f>HYPERLINK("http://141.218.60.56/~jnz1568/getInfo.php?workbook=05_01.xlsx&amp;sheet=A0&amp;row=125&amp;col=12&amp;number=&amp;sourceID=11","")</f>
        <v/>
      </c>
      <c r="M125" s="4" t="str">
        <f>HYPERLINK("http://141.218.60.56/~jnz1568/getInfo.php?workbook=05_01.xlsx&amp;sheet=A0&amp;row=125&amp;col=13&amp;number=&amp;sourceID=11","")</f>
        <v/>
      </c>
      <c r="N125" s="4" t="str">
        <f>HYPERLINK("http://141.218.60.56/~jnz1568/getInfo.php?workbook=05_01.xlsx&amp;sheet=A0&amp;row=125&amp;col=14&amp;number=22317&amp;sourceID=12","22317")</f>
        <v>22317</v>
      </c>
      <c r="O125" s="4" t="str">
        <f>HYPERLINK("http://141.218.60.56/~jnz1568/getInfo.php?workbook=05_01.xlsx&amp;sheet=A0&amp;row=125&amp;col=15&amp;number=&amp;sourceID=12","")</f>
        <v/>
      </c>
      <c r="P125" s="4" t="str">
        <f>HYPERLINK("http://141.218.60.56/~jnz1568/getInfo.php?workbook=05_01.xlsx&amp;sheet=A0&amp;row=125&amp;col=16&amp;number=22317&amp;sourceID=12","22317")</f>
        <v>22317</v>
      </c>
      <c r="Q125" s="4" t="str">
        <f>HYPERLINK("http://141.218.60.56/~jnz1568/getInfo.php?workbook=05_01.xlsx&amp;sheet=A0&amp;row=125&amp;col=17&amp;number=&amp;sourceID=12","")</f>
        <v/>
      </c>
      <c r="R125" s="4" t="str">
        <f>HYPERLINK("http://141.218.60.56/~jnz1568/getInfo.php?workbook=05_01.xlsx&amp;sheet=A0&amp;row=125&amp;col=18&amp;number=0.0040553&amp;sourceID=12","0.0040553")</f>
        <v>0.0040553</v>
      </c>
      <c r="S125" s="4" t="str">
        <f>HYPERLINK("http://141.218.60.56/~jnz1568/getInfo.php?workbook=05_01.xlsx&amp;sheet=A0&amp;row=125&amp;col=19&amp;number=&amp;sourceID=12","")</f>
        <v/>
      </c>
      <c r="T125" s="4" t="str">
        <f>HYPERLINK("http://141.218.60.56/~jnz1568/getInfo.php?workbook=05_01.xlsx&amp;sheet=A0&amp;row=125&amp;col=20&amp;number=&amp;sourceID=12","")</f>
        <v/>
      </c>
    </row>
    <row r="126" spans="1:20">
      <c r="A126" s="3">
        <v>5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HYPERLINK("http://141.218.60.56/~jnz1568/getInfo.php?workbook=05_01.xlsx&amp;sheet=A0&amp;row=126&amp;col=6&amp;number=&amp;sourceID=18","")</f>
        <v/>
      </c>
      <c r="G126" s="4" t="str">
        <f>HYPERLINK("http://141.218.60.56/~jnz1568/getInfo.php?workbook=05_01.xlsx&amp;sheet=A0&amp;row=126&amp;col=7&amp;number==&amp;sourceID=11","=")</f>
        <v>=</v>
      </c>
      <c r="H126" s="4" t="str">
        <f>HYPERLINK("http://141.218.60.56/~jnz1568/getInfo.php?workbook=05_01.xlsx&amp;sheet=A0&amp;row=126&amp;col=8&amp;number=&amp;sourceID=11","")</f>
        <v/>
      </c>
      <c r="I126" s="4" t="str">
        <f>HYPERLINK("http://141.218.60.56/~jnz1568/getInfo.php?workbook=05_01.xlsx&amp;sheet=A0&amp;row=126&amp;col=9&amp;number=&amp;sourceID=11","")</f>
        <v/>
      </c>
      <c r="J126" s="4" t="str">
        <f>HYPERLINK("http://141.218.60.56/~jnz1568/getInfo.php?workbook=05_01.xlsx&amp;sheet=A0&amp;row=126&amp;col=10&amp;number=0.088295&amp;sourceID=11","0.088295")</f>
        <v>0.088295</v>
      </c>
      <c r="K126" s="4" t="str">
        <f>HYPERLINK("http://141.218.60.56/~jnz1568/getInfo.php?workbook=05_01.xlsx&amp;sheet=A0&amp;row=126&amp;col=11&amp;number=&amp;sourceID=11","")</f>
        <v/>
      </c>
      <c r="L126" s="4" t="str">
        <f>HYPERLINK("http://141.218.60.56/~jnz1568/getInfo.php?workbook=05_01.xlsx&amp;sheet=A0&amp;row=126&amp;col=12&amp;number=0.016847&amp;sourceID=11","0.016847")</f>
        <v>0.016847</v>
      </c>
      <c r="M126" s="4" t="str">
        <f>HYPERLINK("http://141.218.60.56/~jnz1568/getInfo.php?workbook=05_01.xlsx&amp;sheet=A0&amp;row=126&amp;col=13&amp;number=&amp;sourceID=11","")</f>
        <v/>
      </c>
      <c r="N126" s="4" t="str">
        <f>HYPERLINK("http://141.218.60.56/~jnz1568/getInfo.php?workbook=05_01.xlsx&amp;sheet=A0&amp;row=126&amp;col=14&amp;number=0.10515&amp;sourceID=12","0.10515")</f>
        <v>0.10515</v>
      </c>
      <c r="O126" s="4" t="str">
        <f>HYPERLINK("http://141.218.60.56/~jnz1568/getInfo.php?workbook=05_01.xlsx&amp;sheet=A0&amp;row=126&amp;col=15&amp;number=&amp;sourceID=12","")</f>
        <v/>
      </c>
      <c r="P126" s="4" t="str">
        <f>HYPERLINK("http://141.218.60.56/~jnz1568/getInfo.php?workbook=05_01.xlsx&amp;sheet=A0&amp;row=126&amp;col=16&amp;number=&amp;sourceID=12","")</f>
        <v/>
      </c>
      <c r="Q126" s="4" t="str">
        <f>HYPERLINK("http://141.218.60.56/~jnz1568/getInfo.php?workbook=05_01.xlsx&amp;sheet=A0&amp;row=126&amp;col=17&amp;number=0.088299&amp;sourceID=12","0.088299")</f>
        <v>0.088299</v>
      </c>
      <c r="R126" s="4" t="str">
        <f>HYPERLINK("http://141.218.60.56/~jnz1568/getInfo.php?workbook=05_01.xlsx&amp;sheet=A0&amp;row=126&amp;col=18&amp;number=&amp;sourceID=12","")</f>
        <v/>
      </c>
      <c r="S126" s="4" t="str">
        <f>HYPERLINK("http://141.218.60.56/~jnz1568/getInfo.php?workbook=05_01.xlsx&amp;sheet=A0&amp;row=126&amp;col=19&amp;number=0.016848&amp;sourceID=12","0.016848")</f>
        <v>0.016848</v>
      </c>
      <c r="T126" s="4" t="str">
        <f>HYPERLINK("http://141.218.60.56/~jnz1568/getInfo.php?workbook=05_01.xlsx&amp;sheet=A0&amp;row=126&amp;col=20&amp;number=&amp;sourceID=12","")</f>
        <v/>
      </c>
    </row>
    <row r="127" spans="1:20">
      <c r="A127" s="3">
        <v>5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HYPERLINK("http://141.218.60.56/~jnz1568/getInfo.php?workbook=05_01.xlsx&amp;sheet=A0&amp;row=127&amp;col=6&amp;number=&amp;sourceID=18","")</f>
        <v/>
      </c>
      <c r="G127" s="4" t="str">
        <f>HYPERLINK("http://141.218.60.56/~jnz1568/getInfo.php?workbook=05_01.xlsx&amp;sheet=A0&amp;row=127&amp;col=7&amp;number==&amp;sourceID=11","=")</f>
        <v>=</v>
      </c>
      <c r="H127" s="4" t="str">
        <f>HYPERLINK("http://141.218.60.56/~jnz1568/getInfo.php?workbook=05_01.xlsx&amp;sheet=A0&amp;row=127&amp;col=8&amp;number=&amp;sourceID=11","")</f>
        <v/>
      </c>
      <c r="I127" s="4" t="str">
        <f>HYPERLINK("http://141.218.60.56/~jnz1568/getInfo.php?workbook=05_01.xlsx&amp;sheet=A0&amp;row=127&amp;col=9&amp;number=&amp;sourceID=11","")</f>
        <v/>
      </c>
      <c r="J127" s="4" t="str">
        <f>HYPERLINK("http://141.218.60.56/~jnz1568/getInfo.php?workbook=05_01.xlsx&amp;sheet=A0&amp;row=127&amp;col=10&amp;number=&amp;sourceID=11","")</f>
        <v/>
      </c>
      <c r="K127" s="4" t="str">
        <f>HYPERLINK("http://141.218.60.56/~jnz1568/getInfo.php?workbook=05_01.xlsx&amp;sheet=A0&amp;row=127&amp;col=11&amp;number=2.3922e-06&amp;sourceID=11","2.3922e-06")</f>
        <v>2.3922e-06</v>
      </c>
      <c r="L127" s="4" t="str">
        <f>HYPERLINK("http://141.218.60.56/~jnz1568/getInfo.php?workbook=05_01.xlsx&amp;sheet=A0&amp;row=127&amp;col=12&amp;number=&amp;sourceID=11","")</f>
        <v/>
      </c>
      <c r="M127" s="4" t="str">
        <f>HYPERLINK("http://141.218.60.56/~jnz1568/getInfo.php?workbook=05_01.xlsx&amp;sheet=A0&amp;row=127&amp;col=13&amp;number=&amp;sourceID=11","")</f>
        <v/>
      </c>
      <c r="N127" s="4" t="str">
        <f>HYPERLINK("http://141.218.60.56/~jnz1568/getInfo.php?workbook=05_01.xlsx&amp;sheet=A0&amp;row=127&amp;col=14&amp;number=2.3923e-06&amp;sourceID=12","2.3923e-06")</f>
        <v>2.3923e-06</v>
      </c>
      <c r="O127" s="4" t="str">
        <f>HYPERLINK("http://141.218.60.56/~jnz1568/getInfo.php?workbook=05_01.xlsx&amp;sheet=A0&amp;row=127&amp;col=15&amp;number=&amp;sourceID=12","")</f>
        <v/>
      </c>
      <c r="P127" s="4" t="str">
        <f>HYPERLINK("http://141.218.60.56/~jnz1568/getInfo.php?workbook=05_01.xlsx&amp;sheet=A0&amp;row=127&amp;col=16&amp;number=&amp;sourceID=12","")</f>
        <v/>
      </c>
      <c r="Q127" s="4" t="str">
        <f>HYPERLINK("http://141.218.60.56/~jnz1568/getInfo.php?workbook=05_01.xlsx&amp;sheet=A0&amp;row=127&amp;col=17&amp;number=&amp;sourceID=12","")</f>
        <v/>
      </c>
      <c r="R127" s="4" t="str">
        <f>HYPERLINK("http://141.218.60.56/~jnz1568/getInfo.php?workbook=05_01.xlsx&amp;sheet=A0&amp;row=127&amp;col=18&amp;number=2.3923e-06&amp;sourceID=12","2.3923e-06")</f>
        <v>2.3923e-06</v>
      </c>
      <c r="S127" s="4" t="str">
        <f>HYPERLINK("http://141.218.60.56/~jnz1568/getInfo.php?workbook=05_01.xlsx&amp;sheet=A0&amp;row=127&amp;col=19&amp;number=&amp;sourceID=12","")</f>
        <v/>
      </c>
      <c r="T127" s="4" t="str">
        <f>HYPERLINK("http://141.218.60.56/~jnz1568/getInfo.php?workbook=05_01.xlsx&amp;sheet=A0&amp;row=127&amp;col=20&amp;number=&amp;sourceID=12","")</f>
        <v/>
      </c>
    </row>
    <row r="128" spans="1:20">
      <c r="A128" s="3">
        <v>5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HYPERLINK("http://141.218.60.56/~jnz1568/getInfo.php?workbook=05_01.xlsx&amp;sheet=A0&amp;row=128&amp;col=6&amp;number=&amp;sourceID=18","")</f>
        <v/>
      </c>
      <c r="G128" s="4" t="str">
        <f>HYPERLINK("http://141.218.60.56/~jnz1568/getInfo.php?workbook=05_01.xlsx&amp;sheet=A0&amp;row=128&amp;col=7&amp;number==&amp;sourceID=11","=")</f>
        <v>=</v>
      </c>
      <c r="H128" s="4" t="str">
        <f>HYPERLINK("http://141.218.60.56/~jnz1568/getInfo.php?workbook=05_01.xlsx&amp;sheet=A0&amp;row=128&amp;col=8&amp;number=461270000&amp;sourceID=11","461270000")</f>
        <v>461270000</v>
      </c>
      <c r="I128" s="4" t="str">
        <f>HYPERLINK("http://141.218.60.56/~jnz1568/getInfo.php?workbook=05_01.xlsx&amp;sheet=A0&amp;row=128&amp;col=9&amp;number=&amp;sourceID=11","")</f>
        <v/>
      </c>
      <c r="J128" s="4" t="str">
        <f>HYPERLINK("http://141.218.60.56/~jnz1568/getInfo.php?workbook=05_01.xlsx&amp;sheet=A0&amp;row=128&amp;col=10&amp;number=&amp;sourceID=11","")</f>
        <v/>
      </c>
      <c r="K128" s="4" t="str">
        <f>HYPERLINK("http://141.218.60.56/~jnz1568/getInfo.php?workbook=05_01.xlsx&amp;sheet=A0&amp;row=128&amp;col=11&amp;number=&amp;sourceID=11","")</f>
        <v/>
      </c>
      <c r="L128" s="4" t="str">
        <f>HYPERLINK("http://141.218.60.56/~jnz1568/getInfo.php?workbook=05_01.xlsx&amp;sheet=A0&amp;row=128&amp;col=12&amp;number=&amp;sourceID=11","")</f>
        <v/>
      </c>
      <c r="M128" s="4" t="str">
        <f>HYPERLINK("http://141.218.60.56/~jnz1568/getInfo.php?workbook=05_01.xlsx&amp;sheet=A0&amp;row=128&amp;col=13&amp;number=&amp;sourceID=11","")</f>
        <v/>
      </c>
      <c r="N128" s="4" t="str">
        <f>HYPERLINK("http://141.218.60.56/~jnz1568/getInfo.php?workbook=05_01.xlsx&amp;sheet=A0&amp;row=128&amp;col=14&amp;number=461290000&amp;sourceID=12","461290000")</f>
        <v>461290000</v>
      </c>
      <c r="O128" s="4" t="str">
        <f>HYPERLINK("http://141.218.60.56/~jnz1568/getInfo.php?workbook=05_01.xlsx&amp;sheet=A0&amp;row=128&amp;col=15&amp;number=461290000&amp;sourceID=12","461290000")</f>
        <v>461290000</v>
      </c>
      <c r="P128" s="4" t="str">
        <f>HYPERLINK("http://141.218.60.56/~jnz1568/getInfo.php?workbook=05_01.xlsx&amp;sheet=A0&amp;row=128&amp;col=16&amp;number=&amp;sourceID=12","")</f>
        <v/>
      </c>
      <c r="Q128" s="4" t="str">
        <f>HYPERLINK("http://141.218.60.56/~jnz1568/getInfo.php?workbook=05_01.xlsx&amp;sheet=A0&amp;row=128&amp;col=17&amp;number=&amp;sourceID=12","")</f>
        <v/>
      </c>
      <c r="R128" s="4" t="str">
        <f>HYPERLINK("http://141.218.60.56/~jnz1568/getInfo.php?workbook=05_01.xlsx&amp;sheet=A0&amp;row=128&amp;col=18&amp;number=&amp;sourceID=12","")</f>
        <v/>
      </c>
      <c r="S128" s="4" t="str">
        <f>HYPERLINK("http://141.218.60.56/~jnz1568/getInfo.php?workbook=05_01.xlsx&amp;sheet=A0&amp;row=128&amp;col=19&amp;number=&amp;sourceID=12","")</f>
        <v/>
      </c>
      <c r="T128" s="4" t="str">
        <f>HYPERLINK("http://141.218.60.56/~jnz1568/getInfo.php?workbook=05_01.xlsx&amp;sheet=A0&amp;row=128&amp;col=20&amp;number=&amp;sourceID=12","")</f>
        <v/>
      </c>
    </row>
    <row r="129" spans="1:20">
      <c r="A129" s="3">
        <v>5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HYPERLINK("http://141.218.60.56/~jnz1568/getInfo.php?workbook=05_01.xlsx&amp;sheet=A0&amp;row=129&amp;col=6&amp;number=&amp;sourceID=18","")</f>
        <v/>
      </c>
      <c r="G129" s="4" t="str">
        <f>HYPERLINK("http://141.218.60.56/~jnz1568/getInfo.php?workbook=05_01.xlsx&amp;sheet=A0&amp;row=129&amp;col=7&amp;number==&amp;sourceID=11","=")</f>
        <v>=</v>
      </c>
      <c r="H129" s="4" t="str">
        <f>HYPERLINK("http://141.218.60.56/~jnz1568/getInfo.php?workbook=05_01.xlsx&amp;sheet=A0&amp;row=129&amp;col=8&amp;number=118270000&amp;sourceID=11","118270000")</f>
        <v>118270000</v>
      </c>
      <c r="I129" s="4" t="str">
        <f>HYPERLINK("http://141.218.60.56/~jnz1568/getInfo.php?workbook=05_01.xlsx&amp;sheet=A0&amp;row=129&amp;col=9&amp;number=&amp;sourceID=11","")</f>
        <v/>
      </c>
      <c r="J129" s="4" t="str">
        <f>HYPERLINK("http://141.218.60.56/~jnz1568/getInfo.php?workbook=05_01.xlsx&amp;sheet=A0&amp;row=129&amp;col=10&amp;number=&amp;sourceID=11","")</f>
        <v/>
      </c>
      <c r="K129" s="4" t="str">
        <f>HYPERLINK("http://141.218.60.56/~jnz1568/getInfo.php?workbook=05_01.xlsx&amp;sheet=A0&amp;row=129&amp;col=11&amp;number=&amp;sourceID=11","")</f>
        <v/>
      </c>
      <c r="L129" s="4" t="str">
        <f>HYPERLINK("http://141.218.60.56/~jnz1568/getInfo.php?workbook=05_01.xlsx&amp;sheet=A0&amp;row=129&amp;col=12&amp;number=0.00019893&amp;sourceID=11","0.00019893")</f>
        <v>0.00019893</v>
      </c>
      <c r="M129" s="4" t="str">
        <f>HYPERLINK("http://141.218.60.56/~jnz1568/getInfo.php?workbook=05_01.xlsx&amp;sheet=A0&amp;row=129&amp;col=13&amp;number=&amp;sourceID=11","")</f>
        <v/>
      </c>
      <c r="N129" s="4" t="str">
        <f>HYPERLINK("http://141.218.60.56/~jnz1568/getInfo.php?workbook=05_01.xlsx&amp;sheet=A0&amp;row=129&amp;col=14&amp;number=118270000&amp;sourceID=12","118270000")</f>
        <v>118270000</v>
      </c>
      <c r="O129" s="4" t="str">
        <f>HYPERLINK("http://141.218.60.56/~jnz1568/getInfo.php?workbook=05_01.xlsx&amp;sheet=A0&amp;row=129&amp;col=15&amp;number=118270000&amp;sourceID=12","118270000")</f>
        <v>118270000</v>
      </c>
      <c r="P129" s="4" t="str">
        <f>HYPERLINK("http://141.218.60.56/~jnz1568/getInfo.php?workbook=05_01.xlsx&amp;sheet=A0&amp;row=129&amp;col=16&amp;number=&amp;sourceID=12","")</f>
        <v/>
      </c>
      <c r="Q129" s="4" t="str">
        <f>HYPERLINK("http://141.218.60.56/~jnz1568/getInfo.php?workbook=05_01.xlsx&amp;sheet=A0&amp;row=129&amp;col=17&amp;number=&amp;sourceID=12","")</f>
        <v/>
      </c>
      <c r="R129" s="4" t="str">
        <f>HYPERLINK("http://141.218.60.56/~jnz1568/getInfo.php?workbook=05_01.xlsx&amp;sheet=A0&amp;row=129&amp;col=18&amp;number=&amp;sourceID=12","")</f>
        <v/>
      </c>
      <c r="S129" s="4" t="str">
        <f>HYPERLINK("http://141.218.60.56/~jnz1568/getInfo.php?workbook=05_01.xlsx&amp;sheet=A0&amp;row=129&amp;col=19&amp;number=0.00019894&amp;sourceID=12","0.00019894")</f>
        <v>0.00019894</v>
      </c>
      <c r="T129" s="4" t="str">
        <f>HYPERLINK("http://141.218.60.56/~jnz1568/getInfo.php?workbook=05_01.xlsx&amp;sheet=A0&amp;row=129&amp;col=20&amp;number=&amp;sourceID=12","")</f>
        <v/>
      </c>
    </row>
    <row r="130" spans="1:20">
      <c r="A130" s="3">
        <v>5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HYPERLINK("http://141.218.60.56/~jnz1568/getInfo.php?workbook=05_01.xlsx&amp;sheet=A0&amp;row=130&amp;col=6&amp;number=&amp;sourceID=18","")</f>
        <v/>
      </c>
      <c r="G130" s="4" t="str">
        <f>HYPERLINK("http://141.218.60.56/~jnz1568/getInfo.php?workbook=05_01.xlsx&amp;sheet=A0&amp;row=130&amp;col=7&amp;number==&amp;sourceID=11","=")</f>
        <v>=</v>
      </c>
      <c r="H130" s="4" t="str">
        <f>HYPERLINK("http://141.218.60.56/~jnz1568/getInfo.php?workbook=05_01.xlsx&amp;sheet=A0&amp;row=130&amp;col=8&amp;number=&amp;sourceID=11","")</f>
        <v/>
      </c>
      <c r="I130" s="4" t="str">
        <f>HYPERLINK("http://141.218.60.56/~jnz1568/getInfo.php?workbook=05_01.xlsx&amp;sheet=A0&amp;row=130&amp;col=9&amp;number=7101.9&amp;sourceID=11","7101.9")</f>
        <v>7101.9</v>
      </c>
      <c r="J130" s="4" t="str">
        <f>HYPERLINK("http://141.218.60.56/~jnz1568/getInfo.php?workbook=05_01.xlsx&amp;sheet=A0&amp;row=130&amp;col=10&amp;number=&amp;sourceID=11","")</f>
        <v/>
      </c>
      <c r="K130" s="4" t="str">
        <f>HYPERLINK("http://141.218.60.56/~jnz1568/getInfo.php?workbook=05_01.xlsx&amp;sheet=A0&amp;row=130&amp;col=11&amp;number=0.00050419&amp;sourceID=11","0.00050419")</f>
        <v>0.00050419</v>
      </c>
      <c r="L130" s="4" t="str">
        <f>HYPERLINK("http://141.218.60.56/~jnz1568/getInfo.php?workbook=05_01.xlsx&amp;sheet=A0&amp;row=130&amp;col=12&amp;number=&amp;sourceID=11","")</f>
        <v/>
      </c>
      <c r="M130" s="4" t="str">
        <f>HYPERLINK("http://141.218.60.56/~jnz1568/getInfo.php?workbook=05_01.xlsx&amp;sheet=A0&amp;row=130&amp;col=13&amp;number=&amp;sourceID=11","")</f>
        <v/>
      </c>
      <c r="N130" s="4" t="str">
        <f>HYPERLINK("http://141.218.60.56/~jnz1568/getInfo.php?workbook=05_01.xlsx&amp;sheet=A0&amp;row=130&amp;col=14&amp;number=7102.3&amp;sourceID=12","7102.3")</f>
        <v>7102.3</v>
      </c>
      <c r="O130" s="4" t="str">
        <f>HYPERLINK("http://141.218.60.56/~jnz1568/getInfo.php?workbook=05_01.xlsx&amp;sheet=A0&amp;row=130&amp;col=15&amp;number=&amp;sourceID=12","")</f>
        <v/>
      </c>
      <c r="P130" s="4" t="str">
        <f>HYPERLINK("http://141.218.60.56/~jnz1568/getInfo.php?workbook=05_01.xlsx&amp;sheet=A0&amp;row=130&amp;col=16&amp;number=7102.3&amp;sourceID=12","7102.3")</f>
        <v>7102.3</v>
      </c>
      <c r="Q130" s="4" t="str">
        <f>HYPERLINK("http://141.218.60.56/~jnz1568/getInfo.php?workbook=05_01.xlsx&amp;sheet=A0&amp;row=130&amp;col=17&amp;number=&amp;sourceID=12","")</f>
        <v/>
      </c>
      <c r="R130" s="4" t="str">
        <f>HYPERLINK("http://141.218.60.56/~jnz1568/getInfo.php?workbook=05_01.xlsx&amp;sheet=A0&amp;row=130&amp;col=18&amp;number=0.00050424&amp;sourceID=12","0.00050424")</f>
        <v>0.00050424</v>
      </c>
      <c r="S130" s="4" t="str">
        <f>HYPERLINK("http://141.218.60.56/~jnz1568/getInfo.php?workbook=05_01.xlsx&amp;sheet=A0&amp;row=130&amp;col=19&amp;number=&amp;sourceID=12","")</f>
        <v/>
      </c>
      <c r="T130" s="4" t="str">
        <f>HYPERLINK("http://141.218.60.56/~jnz1568/getInfo.php?workbook=05_01.xlsx&amp;sheet=A0&amp;row=130&amp;col=20&amp;number=&amp;sourceID=12","")</f>
        <v/>
      </c>
    </row>
    <row r="131" spans="1:20">
      <c r="A131" s="3">
        <v>5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HYPERLINK("http://141.218.60.56/~jnz1568/getInfo.php?workbook=05_01.xlsx&amp;sheet=A0&amp;row=131&amp;col=6&amp;number=&amp;sourceID=18","")</f>
        <v/>
      </c>
      <c r="G131" s="4" t="str">
        <f>HYPERLINK("http://141.218.60.56/~jnz1568/getInfo.php?workbook=05_01.xlsx&amp;sheet=A0&amp;row=131&amp;col=7&amp;number==&amp;sourceID=11","=")</f>
        <v>=</v>
      </c>
      <c r="H131" s="4" t="str">
        <f>HYPERLINK("http://141.218.60.56/~jnz1568/getInfo.php?workbook=05_01.xlsx&amp;sheet=A0&amp;row=131&amp;col=8&amp;number=&amp;sourceID=11","")</f>
        <v/>
      </c>
      <c r="I131" s="4" t="str">
        <f>HYPERLINK("http://141.218.60.56/~jnz1568/getInfo.php?workbook=05_01.xlsx&amp;sheet=A0&amp;row=131&amp;col=9&amp;number=737.28&amp;sourceID=11","737.28")</f>
        <v>737.28</v>
      </c>
      <c r="J131" s="4" t="str">
        <f>HYPERLINK("http://141.218.60.56/~jnz1568/getInfo.php?workbook=05_01.xlsx&amp;sheet=A0&amp;row=131&amp;col=10&amp;number=&amp;sourceID=11","")</f>
        <v/>
      </c>
      <c r="K131" s="4" t="str">
        <f>HYPERLINK("http://141.218.60.56/~jnz1568/getInfo.php?workbook=05_01.xlsx&amp;sheet=A0&amp;row=131&amp;col=11&amp;number=&amp;sourceID=11","")</f>
        <v/>
      </c>
      <c r="L131" s="4" t="str">
        <f>HYPERLINK("http://141.218.60.56/~jnz1568/getInfo.php?workbook=05_01.xlsx&amp;sheet=A0&amp;row=131&amp;col=12&amp;number=&amp;sourceID=11","")</f>
        <v/>
      </c>
      <c r="M131" s="4" t="str">
        <f>HYPERLINK("http://141.218.60.56/~jnz1568/getInfo.php?workbook=05_01.xlsx&amp;sheet=A0&amp;row=131&amp;col=13&amp;number=7.4962e-10&amp;sourceID=11","7.4962e-10")</f>
        <v>7.4962e-10</v>
      </c>
      <c r="N131" s="4" t="str">
        <f>HYPERLINK("http://141.218.60.56/~jnz1568/getInfo.php?workbook=05_01.xlsx&amp;sheet=A0&amp;row=131&amp;col=14&amp;number=737.32&amp;sourceID=12","737.32")</f>
        <v>737.32</v>
      </c>
      <c r="O131" s="4" t="str">
        <f>HYPERLINK("http://141.218.60.56/~jnz1568/getInfo.php?workbook=05_01.xlsx&amp;sheet=A0&amp;row=131&amp;col=15&amp;number=&amp;sourceID=12","")</f>
        <v/>
      </c>
      <c r="P131" s="4" t="str">
        <f>HYPERLINK("http://141.218.60.56/~jnz1568/getInfo.php?workbook=05_01.xlsx&amp;sheet=A0&amp;row=131&amp;col=16&amp;number=737.32&amp;sourceID=12","737.32")</f>
        <v>737.32</v>
      </c>
      <c r="Q131" s="4" t="str">
        <f>HYPERLINK("http://141.218.60.56/~jnz1568/getInfo.php?workbook=05_01.xlsx&amp;sheet=A0&amp;row=131&amp;col=17&amp;number=&amp;sourceID=12","")</f>
        <v/>
      </c>
      <c r="R131" s="4" t="str">
        <f>HYPERLINK("http://141.218.60.56/~jnz1568/getInfo.php?workbook=05_01.xlsx&amp;sheet=A0&amp;row=131&amp;col=18&amp;number=&amp;sourceID=12","")</f>
        <v/>
      </c>
      <c r="S131" s="4" t="str">
        <f>HYPERLINK("http://141.218.60.56/~jnz1568/getInfo.php?workbook=05_01.xlsx&amp;sheet=A0&amp;row=131&amp;col=19&amp;number=&amp;sourceID=12","")</f>
        <v/>
      </c>
      <c r="T131" s="4" t="str">
        <f>HYPERLINK("http://141.218.60.56/~jnz1568/getInfo.php?workbook=05_01.xlsx&amp;sheet=A0&amp;row=131&amp;col=20&amp;number=7.4966e-10&amp;sourceID=12","7.4966e-10")</f>
        <v>7.4966e-10</v>
      </c>
    </row>
    <row r="132" spans="1:20">
      <c r="A132" s="3">
        <v>5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HYPERLINK("http://141.218.60.56/~jnz1568/getInfo.php?workbook=05_01.xlsx&amp;sheet=A0&amp;row=132&amp;col=6&amp;number=&amp;sourceID=18","")</f>
        <v/>
      </c>
      <c r="G132" s="4" t="str">
        <f>HYPERLINK("http://141.218.60.56/~jnz1568/getInfo.php?workbook=05_01.xlsx&amp;sheet=A0&amp;row=132&amp;col=7&amp;number==&amp;sourceID=11","=")</f>
        <v>=</v>
      </c>
      <c r="H132" s="4" t="str">
        <f>HYPERLINK("http://141.218.60.56/~jnz1568/getInfo.php?workbook=05_01.xlsx&amp;sheet=A0&amp;row=132&amp;col=8&amp;number=&amp;sourceID=11","")</f>
        <v/>
      </c>
      <c r="I132" s="4" t="str">
        <f>HYPERLINK("http://141.218.60.56/~jnz1568/getInfo.php?workbook=05_01.xlsx&amp;sheet=A0&amp;row=132&amp;col=9&amp;number=&amp;sourceID=11","")</f>
        <v/>
      </c>
      <c r="J132" s="4" t="str">
        <f>HYPERLINK("http://141.218.60.56/~jnz1568/getInfo.php?workbook=05_01.xlsx&amp;sheet=A0&amp;row=132&amp;col=10&amp;number=0.03005&amp;sourceID=11","0.03005")</f>
        <v>0.03005</v>
      </c>
      <c r="K132" s="4" t="str">
        <f>HYPERLINK("http://141.218.60.56/~jnz1568/getInfo.php?workbook=05_01.xlsx&amp;sheet=A0&amp;row=132&amp;col=11&amp;number=&amp;sourceID=11","")</f>
        <v/>
      </c>
      <c r="L132" s="4" t="str">
        <f>HYPERLINK("http://141.218.60.56/~jnz1568/getInfo.php?workbook=05_01.xlsx&amp;sheet=A0&amp;row=132&amp;col=12&amp;number=0.0021235&amp;sourceID=11","0.0021235")</f>
        <v>0.0021235</v>
      </c>
      <c r="M132" s="4" t="str">
        <f>HYPERLINK("http://141.218.60.56/~jnz1568/getInfo.php?workbook=05_01.xlsx&amp;sheet=A0&amp;row=132&amp;col=13&amp;number=&amp;sourceID=11","")</f>
        <v/>
      </c>
      <c r="N132" s="4" t="str">
        <f>HYPERLINK("http://141.218.60.56/~jnz1568/getInfo.php?workbook=05_01.xlsx&amp;sheet=A0&amp;row=132&amp;col=14&amp;number=0.032175&amp;sourceID=12","0.032175")</f>
        <v>0.032175</v>
      </c>
      <c r="O132" s="4" t="str">
        <f>HYPERLINK("http://141.218.60.56/~jnz1568/getInfo.php?workbook=05_01.xlsx&amp;sheet=A0&amp;row=132&amp;col=15&amp;number=&amp;sourceID=12","")</f>
        <v/>
      </c>
      <c r="P132" s="4" t="str">
        <f>HYPERLINK("http://141.218.60.56/~jnz1568/getInfo.php?workbook=05_01.xlsx&amp;sheet=A0&amp;row=132&amp;col=16&amp;number=&amp;sourceID=12","")</f>
        <v/>
      </c>
      <c r="Q132" s="4" t="str">
        <f>HYPERLINK("http://141.218.60.56/~jnz1568/getInfo.php?workbook=05_01.xlsx&amp;sheet=A0&amp;row=132&amp;col=17&amp;number=0.030051&amp;sourceID=12","0.030051")</f>
        <v>0.030051</v>
      </c>
      <c r="R132" s="4" t="str">
        <f>HYPERLINK("http://141.218.60.56/~jnz1568/getInfo.php?workbook=05_01.xlsx&amp;sheet=A0&amp;row=132&amp;col=18&amp;number=&amp;sourceID=12","")</f>
        <v/>
      </c>
      <c r="S132" s="4" t="str">
        <f>HYPERLINK("http://141.218.60.56/~jnz1568/getInfo.php?workbook=05_01.xlsx&amp;sheet=A0&amp;row=132&amp;col=19&amp;number=0.0021236&amp;sourceID=12","0.0021236")</f>
        <v>0.0021236</v>
      </c>
      <c r="T132" s="4" t="str">
        <f>HYPERLINK("http://141.218.60.56/~jnz1568/getInfo.php?workbook=05_01.xlsx&amp;sheet=A0&amp;row=132&amp;col=20&amp;number=&amp;sourceID=12","")</f>
        <v/>
      </c>
    </row>
    <row r="133" spans="1:20">
      <c r="A133" s="3">
        <v>5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HYPERLINK("http://141.218.60.56/~jnz1568/getInfo.php?workbook=05_01.xlsx&amp;sheet=A0&amp;row=133&amp;col=6&amp;number=&amp;sourceID=18","")</f>
        <v/>
      </c>
      <c r="G133" s="4" t="str">
        <f>HYPERLINK("http://141.218.60.56/~jnz1568/getInfo.php?workbook=05_01.xlsx&amp;sheet=A0&amp;row=133&amp;col=7&amp;number==&amp;sourceID=11","=")</f>
        <v>=</v>
      </c>
      <c r="H133" s="4" t="str">
        <f>HYPERLINK("http://141.218.60.56/~jnz1568/getInfo.php?workbook=05_01.xlsx&amp;sheet=A0&amp;row=133&amp;col=8&amp;number=&amp;sourceID=11","")</f>
        <v/>
      </c>
      <c r="I133" s="4" t="str">
        <f>HYPERLINK("http://141.218.60.56/~jnz1568/getInfo.php?workbook=05_01.xlsx&amp;sheet=A0&amp;row=133&amp;col=9&amp;number=&amp;sourceID=11","")</f>
        <v/>
      </c>
      <c r="J133" s="4" t="str">
        <f>HYPERLINK("http://141.218.60.56/~jnz1568/getInfo.php?workbook=05_01.xlsx&amp;sheet=A0&amp;row=133&amp;col=10&amp;number=&amp;sourceID=11","")</f>
        <v/>
      </c>
      <c r="K133" s="4" t="str">
        <f>HYPERLINK("http://141.218.60.56/~jnz1568/getInfo.php?workbook=05_01.xlsx&amp;sheet=A0&amp;row=133&amp;col=11&amp;number=&amp;sourceID=11","")</f>
        <v/>
      </c>
      <c r="L133" s="4" t="str">
        <f>HYPERLINK("http://141.218.60.56/~jnz1568/getInfo.php?workbook=05_01.xlsx&amp;sheet=A0&amp;row=133&amp;col=12&amp;number=&amp;sourceID=11","")</f>
        <v/>
      </c>
      <c r="M133" s="4" t="str">
        <f>HYPERLINK("http://141.218.60.56/~jnz1568/getInfo.php?workbook=05_01.xlsx&amp;sheet=A0&amp;row=133&amp;col=13&amp;number=2.024e-08&amp;sourceID=11","2.024e-08")</f>
        <v>2.024e-08</v>
      </c>
      <c r="N133" s="4" t="str">
        <f>HYPERLINK("http://141.218.60.56/~jnz1568/getInfo.php?workbook=05_01.xlsx&amp;sheet=A0&amp;row=133&amp;col=14&amp;number=2.0241e-08&amp;sourceID=12","2.0241e-08")</f>
        <v>2.0241e-08</v>
      </c>
      <c r="O133" s="4" t="str">
        <f>HYPERLINK("http://141.218.60.56/~jnz1568/getInfo.php?workbook=05_01.xlsx&amp;sheet=A0&amp;row=133&amp;col=15&amp;number=&amp;sourceID=12","")</f>
        <v/>
      </c>
      <c r="P133" s="4" t="str">
        <f>HYPERLINK("http://141.218.60.56/~jnz1568/getInfo.php?workbook=05_01.xlsx&amp;sheet=A0&amp;row=133&amp;col=16&amp;number=&amp;sourceID=12","")</f>
        <v/>
      </c>
      <c r="Q133" s="4" t="str">
        <f>HYPERLINK("http://141.218.60.56/~jnz1568/getInfo.php?workbook=05_01.xlsx&amp;sheet=A0&amp;row=133&amp;col=17&amp;number=&amp;sourceID=12","")</f>
        <v/>
      </c>
      <c r="R133" s="4" t="str">
        <f>HYPERLINK("http://141.218.60.56/~jnz1568/getInfo.php?workbook=05_01.xlsx&amp;sheet=A0&amp;row=133&amp;col=18&amp;number=&amp;sourceID=12","")</f>
        <v/>
      </c>
      <c r="S133" s="4" t="str">
        <f>HYPERLINK("http://141.218.60.56/~jnz1568/getInfo.php?workbook=05_01.xlsx&amp;sheet=A0&amp;row=133&amp;col=19&amp;number=&amp;sourceID=12","")</f>
        <v/>
      </c>
      <c r="T133" s="4" t="str">
        <f>HYPERLINK("http://141.218.60.56/~jnz1568/getInfo.php?workbook=05_01.xlsx&amp;sheet=A0&amp;row=133&amp;col=20&amp;number=2.0241e-08&amp;sourceID=12","2.0241e-08")</f>
        <v>2.0241e-08</v>
      </c>
    </row>
    <row r="134" spans="1:20">
      <c r="A134" s="3">
        <v>5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HYPERLINK("http://141.218.60.56/~jnz1568/getInfo.php?workbook=05_01.xlsx&amp;sheet=A0&amp;row=134&amp;col=6&amp;number=&amp;sourceID=18","")</f>
        <v/>
      </c>
      <c r="G134" s="4" t="str">
        <f>HYPERLINK("http://141.218.60.56/~jnz1568/getInfo.php?workbook=05_01.xlsx&amp;sheet=A0&amp;row=134&amp;col=7&amp;number==SUM(H134:M134)&amp;sourceID=11","=SUM(H134:M134)")</f>
        <v>=SUM(H134:M134)</v>
      </c>
      <c r="H134" s="4" t="str">
        <f>HYPERLINK("http://141.218.60.56/~jnz1568/getInfo.php?workbook=05_01.xlsx&amp;sheet=A0&amp;row=134&amp;col=8&amp;number=&amp;sourceID=11","")</f>
        <v/>
      </c>
      <c r="I134" s="4" t="str">
        <f>HYPERLINK("http://141.218.60.56/~jnz1568/getInfo.php?workbook=05_01.xlsx&amp;sheet=A0&amp;row=134&amp;col=9&amp;number=&amp;sourceID=11","")</f>
        <v/>
      </c>
      <c r="J134" s="4" t="str">
        <f>HYPERLINK("http://141.218.60.56/~jnz1568/getInfo.php?workbook=05_01.xlsx&amp;sheet=A0&amp;row=134&amp;col=10&amp;number=&amp;sourceID=11","")</f>
        <v/>
      </c>
      <c r="K134" s="4" t="str">
        <f>HYPERLINK("http://141.218.60.56/~jnz1568/getInfo.php?workbook=05_01.xlsx&amp;sheet=A0&amp;row=134&amp;col=11&amp;number=2.8075&amp;sourceID=11","2.8075")</f>
        <v>2.8075</v>
      </c>
      <c r="L134" s="4" t="str">
        <f>HYPERLINK("http://141.218.60.56/~jnz1568/getInfo.php?workbook=05_01.xlsx&amp;sheet=A0&amp;row=134&amp;col=12&amp;number=&amp;sourceID=11","")</f>
        <v/>
      </c>
      <c r="M134" s="4" t="str">
        <f>HYPERLINK("http://141.218.60.56/~jnz1568/getInfo.php?workbook=05_01.xlsx&amp;sheet=A0&amp;row=134&amp;col=13&amp;number=&amp;sourceID=11","")</f>
        <v/>
      </c>
      <c r="N134" s="4" t="str">
        <f>HYPERLINK("http://141.218.60.56/~jnz1568/getInfo.php?workbook=05_01.xlsx&amp;sheet=A0&amp;row=134&amp;col=14&amp;number=2.8061&amp;sourceID=12","2.8061")</f>
        <v>2.8061</v>
      </c>
      <c r="O134" s="4" t="str">
        <f>HYPERLINK("http://141.218.60.56/~jnz1568/getInfo.php?workbook=05_01.xlsx&amp;sheet=A0&amp;row=134&amp;col=15&amp;number=&amp;sourceID=12","")</f>
        <v/>
      </c>
      <c r="P134" s="4" t="str">
        <f>HYPERLINK("http://141.218.60.56/~jnz1568/getInfo.php?workbook=05_01.xlsx&amp;sheet=A0&amp;row=134&amp;col=16&amp;number=&amp;sourceID=12","")</f>
        <v/>
      </c>
      <c r="Q134" s="4" t="str">
        <f>HYPERLINK("http://141.218.60.56/~jnz1568/getInfo.php?workbook=05_01.xlsx&amp;sheet=A0&amp;row=134&amp;col=17&amp;number=&amp;sourceID=12","")</f>
        <v/>
      </c>
      <c r="R134" s="4" t="str">
        <f>HYPERLINK("http://141.218.60.56/~jnz1568/getInfo.php?workbook=05_01.xlsx&amp;sheet=A0&amp;row=134&amp;col=18&amp;number=2.8061&amp;sourceID=12","2.8061")</f>
        <v>2.8061</v>
      </c>
      <c r="S134" s="4" t="str">
        <f>HYPERLINK("http://141.218.60.56/~jnz1568/getInfo.php?workbook=05_01.xlsx&amp;sheet=A0&amp;row=134&amp;col=19&amp;number=&amp;sourceID=12","")</f>
        <v/>
      </c>
      <c r="T134" s="4" t="str">
        <f>HYPERLINK("http://141.218.60.56/~jnz1568/getInfo.php?workbook=05_01.xlsx&amp;sheet=A0&amp;row=134&amp;col=20&amp;number=&amp;sourceID=12","")</f>
        <v/>
      </c>
    </row>
    <row r="135" spans="1:20">
      <c r="A135" s="3">
        <v>5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HYPERLINK("http://141.218.60.56/~jnz1568/getInfo.php?workbook=05_01.xlsx&amp;sheet=A0&amp;row=135&amp;col=6&amp;number=&amp;sourceID=18","")</f>
        <v/>
      </c>
      <c r="G135" s="4" t="str">
        <f>HYPERLINK("http://141.218.60.56/~jnz1568/getInfo.php?workbook=05_01.xlsx&amp;sheet=A0&amp;row=135&amp;col=7&amp;number==&amp;sourceID=11","=")</f>
        <v>=</v>
      </c>
      <c r="H135" s="4" t="str">
        <f>HYPERLINK("http://141.218.60.56/~jnz1568/getInfo.php?workbook=05_01.xlsx&amp;sheet=A0&amp;row=135&amp;col=8&amp;number=268800000&amp;sourceID=11","268800000")</f>
        <v>268800000</v>
      </c>
      <c r="I135" s="4" t="str">
        <f>HYPERLINK("http://141.218.60.56/~jnz1568/getInfo.php?workbook=05_01.xlsx&amp;sheet=A0&amp;row=135&amp;col=9&amp;number=&amp;sourceID=11","")</f>
        <v/>
      </c>
      <c r="J135" s="4" t="str">
        <f>HYPERLINK("http://141.218.60.56/~jnz1568/getInfo.php?workbook=05_01.xlsx&amp;sheet=A0&amp;row=135&amp;col=10&amp;number=&amp;sourceID=11","")</f>
        <v/>
      </c>
      <c r="K135" s="4" t="str">
        <f>HYPERLINK("http://141.218.60.56/~jnz1568/getInfo.php?workbook=05_01.xlsx&amp;sheet=A0&amp;row=135&amp;col=11&amp;number=&amp;sourceID=11","")</f>
        <v/>
      </c>
      <c r="L135" s="4" t="str">
        <f>HYPERLINK("http://141.218.60.56/~jnz1568/getInfo.php?workbook=05_01.xlsx&amp;sheet=A0&amp;row=135&amp;col=12&amp;number=&amp;sourceID=11","")</f>
        <v/>
      </c>
      <c r="M135" s="4" t="str">
        <f>HYPERLINK("http://141.218.60.56/~jnz1568/getInfo.php?workbook=05_01.xlsx&amp;sheet=A0&amp;row=135&amp;col=13&amp;number=&amp;sourceID=11","")</f>
        <v/>
      </c>
      <c r="N135" s="4" t="str">
        <f>HYPERLINK("http://141.218.60.56/~jnz1568/getInfo.php?workbook=05_01.xlsx&amp;sheet=A0&amp;row=135&amp;col=14&amp;number=268820000&amp;sourceID=12","268820000")</f>
        <v>268820000</v>
      </c>
      <c r="O135" s="4" t="str">
        <f>HYPERLINK("http://141.218.60.56/~jnz1568/getInfo.php?workbook=05_01.xlsx&amp;sheet=A0&amp;row=135&amp;col=15&amp;number=268820000&amp;sourceID=12","268820000")</f>
        <v>268820000</v>
      </c>
      <c r="P135" s="4" t="str">
        <f>HYPERLINK("http://141.218.60.56/~jnz1568/getInfo.php?workbook=05_01.xlsx&amp;sheet=A0&amp;row=135&amp;col=16&amp;number=&amp;sourceID=12","")</f>
        <v/>
      </c>
      <c r="Q135" s="4" t="str">
        <f>HYPERLINK("http://141.218.60.56/~jnz1568/getInfo.php?workbook=05_01.xlsx&amp;sheet=A0&amp;row=135&amp;col=17&amp;number=&amp;sourceID=12","")</f>
        <v/>
      </c>
      <c r="R135" s="4" t="str">
        <f>HYPERLINK("http://141.218.60.56/~jnz1568/getInfo.php?workbook=05_01.xlsx&amp;sheet=A0&amp;row=135&amp;col=18&amp;number=&amp;sourceID=12","")</f>
        <v/>
      </c>
      <c r="S135" s="4" t="str">
        <f>HYPERLINK("http://141.218.60.56/~jnz1568/getInfo.php?workbook=05_01.xlsx&amp;sheet=A0&amp;row=135&amp;col=19&amp;number=&amp;sourceID=12","")</f>
        <v/>
      </c>
      <c r="T135" s="4" t="str">
        <f>HYPERLINK("http://141.218.60.56/~jnz1568/getInfo.php?workbook=05_01.xlsx&amp;sheet=A0&amp;row=135&amp;col=20&amp;number=&amp;sourceID=12","")</f>
        <v/>
      </c>
    </row>
    <row r="136" spans="1:20">
      <c r="A136" s="3">
        <v>5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HYPERLINK("http://141.218.60.56/~jnz1568/getInfo.php?workbook=05_01.xlsx&amp;sheet=A0&amp;row=136&amp;col=6&amp;number=&amp;sourceID=18","")</f>
        <v/>
      </c>
      <c r="G136" s="4" t="str">
        <f>HYPERLINK("http://141.218.60.56/~jnz1568/getInfo.php?workbook=05_01.xlsx&amp;sheet=A0&amp;row=136&amp;col=7&amp;number==&amp;sourceID=11","=")</f>
        <v>=</v>
      </c>
      <c r="H136" s="4" t="str">
        <f>HYPERLINK("http://141.218.60.56/~jnz1568/getInfo.php?workbook=05_01.xlsx&amp;sheet=A0&amp;row=136&amp;col=8&amp;number=&amp;sourceID=11","")</f>
        <v/>
      </c>
      <c r="I136" s="4" t="str">
        <f>HYPERLINK("http://141.218.60.56/~jnz1568/getInfo.php?workbook=05_01.xlsx&amp;sheet=A0&amp;row=136&amp;col=9&amp;number=&amp;sourceID=11","")</f>
        <v/>
      </c>
      <c r="J136" s="4" t="str">
        <f>HYPERLINK("http://141.218.60.56/~jnz1568/getInfo.php?workbook=05_01.xlsx&amp;sheet=A0&amp;row=136&amp;col=10&amp;number=&amp;sourceID=11","")</f>
        <v/>
      </c>
      <c r="K136" s="4" t="str">
        <f>HYPERLINK("http://141.218.60.56/~jnz1568/getInfo.php?workbook=05_01.xlsx&amp;sheet=A0&amp;row=136&amp;col=11&amp;number=0.010586&amp;sourceID=11","0.010586")</f>
        <v>0.010586</v>
      </c>
      <c r="L136" s="4" t="str">
        <f>HYPERLINK("http://141.218.60.56/~jnz1568/getInfo.php?workbook=05_01.xlsx&amp;sheet=A0&amp;row=136&amp;col=12&amp;number=&amp;sourceID=11","")</f>
        <v/>
      </c>
      <c r="M136" s="4" t="str">
        <f>HYPERLINK("http://141.218.60.56/~jnz1568/getInfo.php?workbook=05_01.xlsx&amp;sheet=A0&amp;row=136&amp;col=13&amp;number=&amp;sourceID=11","")</f>
        <v/>
      </c>
      <c r="N136" s="4" t="str">
        <f>HYPERLINK("http://141.218.60.56/~jnz1568/getInfo.php?workbook=05_01.xlsx&amp;sheet=A0&amp;row=136&amp;col=14&amp;number=0.010582&amp;sourceID=12","0.010582")</f>
        <v>0.010582</v>
      </c>
      <c r="O136" s="4" t="str">
        <f>HYPERLINK("http://141.218.60.56/~jnz1568/getInfo.php?workbook=05_01.xlsx&amp;sheet=A0&amp;row=136&amp;col=15&amp;number=&amp;sourceID=12","")</f>
        <v/>
      </c>
      <c r="P136" s="4" t="str">
        <f>HYPERLINK("http://141.218.60.56/~jnz1568/getInfo.php?workbook=05_01.xlsx&amp;sheet=A0&amp;row=136&amp;col=16&amp;number=&amp;sourceID=12","")</f>
        <v/>
      </c>
      <c r="Q136" s="4" t="str">
        <f>HYPERLINK("http://141.218.60.56/~jnz1568/getInfo.php?workbook=05_01.xlsx&amp;sheet=A0&amp;row=136&amp;col=17&amp;number=&amp;sourceID=12","")</f>
        <v/>
      </c>
      <c r="R136" s="4" t="str">
        <f>HYPERLINK("http://141.218.60.56/~jnz1568/getInfo.php?workbook=05_01.xlsx&amp;sheet=A0&amp;row=136&amp;col=18&amp;number=0.010582&amp;sourceID=12","0.010582")</f>
        <v>0.010582</v>
      </c>
      <c r="S136" s="4" t="str">
        <f>HYPERLINK("http://141.218.60.56/~jnz1568/getInfo.php?workbook=05_01.xlsx&amp;sheet=A0&amp;row=136&amp;col=19&amp;number=&amp;sourceID=12","")</f>
        <v/>
      </c>
      <c r="T136" s="4" t="str">
        <f>HYPERLINK("http://141.218.60.56/~jnz1568/getInfo.php?workbook=05_01.xlsx&amp;sheet=A0&amp;row=136&amp;col=20&amp;number=&amp;sourceID=12","")</f>
        <v/>
      </c>
    </row>
    <row r="137" spans="1:20">
      <c r="A137" s="3">
        <v>5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HYPERLINK("http://141.218.60.56/~jnz1568/getInfo.php?workbook=05_01.xlsx&amp;sheet=A0&amp;row=137&amp;col=6&amp;number=&amp;sourceID=18","")</f>
        <v/>
      </c>
      <c r="G137" s="4" t="str">
        <f>HYPERLINK("http://141.218.60.56/~jnz1568/getInfo.php?workbook=05_01.xlsx&amp;sheet=A0&amp;row=137&amp;col=7&amp;number==&amp;sourceID=11","=")</f>
        <v>=</v>
      </c>
      <c r="H137" s="4" t="str">
        <f>HYPERLINK("http://141.218.60.56/~jnz1568/getInfo.php?workbook=05_01.xlsx&amp;sheet=A0&amp;row=137&amp;col=8&amp;number=538980000&amp;sourceID=11","538980000")</f>
        <v>538980000</v>
      </c>
      <c r="I137" s="4" t="str">
        <f>HYPERLINK("http://141.218.60.56/~jnz1568/getInfo.php?workbook=05_01.xlsx&amp;sheet=A0&amp;row=137&amp;col=9&amp;number=&amp;sourceID=11","")</f>
        <v/>
      </c>
      <c r="J137" s="4" t="str">
        <f>HYPERLINK("http://141.218.60.56/~jnz1568/getInfo.php?workbook=05_01.xlsx&amp;sheet=A0&amp;row=137&amp;col=10&amp;number=&amp;sourceID=11","")</f>
        <v/>
      </c>
      <c r="K137" s="4" t="str">
        <f>HYPERLINK("http://141.218.60.56/~jnz1568/getInfo.php?workbook=05_01.xlsx&amp;sheet=A0&amp;row=137&amp;col=11&amp;number=&amp;sourceID=11","")</f>
        <v/>
      </c>
      <c r="L137" s="4" t="str">
        <f>HYPERLINK("http://141.218.60.56/~jnz1568/getInfo.php?workbook=05_01.xlsx&amp;sheet=A0&amp;row=137&amp;col=12&amp;number=1.9755&amp;sourceID=11","1.9755")</f>
        <v>1.9755</v>
      </c>
      <c r="M137" s="4" t="str">
        <f>HYPERLINK("http://141.218.60.56/~jnz1568/getInfo.php?workbook=05_01.xlsx&amp;sheet=A0&amp;row=137&amp;col=13&amp;number=&amp;sourceID=11","")</f>
        <v/>
      </c>
      <c r="N137" s="4" t="str">
        <f>HYPERLINK("http://141.218.60.56/~jnz1568/getInfo.php?workbook=05_01.xlsx&amp;sheet=A0&amp;row=137&amp;col=14&amp;number=539010000&amp;sourceID=12","539010000")</f>
        <v>539010000</v>
      </c>
      <c r="O137" s="4" t="str">
        <f>HYPERLINK("http://141.218.60.56/~jnz1568/getInfo.php?workbook=05_01.xlsx&amp;sheet=A0&amp;row=137&amp;col=15&amp;number=539010000&amp;sourceID=12","539010000")</f>
        <v>539010000</v>
      </c>
      <c r="P137" s="4" t="str">
        <f>HYPERLINK("http://141.218.60.56/~jnz1568/getInfo.php?workbook=05_01.xlsx&amp;sheet=A0&amp;row=137&amp;col=16&amp;number=&amp;sourceID=12","")</f>
        <v/>
      </c>
      <c r="Q137" s="4" t="str">
        <f>HYPERLINK("http://141.218.60.56/~jnz1568/getInfo.php?workbook=05_01.xlsx&amp;sheet=A0&amp;row=137&amp;col=17&amp;number=&amp;sourceID=12","")</f>
        <v/>
      </c>
      <c r="R137" s="4" t="str">
        <f>HYPERLINK("http://141.218.60.56/~jnz1568/getInfo.php?workbook=05_01.xlsx&amp;sheet=A0&amp;row=137&amp;col=18&amp;number=&amp;sourceID=12","")</f>
        <v/>
      </c>
      <c r="S137" s="4" t="str">
        <f>HYPERLINK("http://141.218.60.56/~jnz1568/getInfo.php?workbook=05_01.xlsx&amp;sheet=A0&amp;row=137&amp;col=19&amp;number=1.9756&amp;sourceID=12","1.9756")</f>
        <v>1.9756</v>
      </c>
      <c r="T137" s="4" t="str">
        <f>HYPERLINK("http://141.218.60.56/~jnz1568/getInfo.php?workbook=05_01.xlsx&amp;sheet=A0&amp;row=137&amp;col=20&amp;number=&amp;sourceID=12","")</f>
        <v/>
      </c>
    </row>
    <row r="138" spans="1:20">
      <c r="A138" s="3">
        <v>5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HYPERLINK("http://141.218.60.56/~jnz1568/getInfo.php?workbook=05_01.xlsx&amp;sheet=A0&amp;row=138&amp;col=6&amp;number=&amp;sourceID=18","")</f>
        <v/>
      </c>
      <c r="G138" s="4" t="str">
        <f>HYPERLINK("http://141.218.60.56/~jnz1568/getInfo.php?workbook=05_01.xlsx&amp;sheet=A0&amp;row=138&amp;col=7&amp;number==&amp;sourceID=11","=")</f>
        <v>=</v>
      </c>
      <c r="H138" s="4" t="str">
        <f>HYPERLINK("http://141.218.60.56/~jnz1568/getInfo.php?workbook=05_01.xlsx&amp;sheet=A0&amp;row=138&amp;col=8&amp;number=188690000&amp;sourceID=11","188690000")</f>
        <v>188690000</v>
      </c>
      <c r="I138" s="4" t="str">
        <f>HYPERLINK("http://141.218.60.56/~jnz1568/getInfo.php?workbook=05_01.xlsx&amp;sheet=A0&amp;row=138&amp;col=9&amp;number=&amp;sourceID=11","")</f>
        <v/>
      </c>
      <c r="J138" s="4" t="str">
        <f>HYPERLINK("http://141.218.60.56/~jnz1568/getInfo.php?workbook=05_01.xlsx&amp;sheet=A0&amp;row=138&amp;col=10&amp;number=&amp;sourceID=11","")</f>
        <v/>
      </c>
      <c r="K138" s="4" t="str">
        <f>HYPERLINK("http://141.218.60.56/~jnz1568/getInfo.php?workbook=05_01.xlsx&amp;sheet=A0&amp;row=138&amp;col=11&amp;number=&amp;sourceID=11","")</f>
        <v/>
      </c>
      <c r="L138" s="4" t="str">
        <f>HYPERLINK("http://141.218.60.56/~jnz1568/getInfo.php?workbook=05_01.xlsx&amp;sheet=A0&amp;row=138&amp;col=12&amp;number=&amp;sourceID=11","")</f>
        <v/>
      </c>
      <c r="M138" s="4" t="str">
        <f>HYPERLINK("http://141.218.60.56/~jnz1568/getInfo.php?workbook=05_01.xlsx&amp;sheet=A0&amp;row=138&amp;col=13&amp;number=&amp;sourceID=11","")</f>
        <v/>
      </c>
      <c r="N138" s="4" t="str">
        <f>HYPERLINK("http://141.218.60.56/~jnz1568/getInfo.php?workbook=05_01.xlsx&amp;sheet=A0&amp;row=138&amp;col=14&amp;number=188700000&amp;sourceID=12","188700000")</f>
        <v>188700000</v>
      </c>
      <c r="O138" s="4" t="str">
        <f>HYPERLINK("http://141.218.60.56/~jnz1568/getInfo.php?workbook=05_01.xlsx&amp;sheet=A0&amp;row=138&amp;col=15&amp;number=188700000&amp;sourceID=12","188700000")</f>
        <v>188700000</v>
      </c>
      <c r="P138" s="4" t="str">
        <f>HYPERLINK("http://141.218.60.56/~jnz1568/getInfo.php?workbook=05_01.xlsx&amp;sheet=A0&amp;row=138&amp;col=16&amp;number=&amp;sourceID=12","")</f>
        <v/>
      </c>
      <c r="Q138" s="4" t="str">
        <f>HYPERLINK("http://141.218.60.56/~jnz1568/getInfo.php?workbook=05_01.xlsx&amp;sheet=A0&amp;row=138&amp;col=17&amp;number=&amp;sourceID=12","")</f>
        <v/>
      </c>
      <c r="R138" s="4" t="str">
        <f>HYPERLINK("http://141.218.60.56/~jnz1568/getInfo.php?workbook=05_01.xlsx&amp;sheet=A0&amp;row=138&amp;col=18&amp;number=&amp;sourceID=12","")</f>
        <v/>
      </c>
      <c r="S138" s="4" t="str">
        <f>HYPERLINK("http://141.218.60.56/~jnz1568/getInfo.php?workbook=05_01.xlsx&amp;sheet=A0&amp;row=138&amp;col=19&amp;number=&amp;sourceID=12","")</f>
        <v/>
      </c>
      <c r="T138" s="4" t="str">
        <f>HYPERLINK("http://141.218.60.56/~jnz1568/getInfo.php?workbook=05_01.xlsx&amp;sheet=A0&amp;row=138&amp;col=20&amp;number=&amp;sourceID=12","")</f>
        <v/>
      </c>
    </row>
    <row r="139" spans="1:20">
      <c r="A139" s="3">
        <v>5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HYPERLINK("http://141.218.60.56/~jnz1568/getInfo.php?workbook=05_01.xlsx&amp;sheet=A0&amp;row=139&amp;col=6&amp;number=&amp;sourceID=18","")</f>
        <v/>
      </c>
      <c r="G139" s="4" t="str">
        <f>HYPERLINK("http://141.218.60.56/~jnz1568/getInfo.php?workbook=05_01.xlsx&amp;sheet=A0&amp;row=139&amp;col=7&amp;number==&amp;sourceID=11","=")</f>
        <v>=</v>
      </c>
      <c r="H139" s="4" t="str">
        <f>HYPERLINK("http://141.218.60.56/~jnz1568/getInfo.php?workbook=05_01.xlsx&amp;sheet=A0&amp;row=139&amp;col=8&amp;number=&amp;sourceID=11","")</f>
        <v/>
      </c>
      <c r="I139" s="4" t="str">
        <f>HYPERLINK("http://141.218.60.56/~jnz1568/getInfo.php?workbook=05_01.xlsx&amp;sheet=A0&amp;row=139&amp;col=9&amp;number=&amp;sourceID=11","")</f>
        <v/>
      </c>
      <c r="J139" s="4" t="str">
        <f>HYPERLINK("http://141.218.60.56/~jnz1568/getInfo.php?workbook=05_01.xlsx&amp;sheet=A0&amp;row=139&amp;col=10&amp;number=&amp;sourceID=11","")</f>
        <v/>
      </c>
      <c r="K139" s="4" t="str">
        <f>HYPERLINK("http://141.218.60.56/~jnz1568/getInfo.php?workbook=05_01.xlsx&amp;sheet=A0&amp;row=139&amp;col=11&amp;number=0.0002531&amp;sourceID=11","0.0002531")</f>
        <v>0.0002531</v>
      </c>
      <c r="L139" s="4" t="str">
        <f>HYPERLINK("http://141.218.60.56/~jnz1568/getInfo.php?workbook=05_01.xlsx&amp;sheet=A0&amp;row=139&amp;col=12&amp;number=&amp;sourceID=11","")</f>
        <v/>
      </c>
      <c r="M139" s="4" t="str">
        <f>HYPERLINK("http://141.218.60.56/~jnz1568/getInfo.php?workbook=05_01.xlsx&amp;sheet=A0&amp;row=139&amp;col=13&amp;number=&amp;sourceID=11","")</f>
        <v/>
      </c>
      <c r="N139" s="4" t="str">
        <f>HYPERLINK("http://141.218.60.56/~jnz1568/getInfo.php?workbook=05_01.xlsx&amp;sheet=A0&amp;row=139&amp;col=14&amp;number=0.00025312&amp;sourceID=12","0.00025312")</f>
        <v>0.00025312</v>
      </c>
      <c r="O139" s="4" t="str">
        <f>HYPERLINK("http://141.218.60.56/~jnz1568/getInfo.php?workbook=05_01.xlsx&amp;sheet=A0&amp;row=139&amp;col=15&amp;number=&amp;sourceID=12","")</f>
        <v/>
      </c>
      <c r="P139" s="4" t="str">
        <f>HYPERLINK("http://141.218.60.56/~jnz1568/getInfo.php?workbook=05_01.xlsx&amp;sheet=A0&amp;row=139&amp;col=16&amp;number=&amp;sourceID=12","")</f>
        <v/>
      </c>
      <c r="Q139" s="4" t="str">
        <f>HYPERLINK("http://141.218.60.56/~jnz1568/getInfo.php?workbook=05_01.xlsx&amp;sheet=A0&amp;row=139&amp;col=17&amp;number=&amp;sourceID=12","")</f>
        <v/>
      </c>
      <c r="R139" s="4" t="str">
        <f>HYPERLINK("http://141.218.60.56/~jnz1568/getInfo.php?workbook=05_01.xlsx&amp;sheet=A0&amp;row=139&amp;col=18&amp;number=0.00025312&amp;sourceID=12","0.00025312")</f>
        <v>0.00025312</v>
      </c>
      <c r="S139" s="4" t="str">
        <f>HYPERLINK("http://141.218.60.56/~jnz1568/getInfo.php?workbook=05_01.xlsx&amp;sheet=A0&amp;row=139&amp;col=19&amp;number=&amp;sourceID=12","")</f>
        <v/>
      </c>
      <c r="T139" s="4" t="str">
        <f>HYPERLINK("http://141.218.60.56/~jnz1568/getInfo.php?workbook=05_01.xlsx&amp;sheet=A0&amp;row=139&amp;col=20&amp;number=&amp;sourceID=12","")</f>
        <v/>
      </c>
    </row>
    <row r="140" spans="1:20">
      <c r="A140" s="3">
        <v>5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HYPERLINK("http://141.218.60.56/~jnz1568/getInfo.php?workbook=05_01.xlsx&amp;sheet=A0&amp;row=140&amp;col=6&amp;number=&amp;sourceID=18","")</f>
        <v/>
      </c>
      <c r="G140" s="4" t="str">
        <f>HYPERLINK("http://141.218.60.56/~jnz1568/getInfo.php?workbook=05_01.xlsx&amp;sheet=A0&amp;row=140&amp;col=7&amp;number==&amp;sourceID=11","=")</f>
        <v>=</v>
      </c>
      <c r="H140" s="4" t="str">
        <f>HYPERLINK("http://141.218.60.56/~jnz1568/getInfo.php?workbook=05_01.xlsx&amp;sheet=A0&amp;row=140&amp;col=8&amp;number=&amp;sourceID=11","")</f>
        <v/>
      </c>
      <c r="I140" s="4" t="str">
        <f>HYPERLINK("http://141.218.60.56/~jnz1568/getInfo.php?workbook=05_01.xlsx&amp;sheet=A0&amp;row=140&amp;col=9&amp;number=3998.2&amp;sourceID=11","3998.2")</f>
        <v>3998.2</v>
      </c>
      <c r="J140" s="4" t="str">
        <f>HYPERLINK("http://141.218.60.56/~jnz1568/getInfo.php?workbook=05_01.xlsx&amp;sheet=A0&amp;row=140&amp;col=10&amp;number=&amp;sourceID=11","")</f>
        <v/>
      </c>
      <c r="K140" s="4" t="str">
        <f>HYPERLINK("http://141.218.60.56/~jnz1568/getInfo.php?workbook=05_01.xlsx&amp;sheet=A0&amp;row=140&amp;col=11&amp;number=3.3176e-08&amp;sourceID=11","3.3176e-08")</f>
        <v>3.3176e-08</v>
      </c>
      <c r="L140" s="4" t="str">
        <f>HYPERLINK("http://141.218.60.56/~jnz1568/getInfo.php?workbook=05_01.xlsx&amp;sheet=A0&amp;row=140&amp;col=12&amp;number=&amp;sourceID=11","")</f>
        <v/>
      </c>
      <c r="M140" s="4" t="str">
        <f>HYPERLINK("http://141.218.60.56/~jnz1568/getInfo.php?workbook=05_01.xlsx&amp;sheet=A0&amp;row=140&amp;col=13&amp;number=&amp;sourceID=11","")</f>
        <v/>
      </c>
      <c r="N140" s="4" t="str">
        <f>HYPERLINK("http://141.218.60.56/~jnz1568/getInfo.php?workbook=05_01.xlsx&amp;sheet=A0&amp;row=140&amp;col=14&amp;number=3998.4&amp;sourceID=12","3998.4")</f>
        <v>3998.4</v>
      </c>
      <c r="O140" s="4" t="str">
        <f>HYPERLINK("http://141.218.60.56/~jnz1568/getInfo.php?workbook=05_01.xlsx&amp;sheet=A0&amp;row=140&amp;col=15&amp;number=&amp;sourceID=12","")</f>
        <v/>
      </c>
      <c r="P140" s="4" t="str">
        <f>HYPERLINK("http://141.218.60.56/~jnz1568/getInfo.php?workbook=05_01.xlsx&amp;sheet=A0&amp;row=140&amp;col=16&amp;number=3998.4&amp;sourceID=12","3998.4")</f>
        <v>3998.4</v>
      </c>
      <c r="Q140" s="4" t="str">
        <f>HYPERLINK("http://141.218.60.56/~jnz1568/getInfo.php?workbook=05_01.xlsx&amp;sheet=A0&amp;row=140&amp;col=17&amp;number=&amp;sourceID=12","")</f>
        <v/>
      </c>
      <c r="R140" s="4" t="str">
        <f>HYPERLINK("http://141.218.60.56/~jnz1568/getInfo.php?workbook=05_01.xlsx&amp;sheet=A0&amp;row=140&amp;col=18&amp;number=3.29e-08&amp;sourceID=12","3.29e-08")</f>
        <v>3.29e-08</v>
      </c>
      <c r="S140" s="4" t="str">
        <f>HYPERLINK("http://141.218.60.56/~jnz1568/getInfo.php?workbook=05_01.xlsx&amp;sheet=A0&amp;row=140&amp;col=19&amp;number=&amp;sourceID=12","")</f>
        <v/>
      </c>
      <c r="T140" s="4" t="str">
        <f>HYPERLINK("http://141.218.60.56/~jnz1568/getInfo.php?workbook=05_01.xlsx&amp;sheet=A0&amp;row=140&amp;col=20&amp;number=&amp;sourceID=12","")</f>
        <v/>
      </c>
    </row>
    <row r="141" spans="1:20">
      <c r="A141" s="3">
        <v>5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HYPERLINK("http://141.218.60.56/~jnz1568/getInfo.php?workbook=05_01.xlsx&amp;sheet=A0&amp;row=141&amp;col=6&amp;number=&amp;sourceID=18","")</f>
        <v/>
      </c>
      <c r="G141" s="4" t="str">
        <f>HYPERLINK("http://141.218.60.56/~jnz1568/getInfo.php?workbook=05_01.xlsx&amp;sheet=A0&amp;row=141&amp;col=7&amp;number==&amp;sourceID=11","=")</f>
        <v>=</v>
      </c>
      <c r="H141" s="4" t="str">
        <f>HYPERLINK("http://141.218.60.56/~jnz1568/getInfo.php?workbook=05_01.xlsx&amp;sheet=A0&amp;row=141&amp;col=8&amp;number=378260000&amp;sourceID=11","378260000")</f>
        <v>378260000</v>
      </c>
      <c r="I141" s="4" t="str">
        <f>HYPERLINK("http://141.218.60.56/~jnz1568/getInfo.php?workbook=05_01.xlsx&amp;sheet=A0&amp;row=141&amp;col=9&amp;number=&amp;sourceID=11","")</f>
        <v/>
      </c>
      <c r="J141" s="4" t="str">
        <f>HYPERLINK("http://141.218.60.56/~jnz1568/getInfo.php?workbook=05_01.xlsx&amp;sheet=A0&amp;row=141&amp;col=10&amp;number=&amp;sourceID=11","")</f>
        <v/>
      </c>
      <c r="K141" s="4" t="str">
        <f>HYPERLINK("http://141.218.60.56/~jnz1568/getInfo.php?workbook=05_01.xlsx&amp;sheet=A0&amp;row=141&amp;col=11&amp;number=&amp;sourceID=11","")</f>
        <v/>
      </c>
      <c r="L141" s="4" t="str">
        <f>HYPERLINK("http://141.218.60.56/~jnz1568/getInfo.php?workbook=05_01.xlsx&amp;sheet=A0&amp;row=141&amp;col=12&amp;number=0.15894&amp;sourceID=11","0.15894")</f>
        <v>0.15894</v>
      </c>
      <c r="M141" s="4" t="str">
        <f>HYPERLINK("http://141.218.60.56/~jnz1568/getInfo.php?workbook=05_01.xlsx&amp;sheet=A0&amp;row=141&amp;col=13&amp;number=&amp;sourceID=11","")</f>
        <v/>
      </c>
      <c r="N141" s="4" t="str">
        <f>HYPERLINK("http://141.218.60.56/~jnz1568/getInfo.php?workbook=05_01.xlsx&amp;sheet=A0&amp;row=141&amp;col=14&amp;number=378280000&amp;sourceID=12","378280000")</f>
        <v>378280000</v>
      </c>
      <c r="O141" s="4" t="str">
        <f>HYPERLINK("http://141.218.60.56/~jnz1568/getInfo.php?workbook=05_01.xlsx&amp;sheet=A0&amp;row=141&amp;col=15&amp;number=378280000&amp;sourceID=12","378280000")</f>
        <v>378280000</v>
      </c>
      <c r="P141" s="4" t="str">
        <f>HYPERLINK("http://141.218.60.56/~jnz1568/getInfo.php?workbook=05_01.xlsx&amp;sheet=A0&amp;row=141&amp;col=16&amp;number=&amp;sourceID=12","")</f>
        <v/>
      </c>
      <c r="Q141" s="4" t="str">
        <f>HYPERLINK("http://141.218.60.56/~jnz1568/getInfo.php?workbook=05_01.xlsx&amp;sheet=A0&amp;row=141&amp;col=17&amp;number=&amp;sourceID=12","")</f>
        <v/>
      </c>
      <c r="R141" s="4" t="str">
        <f>HYPERLINK("http://141.218.60.56/~jnz1568/getInfo.php?workbook=05_01.xlsx&amp;sheet=A0&amp;row=141&amp;col=18&amp;number=&amp;sourceID=12","")</f>
        <v/>
      </c>
      <c r="S141" s="4" t="str">
        <f>HYPERLINK("http://141.218.60.56/~jnz1568/getInfo.php?workbook=05_01.xlsx&amp;sheet=A0&amp;row=141&amp;col=19&amp;number=0.15895&amp;sourceID=12","0.15895")</f>
        <v>0.15895</v>
      </c>
      <c r="T141" s="4" t="str">
        <f>HYPERLINK("http://141.218.60.56/~jnz1568/getInfo.php?workbook=05_01.xlsx&amp;sheet=A0&amp;row=141&amp;col=20&amp;number=&amp;sourceID=12","")</f>
        <v/>
      </c>
    </row>
    <row r="142" spans="1:20">
      <c r="A142" s="3">
        <v>5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HYPERLINK("http://141.218.60.56/~jnz1568/getInfo.php?workbook=05_01.xlsx&amp;sheet=A0&amp;row=142&amp;col=6&amp;number=&amp;sourceID=18","")</f>
        <v/>
      </c>
      <c r="G142" s="4" t="str">
        <f>HYPERLINK("http://141.218.60.56/~jnz1568/getInfo.php?workbook=05_01.xlsx&amp;sheet=A0&amp;row=142&amp;col=7&amp;number==&amp;sourceID=11","=")</f>
        <v>=</v>
      </c>
      <c r="H142" s="4" t="str">
        <f>HYPERLINK("http://141.218.60.56/~jnz1568/getInfo.php?workbook=05_01.xlsx&amp;sheet=A0&amp;row=142&amp;col=8&amp;number=&amp;sourceID=11","")</f>
        <v/>
      </c>
      <c r="I142" s="4" t="str">
        <f>HYPERLINK("http://141.218.60.56/~jnz1568/getInfo.php?workbook=05_01.xlsx&amp;sheet=A0&amp;row=142&amp;col=9&amp;number=5998&amp;sourceID=11","5998")</f>
        <v>5998</v>
      </c>
      <c r="J142" s="4" t="str">
        <f>HYPERLINK("http://141.218.60.56/~jnz1568/getInfo.php?workbook=05_01.xlsx&amp;sheet=A0&amp;row=142&amp;col=10&amp;number=&amp;sourceID=11","")</f>
        <v/>
      </c>
      <c r="K142" s="4" t="str">
        <f>HYPERLINK("http://141.218.60.56/~jnz1568/getInfo.php?workbook=05_01.xlsx&amp;sheet=A0&amp;row=142&amp;col=11&amp;number=&amp;sourceID=11","")</f>
        <v/>
      </c>
      <c r="L142" s="4" t="str">
        <f>HYPERLINK("http://141.218.60.56/~jnz1568/getInfo.php?workbook=05_01.xlsx&amp;sheet=A0&amp;row=142&amp;col=12&amp;number=&amp;sourceID=11","")</f>
        <v/>
      </c>
      <c r="M142" s="4" t="str">
        <f>HYPERLINK("http://141.218.60.56/~jnz1568/getInfo.php?workbook=05_01.xlsx&amp;sheet=A0&amp;row=142&amp;col=13&amp;number=2.9861e-06&amp;sourceID=11","2.9861e-06")</f>
        <v>2.9861e-06</v>
      </c>
      <c r="N142" s="4" t="str">
        <f>HYPERLINK("http://141.218.60.56/~jnz1568/getInfo.php?workbook=05_01.xlsx&amp;sheet=A0&amp;row=142&amp;col=14&amp;number=5998.3&amp;sourceID=12","5998.3")</f>
        <v>5998.3</v>
      </c>
      <c r="O142" s="4" t="str">
        <f>HYPERLINK("http://141.218.60.56/~jnz1568/getInfo.php?workbook=05_01.xlsx&amp;sheet=A0&amp;row=142&amp;col=15&amp;number=&amp;sourceID=12","")</f>
        <v/>
      </c>
      <c r="P142" s="4" t="str">
        <f>HYPERLINK("http://141.218.60.56/~jnz1568/getInfo.php?workbook=05_01.xlsx&amp;sheet=A0&amp;row=142&amp;col=16&amp;number=5998.3&amp;sourceID=12","5998.3")</f>
        <v>5998.3</v>
      </c>
      <c r="Q142" s="4" t="str">
        <f>HYPERLINK("http://141.218.60.56/~jnz1568/getInfo.php?workbook=05_01.xlsx&amp;sheet=A0&amp;row=142&amp;col=17&amp;number=&amp;sourceID=12","")</f>
        <v/>
      </c>
      <c r="R142" s="4" t="str">
        <f>HYPERLINK("http://141.218.60.56/~jnz1568/getInfo.php?workbook=05_01.xlsx&amp;sheet=A0&amp;row=142&amp;col=18&amp;number=&amp;sourceID=12","")</f>
        <v/>
      </c>
      <c r="S142" s="4" t="str">
        <f>HYPERLINK("http://141.218.60.56/~jnz1568/getInfo.php?workbook=05_01.xlsx&amp;sheet=A0&amp;row=142&amp;col=19&amp;number=&amp;sourceID=12","")</f>
        <v/>
      </c>
      <c r="T142" s="4" t="str">
        <f>HYPERLINK("http://141.218.60.56/~jnz1568/getInfo.php?workbook=05_01.xlsx&amp;sheet=A0&amp;row=142&amp;col=20&amp;number=2.9862e-06&amp;sourceID=12","2.9862e-06")</f>
        <v>2.9862e-06</v>
      </c>
    </row>
    <row r="143" spans="1:20">
      <c r="A143" s="3">
        <v>5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HYPERLINK("http://141.218.60.56/~jnz1568/getInfo.php?workbook=05_01.xlsx&amp;sheet=A0&amp;row=143&amp;col=6&amp;number=&amp;sourceID=18","")</f>
        <v/>
      </c>
      <c r="G143" s="4" t="str">
        <f>HYPERLINK("http://141.218.60.56/~jnz1568/getInfo.php?workbook=05_01.xlsx&amp;sheet=A0&amp;row=143&amp;col=7&amp;number==&amp;sourceID=11","=")</f>
        <v>=</v>
      </c>
      <c r="H143" s="4" t="str">
        <f>HYPERLINK("http://141.218.60.56/~jnz1568/getInfo.php?workbook=05_01.xlsx&amp;sheet=A0&amp;row=143&amp;col=8&amp;number=134530000&amp;sourceID=11","134530000")</f>
        <v>134530000</v>
      </c>
      <c r="I143" s="4" t="str">
        <f>HYPERLINK("http://141.218.60.56/~jnz1568/getInfo.php?workbook=05_01.xlsx&amp;sheet=A0&amp;row=143&amp;col=9&amp;number=&amp;sourceID=11","")</f>
        <v/>
      </c>
      <c r="J143" s="4" t="str">
        <f>HYPERLINK("http://141.218.60.56/~jnz1568/getInfo.php?workbook=05_01.xlsx&amp;sheet=A0&amp;row=143&amp;col=10&amp;number=&amp;sourceID=11","")</f>
        <v/>
      </c>
      <c r="K143" s="4" t="str">
        <f>HYPERLINK("http://141.218.60.56/~jnz1568/getInfo.php?workbook=05_01.xlsx&amp;sheet=A0&amp;row=143&amp;col=11&amp;number=&amp;sourceID=11","")</f>
        <v/>
      </c>
      <c r="L143" s="4" t="str">
        <f>HYPERLINK("http://141.218.60.56/~jnz1568/getInfo.php?workbook=05_01.xlsx&amp;sheet=A0&amp;row=143&amp;col=12&amp;number=&amp;sourceID=11","")</f>
        <v/>
      </c>
      <c r="M143" s="4" t="str">
        <f>HYPERLINK("http://141.218.60.56/~jnz1568/getInfo.php?workbook=05_01.xlsx&amp;sheet=A0&amp;row=143&amp;col=13&amp;number=&amp;sourceID=11","")</f>
        <v/>
      </c>
      <c r="N143" s="4" t="str">
        <f>HYPERLINK("http://141.218.60.56/~jnz1568/getInfo.php?workbook=05_01.xlsx&amp;sheet=A0&amp;row=143&amp;col=14&amp;number=134540000&amp;sourceID=12","134540000")</f>
        <v>134540000</v>
      </c>
      <c r="O143" s="4" t="str">
        <f>HYPERLINK("http://141.218.60.56/~jnz1568/getInfo.php?workbook=05_01.xlsx&amp;sheet=A0&amp;row=143&amp;col=15&amp;number=134540000&amp;sourceID=12","134540000")</f>
        <v>134540000</v>
      </c>
      <c r="P143" s="4" t="str">
        <f>HYPERLINK("http://141.218.60.56/~jnz1568/getInfo.php?workbook=05_01.xlsx&amp;sheet=A0&amp;row=143&amp;col=16&amp;number=&amp;sourceID=12","")</f>
        <v/>
      </c>
      <c r="Q143" s="4" t="str">
        <f>HYPERLINK("http://141.218.60.56/~jnz1568/getInfo.php?workbook=05_01.xlsx&amp;sheet=A0&amp;row=143&amp;col=17&amp;number=&amp;sourceID=12","")</f>
        <v/>
      </c>
      <c r="R143" s="4" t="str">
        <f>HYPERLINK("http://141.218.60.56/~jnz1568/getInfo.php?workbook=05_01.xlsx&amp;sheet=A0&amp;row=143&amp;col=18&amp;number=&amp;sourceID=12","")</f>
        <v/>
      </c>
      <c r="S143" s="4" t="str">
        <f>HYPERLINK("http://141.218.60.56/~jnz1568/getInfo.php?workbook=05_01.xlsx&amp;sheet=A0&amp;row=143&amp;col=19&amp;number=&amp;sourceID=12","")</f>
        <v/>
      </c>
      <c r="T143" s="4" t="str">
        <f>HYPERLINK("http://141.218.60.56/~jnz1568/getInfo.php?workbook=05_01.xlsx&amp;sheet=A0&amp;row=143&amp;col=20&amp;number=&amp;sourceID=12","")</f>
        <v/>
      </c>
    </row>
    <row r="144" spans="1:20">
      <c r="A144" s="3">
        <v>5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HYPERLINK("http://141.218.60.56/~jnz1568/getInfo.php?workbook=05_01.xlsx&amp;sheet=A0&amp;row=144&amp;col=6&amp;number=&amp;sourceID=18","")</f>
        <v/>
      </c>
      <c r="G144" s="4" t="str">
        <f>HYPERLINK("http://141.218.60.56/~jnz1568/getInfo.php?workbook=05_01.xlsx&amp;sheet=A0&amp;row=144&amp;col=7&amp;number==&amp;sourceID=11","=")</f>
        <v>=</v>
      </c>
      <c r="H144" s="4" t="str">
        <f>HYPERLINK("http://141.218.60.56/~jnz1568/getInfo.php?workbook=05_01.xlsx&amp;sheet=A0&amp;row=144&amp;col=8&amp;number=&amp;sourceID=11","")</f>
        <v/>
      </c>
      <c r="I144" s="4" t="str">
        <f>HYPERLINK("http://141.218.60.56/~jnz1568/getInfo.php?workbook=05_01.xlsx&amp;sheet=A0&amp;row=144&amp;col=9&amp;number=&amp;sourceID=11","")</f>
        <v/>
      </c>
      <c r="J144" s="4" t="str">
        <f>HYPERLINK("http://141.218.60.56/~jnz1568/getInfo.php?workbook=05_01.xlsx&amp;sheet=A0&amp;row=144&amp;col=10&amp;number=&amp;sourceID=11","")</f>
        <v/>
      </c>
      <c r="K144" s="4" t="str">
        <f>HYPERLINK("http://141.218.60.56/~jnz1568/getInfo.php?workbook=05_01.xlsx&amp;sheet=A0&amp;row=144&amp;col=11&amp;number=7.1941e-06&amp;sourceID=11","7.1941e-06")</f>
        <v>7.1941e-06</v>
      </c>
      <c r="L144" s="4" t="str">
        <f>HYPERLINK("http://141.218.60.56/~jnz1568/getInfo.php?workbook=05_01.xlsx&amp;sheet=A0&amp;row=144&amp;col=12&amp;number=&amp;sourceID=11","")</f>
        <v/>
      </c>
      <c r="M144" s="4" t="str">
        <f>HYPERLINK("http://141.218.60.56/~jnz1568/getInfo.php?workbook=05_01.xlsx&amp;sheet=A0&amp;row=144&amp;col=13&amp;number=&amp;sourceID=11","")</f>
        <v/>
      </c>
      <c r="N144" s="4" t="str">
        <f>HYPERLINK("http://141.218.60.56/~jnz1568/getInfo.php?workbook=05_01.xlsx&amp;sheet=A0&amp;row=144&amp;col=14&amp;number=7.1944e-06&amp;sourceID=12","7.1944e-06")</f>
        <v>7.1944e-06</v>
      </c>
      <c r="O144" s="4" t="str">
        <f>HYPERLINK("http://141.218.60.56/~jnz1568/getInfo.php?workbook=05_01.xlsx&amp;sheet=A0&amp;row=144&amp;col=15&amp;number=&amp;sourceID=12","")</f>
        <v/>
      </c>
      <c r="P144" s="4" t="str">
        <f>HYPERLINK("http://141.218.60.56/~jnz1568/getInfo.php?workbook=05_01.xlsx&amp;sheet=A0&amp;row=144&amp;col=16&amp;number=&amp;sourceID=12","")</f>
        <v/>
      </c>
      <c r="Q144" s="4" t="str">
        <f>HYPERLINK("http://141.218.60.56/~jnz1568/getInfo.php?workbook=05_01.xlsx&amp;sheet=A0&amp;row=144&amp;col=17&amp;number=&amp;sourceID=12","")</f>
        <v/>
      </c>
      <c r="R144" s="4" t="str">
        <f>HYPERLINK("http://141.218.60.56/~jnz1568/getInfo.php?workbook=05_01.xlsx&amp;sheet=A0&amp;row=144&amp;col=18&amp;number=7.1944e-06&amp;sourceID=12","7.1944e-06")</f>
        <v>7.1944e-06</v>
      </c>
      <c r="S144" s="4" t="str">
        <f>HYPERLINK("http://141.218.60.56/~jnz1568/getInfo.php?workbook=05_01.xlsx&amp;sheet=A0&amp;row=144&amp;col=19&amp;number=&amp;sourceID=12","")</f>
        <v/>
      </c>
      <c r="T144" s="4" t="str">
        <f>HYPERLINK("http://141.218.60.56/~jnz1568/getInfo.php?workbook=05_01.xlsx&amp;sheet=A0&amp;row=144&amp;col=20&amp;number=&amp;sourceID=12","")</f>
        <v/>
      </c>
    </row>
    <row r="145" spans="1:20">
      <c r="A145" s="3">
        <v>5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HYPERLINK("http://141.218.60.56/~jnz1568/getInfo.php?workbook=05_01.xlsx&amp;sheet=A0&amp;row=145&amp;col=6&amp;number=&amp;sourceID=18","")</f>
        <v/>
      </c>
      <c r="G145" s="4" t="str">
        <f>HYPERLINK("http://141.218.60.56/~jnz1568/getInfo.php?workbook=05_01.xlsx&amp;sheet=A0&amp;row=145&amp;col=7&amp;number==&amp;sourceID=11","=")</f>
        <v>=</v>
      </c>
      <c r="H145" s="4" t="str">
        <f>HYPERLINK("http://141.218.60.56/~jnz1568/getInfo.php?workbook=05_01.xlsx&amp;sheet=A0&amp;row=145&amp;col=8&amp;number=&amp;sourceID=11","")</f>
        <v/>
      </c>
      <c r="I145" s="4" t="str">
        <f>HYPERLINK("http://141.218.60.56/~jnz1568/getInfo.php?workbook=05_01.xlsx&amp;sheet=A0&amp;row=145&amp;col=9&amp;number=2032.7&amp;sourceID=11","2032.7")</f>
        <v>2032.7</v>
      </c>
      <c r="J145" s="4" t="str">
        <f>HYPERLINK("http://141.218.60.56/~jnz1568/getInfo.php?workbook=05_01.xlsx&amp;sheet=A0&amp;row=145&amp;col=10&amp;number=&amp;sourceID=11","")</f>
        <v/>
      </c>
      <c r="K145" s="4" t="str">
        <f>HYPERLINK("http://141.218.60.56/~jnz1568/getInfo.php?workbook=05_01.xlsx&amp;sheet=A0&amp;row=145&amp;col=11&amp;number=7.758e-09&amp;sourceID=11","7.758e-09")</f>
        <v>7.758e-09</v>
      </c>
      <c r="L145" s="4" t="str">
        <f>HYPERLINK("http://141.218.60.56/~jnz1568/getInfo.php?workbook=05_01.xlsx&amp;sheet=A0&amp;row=145&amp;col=12&amp;number=&amp;sourceID=11","")</f>
        <v/>
      </c>
      <c r="M145" s="4" t="str">
        <f>HYPERLINK("http://141.218.60.56/~jnz1568/getInfo.php?workbook=05_01.xlsx&amp;sheet=A0&amp;row=145&amp;col=13&amp;number=&amp;sourceID=11","")</f>
        <v/>
      </c>
      <c r="N145" s="4" t="str">
        <f>HYPERLINK("http://141.218.60.56/~jnz1568/getInfo.php?workbook=05_01.xlsx&amp;sheet=A0&amp;row=145&amp;col=14&amp;number=2032.8&amp;sourceID=12","2032.8")</f>
        <v>2032.8</v>
      </c>
      <c r="O145" s="4" t="str">
        <f>HYPERLINK("http://141.218.60.56/~jnz1568/getInfo.php?workbook=05_01.xlsx&amp;sheet=A0&amp;row=145&amp;col=15&amp;number=&amp;sourceID=12","")</f>
        <v/>
      </c>
      <c r="P145" s="4" t="str">
        <f>HYPERLINK("http://141.218.60.56/~jnz1568/getInfo.php?workbook=05_01.xlsx&amp;sheet=A0&amp;row=145&amp;col=16&amp;number=2032.8&amp;sourceID=12","2032.8")</f>
        <v>2032.8</v>
      </c>
      <c r="Q145" s="4" t="str">
        <f>HYPERLINK("http://141.218.60.56/~jnz1568/getInfo.php?workbook=05_01.xlsx&amp;sheet=A0&amp;row=145&amp;col=17&amp;number=&amp;sourceID=12","")</f>
        <v/>
      </c>
      <c r="R145" s="4" t="str">
        <f>HYPERLINK("http://141.218.60.56/~jnz1568/getInfo.php?workbook=05_01.xlsx&amp;sheet=A0&amp;row=145&amp;col=18&amp;number=7.7585e-09&amp;sourceID=12","7.7585e-09")</f>
        <v>7.7585e-09</v>
      </c>
      <c r="S145" s="4" t="str">
        <f>HYPERLINK("http://141.218.60.56/~jnz1568/getInfo.php?workbook=05_01.xlsx&amp;sheet=A0&amp;row=145&amp;col=19&amp;number=&amp;sourceID=12","")</f>
        <v/>
      </c>
      <c r="T145" s="4" t="str">
        <f>HYPERLINK("http://141.218.60.56/~jnz1568/getInfo.php?workbook=05_01.xlsx&amp;sheet=A0&amp;row=145&amp;col=20&amp;number=&amp;sourceID=12","")</f>
        <v/>
      </c>
    </row>
    <row r="146" spans="1:20">
      <c r="A146" s="3">
        <v>5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HYPERLINK("http://141.218.60.56/~jnz1568/getInfo.php?workbook=05_01.xlsx&amp;sheet=A0&amp;row=146&amp;col=6&amp;number=&amp;sourceID=18","")</f>
        <v/>
      </c>
      <c r="G146" s="4" t="str">
        <f>HYPERLINK("http://141.218.60.56/~jnz1568/getInfo.php?workbook=05_01.xlsx&amp;sheet=A0&amp;row=146&amp;col=7&amp;number==&amp;sourceID=11","=")</f>
        <v>=</v>
      </c>
      <c r="H146" s="4" t="str">
        <f>HYPERLINK("http://141.218.60.56/~jnz1568/getInfo.php?workbook=05_01.xlsx&amp;sheet=A0&amp;row=146&amp;col=8&amp;number=269710000&amp;sourceID=11","269710000")</f>
        <v>269710000</v>
      </c>
      <c r="I146" s="4" t="str">
        <f>HYPERLINK("http://141.218.60.56/~jnz1568/getInfo.php?workbook=05_01.xlsx&amp;sheet=A0&amp;row=146&amp;col=9&amp;number=&amp;sourceID=11","")</f>
        <v/>
      </c>
      <c r="J146" s="4" t="str">
        <f>HYPERLINK("http://141.218.60.56/~jnz1568/getInfo.php?workbook=05_01.xlsx&amp;sheet=A0&amp;row=146&amp;col=10&amp;number=&amp;sourceID=11","")</f>
        <v/>
      </c>
      <c r="K146" s="4" t="str">
        <f>HYPERLINK("http://141.218.60.56/~jnz1568/getInfo.php?workbook=05_01.xlsx&amp;sheet=A0&amp;row=146&amp;col=11&amp;number=&amp;sourceID=11","")</f>
        <v/>
      </c>
      <c r="L146" s="4" t="str">
        <f>HYPERLINK("http://141.218.60.56/~jnz1568/getInfo.php?workbook=05_01.xlsx&amp;sheet=A0&amp;row=146&amp;col=12&amp;number=0.011341&amp;sourceID=11","0.011341")</f>
        <v>0.011341</v>
      </c>
      <c r="M146" s="4" t="str">
        <f>HYPERLINK("http://141.218.60.56/~jnz1568/getInfo.php?workbook=05_01.xlsx&amp;sheet=A0&amp;row=146&amp;col=13&amp;number=&amp;sourceID=11","")</f>
        <v/>
      </c>
      <c r="N146" s="4" t="str">
        <f>HYPERLINK("http://141.218.60.56/~jnz1568/getInfo.php?workbook=05_01.xlsx&amp;sheet=A0&amp;row=146&amp;col=14&amp;number=269720000&amp;sourceID=12","269720000")</f>
        <v>269720000</v>
      </c>
      <c r="O146" s="4" t="str">
        <f>HYPERLINK("http://141.218.60.56/~jnz1568/getInfo.php?workbook=05_01.xlsx&amp;sheet=A0&amp;row=146&amp;col=15&amp;number=269720000&amp;sourceID=12","269720000")</f>
        <v>269720000</v>
      </c>
      <c r="P146" s="4" t="str">
        <f>HYPERLINK("http://141.218.60.56/~jnz1568/getInfo.php?workbook=05_01.xlsx&amp;sheet=A0&amp;row=146&amp;col=16&amp;number=&amp;sourceID=12","")</f>
        <v/>
      </c>
      <c r="Q146" s="4" t="str">
        <f>HYPERLINK("http://141.218.60.56/~jnz1568/getInfo.php?workbook=05_01.xlsx&amp;sheet=A0&amp;row=146&amp;col=17&amp;number=&amp;sourceID=12","")</f>
        <v/>
      </c>
      <c r="R146" s="4" t="str">
        <f>HYPERLINK("http://141.218.60.56/~jnz1568/getInfo.php?workbook=05_01.xlsx&amp;sheet=A0&amp;row=146&amp;col=18&amp;number=&amp;sourceID=12","")</f>
        <v/>
      </c>
      <c r="S146" s="4" t="str">
        <f>HYPERLINK("http://141.218.60.56/~jnz1568/getInfo.php?workbook=05_01.xlsx&amp;sheet=A0&amp;row=146&amp;col=19&amp;number=0.011342&amp;sourceID=12","0.011342")</f>
        <v>0.011342</v>
      </c>
      <c r="T146" s="4" t="str">
        <f>HYPERLINK("http://141.218.60.56/~jnz1568/getInfo.php?workbook=05_01.xlsx&amp;sheet=A0&amp;row=146&amp;col=20&amp;number=&amp;sourceID=12","")</f>
        <v/>
      </c>
    </row>
    <row r="147" spans="1:20">
      <c r="A147" s="3">
        <v>5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HYPERLINK("http://141.218.60.56/~jnz1568/getInfo.php?workbook=05_01.xlsx&amp;sheet=A0&amp;row=147&amp;col=6&amp;number=&amp;sourceID=18","")</f>
        <v/>
      </c>
      <c r="G147" s="4" t="str">
        <f>HYPERLINK("http://141.218.60.56/~jnz1568/getInfo.php?workbook=05_01.xlsx&amp;sheet=A0&amp;row=147&amp;col=7&amp;number==&amp;sourceID=11","=")</f>
        <v>=</v>
      </c>
      <c r="H147" s="4" t="str">
        <f>HYPERLINK("http://141.218.60.56/~jnz1568/getInfo.php?workbook=05_01.xlsx&amp;sheet=A0&amp;row=147&amp;col=8&amp;number=&amp;sourceID=11","")</f>
        <v/>
      </c>
      <c r="I147" s="4" t="str">
        <f>HYPERLINK("http://141.218.60.56/~jnz1568/getInfo.php?workbook=05_01.xlsx&amp;sheet=A0&amp;row=147&amp;col=9&amp;number=&amp;sourceID=11","")</f>
        <v/>
      </c>
      <c r="J147" s="4" t="str">
        <f>HYPERLINK("http://141.218.60.56/~jnz1568/getInfo.php?workbook=05_01.xlsx&amp;sheet=A0&amp;row=147&amp;col=10&amp;number=0.0053476&amp;sourceID=11","0.0053476")</f>
        <v>0.0053476</v>
      </c>
      <c r="K147" s="4" t="str">
        <f>HYPERLINK("http://141.218.60.56/~jnz1568/getInfo.php?workbook=05_01.xlsx&amp;sheet=A0&amp;row=147&amp;col=11&amp;number=&amp;sourceID=11","")</f>
        <v/>
      </c>
      <c r="L147" s="4" t="str">
        <f>HYPERLINK("http://141.218.60.56/~jnz1568/getInfo.php?workbook=05_01.xlsx&amp;sheet=A0&amp;row=147&amp;col=12&amp;number=2e-15&amp;sourceID=11","2e-15")</f>
        <v>2e-15</v>
      </c>
      <c r="M147" s="4" t="str">
        <f>HYPERLINK("http://141.218.60.56/~jnz1568/getInfo.php?workbook=05_01.xlsx&amp;sheet=A0&amp;row=147&amp;col=13&amp;number=&amp;sourceID=11","")</f>
        <v/>
      </c>
      <c r="N147" s="4" t="str">
        <f>HYPERLINK("http://141.218.60.56/~jnz1568/getInfo.php?workbook=05_01.xlsx&amp;sheet=A0&amp;row=147&amp;col=14&amp;number=0.0053478&amp;sourceID=12","0.0053478")</f>
        <v>0.0053478</v>
      </c>
      <c r="O147" s="4" t="str">
        <f>HYPERLINK("http://141.218.60.56/~jnz1568/getInfo.php?workbook=05_01.xlsx&amp;sheet=A0&amp;row=147&amp;col=15&amp;number=&amp;sourceID=12","")</f>
        <v/>
      </c>
      <c r="P147" s="4" t="str">
        <f>HYPERLINK("http://141.218.60.56/~jnz1568/getInfo.php?workbook=05_01.xlsx&amp;sheet=A0&amp;row=147&amp;col=16&amp;number=&amp;sourceID=12","")</f>
        <v/>
      </c>
      <c r="Q147" s="4" t="str">
        <f>HYPERLINK("http://141.218.60.56/~jnz1568/getInfo.php?workbook=05_01.xlsx&amp;sheet=A0&amp;row=147&amp;col=17&amp;number=0.0053478&amp;sourceID=12","0.0053478")</f>
        <v>0.0053478</v>
      </c>
      <c r="R147" s="4" t="str">
        <f>HYPERLINK("http://141.218.60.56/~jnz1568/getInfo.php?workbook=05_01.xlsx&amp;sheet=A0&amp;row=147&amp;col=18&amp;number=&amp;sourceID=12","")</f>
        <v/>
      </c>
      <c r="S147" s="4" t="str">
        <f>HYPERLINK("http://141.218.60.56/~jnz1568/getInfo.php?workbook=05_01.xlsx&amp;sheet=A0&amp;row=147&amp;col=19&amp;number=2e-15&amp;sourceID=12","2e-15")</f>
        <v>2e-15</v>
      </c>
      <c r="T147" s="4" t="str">
        <f>HYPERLINK("http://141.218.60.56/~jnz1568/getInfo.php?workbook=05_01.xlsx&amp;sheet=A0&amp;row=147&amp;col=20&amp;number=&amp;sourceID=12","")</f>
        <v/>
      </c>
    </row>
    <row r="148" spans="1:20">
      <c r="A148" s="3">
        <v>5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HYPERLINK("http://141.218.60.56/~jnz1568/getInfo.php?workbook=05_01.xlsx&amp;sheet=A0&amp;row=148&amp;col=6&amp;number=&amp;sourceID=18","")</f>
        <v/>
      </c>
      <c r="G148" s="4" t="str">
        <f>HYPERLINK("http://141.218.60.56/~jnz1568/getInfo.php?workbook=05_01.xlsx&amp;sheet=A0&amp;row=148&amp;col=7&amp;number==&amp;sourceID=11","=")</f>
        <v>=</v>
      </c>
      <c r="H148" s="4" t="str">
        <f>HYPERLINK("http://141.218.60.56/~jnz1568/getInfo.php?workbook=05_01.xlsx&amp;sheet=A0&amp;row=148&amp;col=8&amp;number=&amp;sourceID=11","")</f>
        <v/>
      </c>
      <c r="I148" s="4" t="str">
        <f>HYPERLINK("http://141.218.60.56/~jnz1568/getInfo.php?workbook=05_01.xlsx&amp;sheet=A0&amp;row=148&amp;col=9&amp;number=3049.3&amp;sourceID=11","3049.3")</f>
        <v>3049.3</v>
      </c>
      <c r="J148" s="4" t="str">
        <f>HYPERLINK("http://141.218.60.56/~jnz1568/getInfo.php?workbook=05_01.xlsx&amp;sheet=A0&amp;row=148&amp;col=10&amp;number=&amp;sourceID=11","")</f>
        <v/>
      </c>
      <c r="K148" s="4" t="str">
        <f>HYPERLINK("http://141.218.60.56/~jnz1568/getInfo.php?workbook=05_01.xlsx&amp;sheet=A0&amp;row=148&amp;col=11&amp;number=&amp;sourceID=11","")</f>
        <v/>
      </c>
      <c r="L148" s="4" t="str">
        <f>HYPERLINK("http://141.218.60.56/~jnz1568/getInfo.php?workbook=05_01.xlsx&amp;sheet=A0&amp;row=148&amp;col=12&amp;number=&amp;sourceID=11","")</f>
        <v/>
      </c>
      <c r="M148" s="4" t="str">
        <f>HYPERLINK("http://141.218.60.56/~jnz1568/getInfo.php?workbook=05_01.xlsx&amp;sheet=A0&amp;row=148&amp;col=13&amp;number=1.5192e-07&amp;sourceID=11","1.5192e-07")</f>
        <v>1.5192e-07</v>
      </c>
      <c r="N148" s="4" t="str">
        <f>HYPERLINK("http://141.218.60.56/~jnz1568/getInfo.php?workbook=05_01.xlsx&amp;sheet=A0&amp;row=148&amp;col=14&amp;number=3049.5&amp;sourceID=12","3049.5")</f>
        <v>3049.5</v>
      </c>
      <c r="O148" s="4" t="str">
        <f>HYPERLINK("http://141.218.60.56/~jnz1568/getInfo.php?workbook=05_01.xlsx&amp;sheet=A0&amp;row=148&amp;col=15&amp;number=&amp;sourceID=12","")</f>
        <v/>
      </c>
      <c r="P148" s="4" t="str">
        <f>HYPERLINK("http://141.218.60.56/~jnz1568/getInfo.php?workbook=05_01.xlsx&amp;sheet=A0&amp;row=148&amp;col=16&amp;number=3049.5&amp;sourceID=12","3049.5")</f>
        <v>3049.5</v>
      </c>
      <c r="Q148" s="4" t="str">
        <f>HYPERLINK("http://141.218.60.56/~jnz1568/getInfo.php?workbook=05_01.xlsx&amp;sheet=A0&amp;row=148&amp;col=17&amp;number=&amp;sourceID=12","")</f>
        <v/>
      </c>
      <c r="R148" s="4" t="str">
        <f>HYPERLINK("http://141.218.60.56/~jnz1568/getInfo.php?workbook=05_01.xlsx&amp;sheet=A0&amp;row=148&amp;col=18&amp;number=&amp;sourceID=12","")</f>
        <v/>
      </c>
      <c r="S148" s="4" t="str">
        <f>HYPERLINK("http://141.218.60.56/~jnz1568/getInfo.php?workbook=05_01.xlsx&amp;sheet=A0&amp;row=148&amp;col=19&amp;number=&amp;sourceID=12","")</f>
        <v/>
      </c>
      <c r="T148" s="4" t="str">
        <f>HYPERLINK("http://141.218.60.56/~jnz1568/getInfo.php?workbook=05_01.xlsx&amp;sheet=A0&amp;row=148&amp;col=20&amp;number=1.5193e-07&amp;sourceID=12","1.5193e-07")</f>
        <v>1.5193e-07</v>
      </c>
    </row>
    <row r="149" spans="1:20">
      <c r="A149" s="3">
        <v>5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HYPERLINK("http://141.218.60.56/~jnz1568/getInfo.php?workbook=05_01.xlsx&amp;sheet=A0&amp;row=149&amp;col=6&amp;number=&amp;sourceID=18","")</f>
        <v/>
      </c>
      <c r="G149" s="4" t="str">
        <f>HYPERLINK("http://141.218.60.56/~jnz1568/getInfo.php?workbook=05_01.xlsx&amp;sheet=A0&amp;row=149&amp;col=7&amp;number==&amp;sourceID=11","=")</f>
        <v>=</v>
      </c>
      <c r="H149" s="4" t="str">
        <f>HYPERLINK("http://141.218.60.56/~jnz1568/getInfo.php?workbook=05_01.xlsx&amp;sheet=A0&amp;row=149&amp;col=8&amp;number=&amp;sourceID=11","")</f>
        <v/>
      </c>
      <c r="I149" s="4" t="str">
        <f>HYPERLINK("http://141.218.60.56/~jnz1568/getInfo.php?workbook=05_01.xlsx&amp;sheet=A0&amp;row=149&amp;col=9&amp;number=&amp;sourceID=11","")</f>
        <v/>
      </c>
      <c r="J149" s="4" t="str">
        <f>HYPERLINK("http://141.218.60.56/~jnz1568/getInfo.php?workbook=05_01.xlsx&amp;sheet=A0&amp;row=149&amp;col=10&amp;number=0.0071292&amp;sourceID=11","0.0071292")</f>
        <v>0.0071292</v>
      </c>
      <c r="K149" s="4" t="str">
        <f>HYPERLINK("http://141.218.60.56/~jnz1568/getInfo.php?workbook=05_01.xlsx&amp;sheet=A0&amp;row=149&amp;col=11&amp;number=&amp;sourceID=11","")</f>
        <v/>
      </c>
      <c r="L149" s="4" t="str">
        <f>HYPERLINK("http://141.218.60.56/~jnz1568/getInfo.php?workbook=05_01.xlsx&amp;sheet=A0&amp;row=149&amp;col=12&amp;number=&amp;sourceID=11","")</f>
        <v/>
      </c>
      <c r="M149" s="4" t="str">
        <f>HYPERLINK("http://141.218.60.56/~jnz1568/getInfo.php?workbook=05_01.xlsx&amp;sheet=A0&amp;row=149&amp;col=13&amp;number=&amp;sourceID=11","")</f>
        <v/>
      </c>
      <c r="N149" s="4" t="str">
        <f>HYPERLINK("http://141.218.60.56/~jnz1568/getInfo.php?workbook=05_01.xlsx&amp;sheet=A0&amp;row=149&amp;col=14&amp;number=0.0071296&amp;sourceID=12","0.0071296")</f>
        <v>0.0071296</v>
      </c>
      <c r="O149" s="4" t="str">
        <f>HYPERLINK("http://141.218.60.56/~jnz1568/getInfo.php?workbook=05_01.xlsx&amp;sheet=A0&amp;row=149&amp;col=15&amp;number=&amp;sourceID=12","")</f>
        <v/>
      </c>
      <c r="P149" s="4" t="str">
        <f>HYPERLINK("http://141.218.60.56/~jnz1568/getInfo.php?workbook=05_01.xlsx&amp;sheet=A0&amp;row=149&amp;col=16&amp;number=&amp;sourceID=12","")</f>
        <v/>
      </c>
      <c r="Q149" s="4" t="str">
        <f>HYPERLINK("http://141.218.60.56/~jnz1568/getInfo.php?workbook=05_01.xlsx&amp;sheet=A0&amp;row=149&amp;col=17&amp;number=0.0071296&amp;sourceID=12","0.0071296")</f>
        <v>0.0071296</v>
      </c>
      <c r="R149" s="4" t="str">
        <f>HYPERLINK("http://141.218.60.56/~jnz1568/getInfo.php?workbook=05_01.xlsx&amp;sheet=A0&amp;row=149&amp;col=18&amp;number=&amp;sourceID=12","")</f>
        <v/>
      </c>
      <c r="S149" s="4" t="str">
        <f>HYPERLINK("http://141.218.60.56/~jnz1568/getInfo.php?workbook=05_01.xlsx&amp;sheet=A0&amp;row=149&amp;col=19&amp;number=&amp;sourceID=12","")</f>
        <v/>
      </c>
      <c r="T149" s="4" t="str">
        <f>HYPERLINK("http://141.218.60.56/~jnz1568/getInfo.php?workbook=05_01.xlsx&amp;sheet=A0&amp;row=149&amp;col=20&amp;number=&amp;sourceID=12","")</f>
        <v/>
      </c>
    </row>
    <row r="150" spans="1:20">
      <c r="A150" s="3">
        <v>5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HYPERLINK("http://141.218.60.56/~jnz1568/getInfo.php?workbook=05_01.xlsx&amp;sheet=A0&amp;row=150&amp;col=6&amp;number=&amp;sourceID=18","")</f>
        <v/>
      </c>
      <c r="G150" s="4" t="str">
        <f>HYPERLINK("http://141.218.60.56/~jnz1568/getInfo.php?workbook=05_01.xlsx&amp;sheet=A0&amp;row=150&amp;col=7&amp;number==&amp;sourceID=11","=")</f>
        <v>=</v>
      </c>
      <c r="H150" s="4" t="str">
        <f>HYPERLINK("http://141.218.60.56/~jnz1568/getInfo.php?workbook=05_01.xlsx&amp;sheet=A0&amp;row=150&amp;col=8&amp;number=&amp;sourceID=11","")</f>
        <v/>
      </c>
      <c r="I150" s="4" t="str">
        <f>HYPERLINK("http://141.218.60.56/~jnz1568/getInfo.php?workbook=05_01.xlsx&amp;sheet=A0&amp;row=150&amp;col=9&amp;number=2883300&amp;sourceID=11","2883300")</f>
        <v>2883300</v>
      </c>
      <c r="J150" s="4" t="str">
        <f>HYPERLINK("http://141.218.60.56/~jnz1568/getInfo.php?workbook=05_01.xlsx&amp;sheet=A0&amp;row=150&amp;col=10&amp;number=&amp;sourceID=11","")</f>
        <v/>
      </c>
      <c r="K150" s="4" t="str">
        <f>HYPERLINK("http://141.218.60.56/~jnz1568/getInfo.php?workbook=05_01.xlsx&amp;sheet=A0&amp;row=150&amp;col=11&amp;number=0.025208&amp;sourceID=11","0.025208")</f>
        <v>0.025208</v>
      </c>
      <c r="L150" s="4" t="str">
        <f>HYPERLINK("http://141.218.60.56/~jnz1568/getInfo.php?workbook=05_01.xlsx&amp;sheet=A0&amp;row=150&amp;col=12&amp;number=&amp;sourceID=11","")</f>
        <v/>
      </c>
      <c r="M150" s="4" t="str">
        <f>HYPERLINK("http://141.218.60.56/~jnz1568/getInfo.php?workbook=05_01.xlsx&amp;sheet=A0&amp;row=150&amp;col=13&amp;number=&amp;sourceID=11","")</f>
        <v/>
      </c>
      <c r="N150" s="4" t="str">
        <f>HYPERLINK("http://141.218.60.56/~jnz1568/getInfo.php?workbook=05_01.xlsx&amp;sheet=A0&amp;row=150&amp;col=14&amp;number=2883400&amp;sourceID=12","2883400")</f>
        <v>2883400</v>
      </c>
      <c r="O150" s="4" t="str">
        <f>HYPERLINK("http://141.218.60.56/~jnz1568/getInfo.php?workbook=05_01.xlsx&amp;sheet=A0&amp;row=150&amp;col=15&amp;number=&amp;sourceID=12","")</f>
        <v/>
      </c>
      <c r="P150" s="4" t="str">
        <f>HYPERLINK("http://141.218.60.56/~jnz1568/getInfo.php?workbook=05_01.xlsx&amp;sheet=A0&amp;row=150&amp;col=16&amp;number=2883400&amp;sourceID=12","2883400")</f>
        <v>2883400</v>
      </c>
      <c r="Q150" s="4" t="str">
        <f>HYPERLINK("http://141.218.60.56/~jnz1568/getInfo.php?workbook=05_01.xlsx&amp;sheet=A0&amp;row=150&amp;col=17&amp;number=&amp;sourceID=12","")</f>
        <v/>
      </c>
      <c r="R150" s="4" t="str">
        <f>HYPERLINK("http://141.218.60.56/~jnz1568/getInfo.php?workbook=05_01.xlsx&amp;sheet=A0&amp;row=150&amp;col=18&amp;number=0.025239&amp;sourceID=12","0.025239")</f>
        <v>0.025239</v>
      </c>
      <c r="S150" s="4" t="str">
        <f>HYPERLINK("http://141.218.60.56/~jnz1568/getInfo.php?workbook=05_01.xlsx&amp;sheet=A0&amp;row=150&amp;col=19&amp;number=&amp;sourceID=12","")</f>
        <v/>
      </c>
      <c r="T150" s="4" t="str">
        <f>HYPERLINK("http://141.218.60.56/~jnz1568/getInfo.php?workbook=05_01.xlsx&amp;sheet=A0&amp;row=150&amp;col=20&amp;number=&amp;sourceID=12","")</f>
        <v/>
      </c>
    </row>
    <row r="151" spans="1:20">
      <c r="A151" s="3">
        <v>5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HYPERLINK("http://141.218.60.56/~jnz1568/getInfo.php?workbook=05_01.xlsx&amp;sheet=A0&amp;row=151&amp;col=6&amp;number=&amp;sourceID=18","")</f>
        <v/>
      </c>
      <c r="G151" s="4" t="str">
        <f>HYPERLINK("http://141.218.60.56/~jnz1568/getInfo.php?workbook=05_01.xlsx&amp;sheet=A0&amp;row=151&amp;col=7&amp;number==&amp;sourceID=11","=")</f>
        <v>=</v>
      </c>
      <c r="H151" s="4" t="str">
        <f>HYPERLINK("http://141.218.60.56/~jnz1568/getInfo.php?workbook=05_01.xlsx&amp;sheet=A0&amp;row=151&amp;col=8&amp;number=4916400000&amp;sourceID=11","4916400000")</f>
        <v>4916400000</v>
      </c>
      <c r="I151" s="4" t="str">
        <f>HYPERLINK("http://141.218.60.56/~jnz1568/getInfo.php?workbook=05_01.xlsx&amp;sheet=A0&amp;row=151&amp;col=9&amp;number=&amp;sourceID=11","")</f>
        <v/>
      </c>
      <c r="J151" s="4" t="str">
        <f>HYPERLINK("http://141.218.60.56/~jnz1568/getInfo.php?workbook=05_01.xlsx&amp;sheet=A0&amp;row=151&amp;col=10&amp;number=&amp;sourceID=11","")</f>
        <v/>
      </c>
      <c r="K151" s="4" t="str">
        <f>HYPERLINK("http://141.218.60.56/~jnz1568/getInfo.php?workbook=05_01.xlsx&amp;sheet=A0&amp;row=151&amp;col=11&amp;number=&amp;sourceID=11","")</f>
        <v/>
      </c>
      <c r="L151" s="4" t="str">
        <f>HYPERLINK("http://141.218.60.56/~jnz1568/getInfo.php?workbook=05_01.xlsx&amp;sheet=A0&amp;row=151&amp;col=12&amp;number=0.72082&amp;sourceID=11","0.72082")</f>
        <v>0.72082</v>
      </c>
      <c r="M151" s="4" t="str">
        <f>HYPERLINK("http://141.218.60.56/~jnz1568/getInfo.php?workbook=05_01.xlsx&amp;sheet=A0&amp;row=151&amp;col=13&amp;number=&amp;sourceID=11","")</f>
        <v/>
      </c>
      <c r="N151" s="4" t="str">
        <f>HYPERLINK("http://141.218.60.56/~jnz1568/getInfo.php?workbook=05_01.xlsx&amp;sheet=A0&amp;row=151&amp;col=14&amp;number=4916600000&amp;sourceID=12","4916600000")</f>
        <v>4916600000</v>
      </c>
      <c r="O151" s="4" t="str">
        <f>HYPERLINK("http://141.218.60.56/~jnz1568/getInfo.php?workbook=05_01.xlsx&amp;sheet=A0&amp;row=151&amp;col=15&amp;number=4916600000&amp;sourceID=12","4916600000")</f>
        <v>4916600000</v>
      </c>
      <c r="P151" s="4" t="str">
        <f>HYPERLINK("http://141.218.60.56/~jnz1568/getInfo.php?workbook=05_01.xlsx&amp;sheet=A0&amp;row=151&amp;col=16&amp;number=&amp;sourceID=12","")</f>
        <v/>
      </c>
      <c r="Q151" s="4" t="str">
        <f>HYPERLINK("http://141.218.60.56/~jnz1568/getInfo.php?workbook=05_01.xlsx&amp;sheet=A0&amp;row=151&amp;col=17&amp;number=&amp;sourceID=12","")</f>
        <v/>
      </c>
      <c r="R151" s="4" t="str">
        <f>HYPERLINK("http://141.218.60.56/~jnz1568/getInfo.php?workbook=05_01.xlsx&amp;sheet=A0&amp;row=151&amp;col=18&amp;number=&amp;sourceID=12","")</f>
        <v/>
      </c>
      <c r="S151" s="4" t="str">
        <f>HYPERLINK("http://141.218.60.56/~jnz1568/getInfo.php?workbook=05_01.xlsx&amp;sheet=A0&amp;row=151&amp;col=19&amp;number=0.72086&amp;sourceID=12","0.72086")</f>
        <v>0.72086</v>
      </c>
      <c r="T151" s="4" t="str">
        <f>HYPERLINK("http://141.218.60.56/~jnz1568/getInfo.php?workbook=05_01.xlsx&amp;sheet=A0&amp;row=151&amp;col=20&amp;number=&amp;sourceID=12","")</f>
        <v/>
      </c>
    </row>
    <row r="152" spans="1:20">
      <c r="A152" s="3">
        <v>5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HYPERLINK("http://141.218.60.56/~jnz1568/getInfo.php?workbook=05_01.xlsx&amp;sheet=A0&amp;row=152&amp;col=6&amp;number=&amp;sourceID=18","")</f>
        <v/>
      </c>
      <c r="G152" s="4" t="str">
        <f>HYPERLINK("http://141.218.60.56/~jnz1568/getInfo.php?workbook=05_01.xlsx&amp;sheet=A0&amp;row=152&amp;col=7&amp;number==&amp;sourceID=11","=")</f>
        <v>=</v>
      </c>
      <c r="H152" s="4" t="str">
        <f>HYPERLINK("http://141.218.60.56/~jnz1568/getInfo.php?workbook=05_01.xlsx&amp;sheet=A0&amp;row=152&amp;col=8&amp;number=&amp;sourceID=11","")</f>
        <v/>
      </c>
      <c r="I152" s="4" t="str">
        <f>HYPERLINK("http://141.218.60.56/~jnz1568/getInfo.php?workbook=05_01.xlsx&amp;sheet=A0&amp;row=152&amp;col=9&amp;number=15146&amp;sourceID=11","15146")</f>
        <v>15146</v>
      </c>
      <c r="J152" s="4" t="str">
        <f>HYPERLINK("http://141.218.60.56/~jnz1568/getInfo.php?workbook=05_01.xlsx&amp;sheet=A0&amp;row=152&amp;col=10&amp;number=&amp;sourceID=11","")</f>
        <v/>
      </c>
      <c r="K152" s="4" t="str">
        <f>HYPERLINK("http://141.218.60.56/~jnz1568/getInfo.php?workbook=05_01.xlsx&amp;sheet=A0&amp;row=152&amp;col=11&amp;number=0.00032907&amp;sourceID=11","0.00032907")</f>
        <v>0.00032907</v>
      </c>
      <c r="L152" s="4" t="str">
        <f>HYPERLINK("http://141.218.60.56/~jnz1568/getInfo.php?workbook=05_01.xlsx&amp;sheet=A0&amp;row=152&amp;col=12&amp;number=&amp;sourceID=11","")</f>
        <v/>
      </c>
      <c r="M152" s="4" t="str">
        <f>HYPERLINK("http://141.218.60.56/~jnz1568/getInfo.php?workbook=05_01.xlsx&amp;sheet=A0&amp;row=152&amp;col=13&amp;number=&amp;sourceID=11","")</f>
        <v/>
      </c>
      <c r="N152" s="4" t="str">
        <f>HYPERLINK("http://141.218.60.56/~jnz1568/getInfo.php?workbook=05_01.xlsx&amp;sheet=A0&amp;row=152&amp;col=14&amp;number=15147&amp;sourceID=12","15147")</f>
        <v>15147</v>
      </c>
      <c r="O152" s="4" t="str">
        <f>HYPERLINK("http://141.218.60.56/~jnz1568/getInfo.php?workbook=05_01.xlsx&amp;sheet=A0&amp;row=152&amp;col=15&amp;number=&amp;sourceID=12","")</f>
        <v/>
      </c>
      <c r="P152" s="4" t="str">
        <f>HYPERLINK("http://141.218.60.56/~jnz1568/getInfo.php?workbook=05_01.xlsx&amp;sheet=A0&amp;row=152&amp;col=16&amp;number=15147&amp;sourceID=12","15147")</f>
        <v>15147</v>
      </c>
      <c r="Q152" s="4" t="str">
        <f>HYPERLINK("http://141.218.60.56/~jnz1568/getInfo.php?workbook=05_01.xlsx&amp;sheet=A0&amp;row=152&amp;col=17&amp;number=&amp;sourceID=12","")</f>
        <v/>
      </c>
      <c r="R152" s="4" t="str">
        <f>HYPERLINK("http://141.218.60.56/~jnz1568/getInfo.php?workbook=05_01.xlsx&amp;sheet=A0&amp;row=152&amp;col=18&amp;number=0.00032885&amp;sourceID=12","0.00032885")</f>
        <v>0.00032885</v>
      </c>
      <c r="S152" s="4" t="str">
        <f>HYPERLINK("http://141.218.60.56/~jnz1568/getInfo.php?workbook=05_01.xlsx&amp;sheet=A0&amp;row=152&amp;col=19&amp;number=&amp;sourceID=12","")</f>
        <v/>
      </c>
      <c r="T152" s="4" t="str">
        <f>HYPERLINK("http://141.218.60.56/~jnz1568/getInfo.php?workbook=05_01.xlsx&amp;sheet=A0&amp;row=152&amp;col=20&amp;number=&amp;sourceID=12","")</f>
        <v/>
      </c>
    </row>
    <row r="153" spans="1:20">
      <c r="A153" s="3">
        <v>5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HYPERLINK("http://141.218.60.56/~jnz1568/getInfo.php?workbook=05_01.xlsx&amp;sheet=A0&amp;row=153&amp;col=6&amp;number=&amp;sourceID=18","")</f>
        <v/>
      </c>
      <c r="G153" s="4" t="str">
        <f>HYPERLINK("http://141.218.60.56/~jnz1568/getInfo.php?workbook=05_01.xlsx&amp;sheet=A0&amp;row=153&amp;col=7&amp;number==&amp;sourceID=11","=")</f>
        <v>=</v>
      </c>
      <c r="H153" s="4" t="str">
        <f>HYPERLINK("http://141.218.60.56/~jnz1568/getInfo.php?workbook=05_01.xlsx&amp;sheet=A0&amp;row=153&amp;col=8&amp;number=981950000&amp;sourceID=11","981950000")</f>
        <v>981950000</v>
      </c>
      <c r="I153" s="4" t="str">
        <f>HYPERLINK("http://141.218.60.56/~jnz1568/getInfo.php?workbook=05_01.xlsx&amp;sheet=A0&amp;row=153&amp;col=9&amp;number=&amp;sourceID=11","")</f>
        <v/>
      </c>
      <c r="J153" s="4" t="str">
        <f>HYPERLINK("http://141.218.60.56/~jnz1568/getInfo.php?workbook=05_01.xlsx&amp;sheet=A0&amp;row=153&amp;col=10&amp;number=0.27702&amp;sourceID=11","0.27702")</f>
        <v>0.27702</v>
      </c>
      <c r="K153" s="4" t="str">
        <f>HYPERLINK("http://141.218.60.56/~jnz1568/getInfo.php?workbook=05_01.xlsx&amp;sheet=A0&amp;row=153&amp;col=11&amp;number=&amp;sourceID=11","")</f>
        <v/>
      </c>
      <c r="L153" s="4" t="str">
        <f>HYPERLINK("http://141.218.60.56/~jnz1568/getInfo.php?workbook=05_01.xlsx&amp;sheet=A0&amp;row=153&amp;col=12&amp;number=&amp;sourceID=11","")</f>
        <v/>
      </c>
      <c r="M153" s="4" t="str">
        <f>HYPERLINK("http://141.218.60.56/~jnz1568/getInfo.php?workbook=05_01.xlsx&amp;sheet=A0&amp;row=153&amp;col=13&amp;number=&amp;sourceID=11","")</f>
        <v/>
      </c>
      <c r="N153" s="4" t="str">
        <f>HYPERLINK("http://141.218.60.56/~jnz1568/getInfo.php?workbook=05_01.xlsx&amp;sheet=A0&amp;row=153&amp;col=14&amp;number=982000000&amp;sourceID=12","982000000")</f>
        <v>982000000</v>
      </c>
      <c r="O153" s="4" t="str">
        <f>HYPERLINK("http://141.218.60.56/~jnz1568/getInfo.php?workbook=05_01.xlsx&amp;sheet=A0&amp;row=153&amp;col=15&amp;number=982000000&amp;sourceID=12","982000000")</f>
        <v>982000000</v>
      </c>
      <c r="P153" s="4" t="str">
        <f>HYPERLINK("http://141.218.60.56/~jnz1568/getInfo.php?workbook=05_01.xlsx&amp;sheet=A0&amp;row=153&amp;col=16&amp;number=&amp;sourceID=12","")</f>
        <v/>
      </c>
      <c r="Q153" s="4" t="str">
        <f>HYPERLINK("http://141.218.60.56/~jnz1568/getInfo.php?workbook=05_01.xlsx&amp;sheet=A0&amp;row=153&amp;col=17&amp;number=0.27704&amp;sourceID=12","0.27704")</f>
        <v>0.27704</v>
      </c>
      <c r="R153" s="4" t="str">
        <f>HYPERLINK("http://141.218.60.56/~jnz1568/getInfo.php?workbook=05_01.xlsx&amp;sheet=A0&amp;row=153&amp;col=18&amp;number=&amp;sourceID=12","")</f>
        <v/>
      </c>
      <c r="S153" s="4" t="str">
        <f>HYPERLINK("http://141.218.60.56/~jnz1568/getInfo.php?workbook=05_01.xlsx&amp;sheet=A0&amp;row=153&amp;col=19&amp;number=&amp;sourceID=12","")</f>
        <v/>
      </c>
      <c r="T153" s="4" t="str">
        <f>HYPERLINK("http://141.218.60.56/~jnz1568/getInfo.php?workbook=05_01.xlsx&amp;sheet=A0&amp;row=153&amp;col=20&amp;number=&amp;sourceID=12","")</f>
        <v/>
      </c>
    </row>
    <row r="154" spans="1:20">
      <c r="A154" s="3">
        <v>5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HYPERLINK("http://141.218.60.56/~jnz1568/getInfo.php?workbook=05_01.xlsx&amp;sheet=A0&amp;row=154&amp;col=6&amp;number=&amp;sourceID=18","")</f>
        <v/>
      </c>
      <c r="G154" s="4" t="str">
        <f>HYPERLINK("http://141.218.60.56/~jnz1568/getInfo.php?workbook=05_01.xlsx&amp;sheet=A0&amp;row=154&amp;col=7&amp;number==&amp;sourceID=11","=")</f>
        <v>=</v>
      </c>
      <c r="H154" s="4" t="str">
        <f>HYPERLINK("http://141.218.60.56/~jnz1568/getInfo.php?workbook=05_01.xlsx&amp;sheet=A0&amp;row=154&amp;col=8&amp;number=1768000000&amp;sourceID=11","1768000000")</f>
        <v>1768000000</v>
      </c>
      <c r="I154" s="4" t="str">
        <f>HYPERLINK("http://141.218.60.56/~jnz1568/getInfo.php?workbook=05_01.xlsx&amp;sheet=A0&amp;row=154&amp;col=9&amp;number=&amp;sourceID=11","")</f>
        <v/>
      </c>
      <c r="J154" s="4" t="str">
        <f>HYPERLINK("http://141.218.60.56/~jnz1568/getInfo.php?workbook=05_01.xlsx&amp;sheet=A0&amp;row=154&amp;col=10&amp;number=&amp;sourceID=11","")</f>
        <v/>
      </c>
      <c r="K154" s="4" t="str">
        <f>HYPERLINK("http://141.218.60.56/~jnz1568/getInfo.php?workbook=05_01.xlsx&amp;sheet=A0&amp;row=154&amp;col=11&amp;number=&amp;sourceID=11","")</f>
        <v/>
      </c>
      <c r="L154" s="4" t="str">
        <f>HYPERLINK("http://141.218.60.56/~jnz1568/getInfo.php?workbook=05_01.xlsx&amp;sheet=A0&amp;row=154&amp;col=12&amp;number=0.029733&amp;sourceID=11","0.029733")</f>
        <v>0.029733</v>
      </c>
      <c r="M154" s="4" t="str">
        <f>HYPERLINK("http://141.218.60.56/~jnz1568/getInfo.php?workbook=05_01.xlsx&amp;sheet=A0&amp;row=154&amp;col=13&amp;number=&amp;sourceID=11","")</f>
        <v/>
      </c>
      <c r="N154" s="4" t="str">
        <f>HYPERLINK("http://141.218.60.56/~jnz1568/getInfo.php?workbook=05_01.xlsx&amp;sheet=A0&amp;row=154&amp;col=14&amp;number=1768100000&amp;sourceID=12","1768100000")</f>
        <v>1768100000</v>
      </c>
      <c r="O154" s="4" t="str">
        <f>HYPERLINK("http://141.218.60.56/~jnz1568/getInfo.php?workbook=05_01.xlsx&amp;sheet=A0&amp;row=154&amp;col=15&amp;number=1768100000&amp;sourceID=12","1768100000")</f>
        <v>1768100000</v>
      </c>
      <c r="P154" s="4" t="str">
        <f>HYPERLINK("http://141.218.60.56/~jnz1568/getInfo.php?workbook=05_01.xlsx&amp;sheet=A0&amp;row=154&amp;col=16&amp;number=&amp;sourceID=12","")</f>
        <v/>
      </c>
      <c r="Q154" s="4" t="str">
        <f>HYPERLINK("http://141.218.60.56/~jnz1568/getInfo.php?workbook=05_01.xlsx&amp;sheet=A0&amp;row=154&amp;col=17&amp;number=&amp;sourceID=12","")</f>
        <v/>
      </c>
      <c r="R154" s="4" t="str">
        <f>HYPERLINK("http://141.218.60.56/~jnz1568/getInfo.php?workbook=05_01.xlsx&amp;sheet=A0&amp;row=154&amp;col=18&amp;number=&amp;sourceID=12","")</f>
        <v/>
      </c>
      <c r="S154" s="4" t="str">
        <f>HYPERLINK("http://141.218.60.56/~jnz1568/getInfo.php?workbook=05_01.xlsx&amp;sheet=A0&amp;row=154&amp;col=19&amp;number=0.029734&amp;sourceID=12","0.029734")</f>
        <v>0.029734</v>
      </c>
      <c r="T154" s="4" t="str">
        <f>HYPERLINK("http://141.218.60.56/~jnz1568/getInfo.php?workbook=05_01.xlsx&amp;sheet=A0&amp;row=154&amp;col=20&amp;number=&amp;sourceID=12","")</f>
        <v/>
      </c>
    </row>
    <row r="155" spans="1:20">
      <c r="A155" s="3">
        <v>5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HYPERLINK("http://141.218.60.56/~jnz1568/getInfo.php?workbook=05_01.xlsx&amp;sheet=A0&amp;row=155&amp;col=6&amp;number=&amp;sourceID=18","")</f>
        <v/>
      </c>
      <c r="G155" s="4" t="str">
        <f>HYPERLINK("http://141.218.60.56/~jnz1568/getInfo.php?workbook=05_01.xlsx&amp;sheet=A0&amp;row=155&amp;col=7&amp;number==&amp;sourceID=11","=")</f>
        <v>=</v>
      </c>
      <c r="H155" s="4" t="str">
        <f>HYPERLINK("http://141.218.60.56/~jnz1568/getInfo.php?workbook=05_01.xlsx&amp;sheet=A0&amp;row=155&amp;col=8&amp;number=&amp;sourceID=11","")</f>
        <v/>
      </c>
      <c r="I155" s="4" t="str">
        <f>HYPERLINK("http://141.218.60.56/~jnz1568/getInfo.php?workbook=05_01.xlsx&amp;sheet=A0&amp;row=155&amp;col=9&amp;number=17006&amp;sourceID=11","17006")</f>
        <v>17006</v>
      </c>
      <c r="J155" s="4" t="str">
        <f>HYPERLINK("http://141.218.60.56/~jnz1568/getInfo.php?workbook=05_01.xlsx&amp;sheet=A0&amp;row=155&amp;col=10&amp;number=&amp;sourceID=11","")</f>
        <v/>
      </c>
      <c r="K155" s="4" t="str">
        <f>HYPERLINK("http://141.218.60.56/~jnz1568/getInfo.php?workbook=05_01.xlsx&amp;sheet=A0&amp;row=155&amp;col=11&amp;number=6.8762e-06&amp;sourceID=11","6.8762e-06")</f>
        <v>6.8762e-06</v>
      </c>
      <c r="L155" s="4" t="str">
        <f>HYPERLINK("http://141.218.60.56/~jnz1568/getInfo.php?workbook=05_01.xlsx&amp;sheet=A0&amp;row=155&amp;col=12&amp;number=&amp;sourceID=11","")</f>
        <v/>
      </c>
      <c r="M155" s="4" t="str">
        <f>HYPERLINK("http://141.218.60.56/~jnz1568/getInfo.php?workbook=05_01.xlsx&amp;sheet=A0&amp;row=155&amp;col=13&amp;number=&amp;sourceID=11","")</f>
        <v/>
      </c>
      <c r="N155" s="4" t="str">
        <f>HYPERLINK("http://141.218.60.56/~jnz1568/getInfo.php?workbook=05_01.xlsx&amp;sheet=A0&amp;row=155&amp;col=14&amp;number=17007&amp;sourceID=12","17007")</f>
        <v>17007</v>
      </c>
      <c r="O155" s="4" t="str">
        <f>HYPERLINK("http://141.218.60.56/~jnz1568/getInfo.php?workbook=05_01.xlsx&amp;sheet=A0&amp;row=155&amp;col=15&amp;number=&amp;sourceID=12","")</f>
        <v/>
      </c>
      <c r="P155" s="4" t="str">
        <f>HYPERLINK("http://141.218.60.56/~jnz1568/getInfo.php?workbook=05_01.xlsx&amp;sheet=A0&amp;row=155&amp;col=16&amp;number=17007&amp;sourceID=12","17007")</f>
        <v>17007</v>
      </c>
      <c r="Q155" s="4" t="str">
        <f>HYPERLINK("http://141.218.60.56/~jnz1568/getInfo.php?workbook=05_01.xlsx&amp;sheet=A0&amp;row=155&amp;col=17&amp;number=&amp;sourceID=12","")</f>
        <v/>
      </c>
      <c r="R155" s="4" t="str">
        <f>HYPERLINK("http://141.218.60.56/~jnz1568/getInfo.php?workbook=05_01.xlsx&amp;sheet=A0&amp;row=155&amp;col=18&amp;number=6.8768e-06&amp;sourceID=12","6.8768e-06")</f>
        <v>6.8768e-06</v>
      </c>
      <c r="S155" s="4" t="str">
        <f>HYPERLINK("http://141.218.60.56/~jnz1568/getInfo.php?workbook=05_01.xlsx&amp;sheet=A0&amp;row=155&amp;col=19&amp;number=&amp;sourceID=12","")</f>
        <v/>
      </c>
      <c r="T155" s="4" t="str">
        <f>HYPERLINK("http://141.218.60.56/~jnz1568/getInfo.php?workbook=05_01.xlsx&amp;sheet=A0&amp;row=155&amp;col=20&amp;number=&amp;sourceID=12","")</f>
        <v/>
      </c>
    </row>
    <row r="156" spans="1:20">
      <c r="A156" s="3">
        <v>5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HYPERLINK("http://141.218.60.56/~jnz1568/getInfo.php?workbook=05_01.xlsx&amp;sheet=A0&amp;row=156&amp;col=6&amp;number=&amp;sourceID=18","")</f>
        <v/>
      </c>
      <c r="G156" s="4" t="str">
        <f>HYPERLINK("http://141.218.60.56/~jnz1568/getInfo.php?workbook=05_01.xlsx&amp;sheet=A0&amp;row=156&amp;col=7&amp;number==&amp;sourceID=11","=")</f>
        <v>=</v>
      </c>
      <c r="H156" s="4" t="str">
        <f>HYPERLINK("http://141.218.60.56/~jnz1568/getInfo.php?workbook=05_01.xlsx&amp;sheet=A0&amp;row=156&amp;col=8&amp;number=&amp;sourceID=11","")</f>
        <v/>
      </c>
      <c r="I156" s="4" t="str">
        <f>HYPERLINK("http://141.218.60.56/~jnz1568/getInfo.php?workbook=05_01.xlsx&amp;sheet=A0&amp;row=156&amp;col=9&amp;number=6273.9&amp;sourceID=11","6273.9")</f>
        <v>6273.9</v>
      </c>
      <c r="J156" s="4" t="str">
        <f>HYPERLINK("http://141.218.60.56/~jnz1568/getInfo.php?workbook=05_01.xlsx&amp;sheet=A0&amp;row=156&amp;col=10&amp;number=&amp;sourceID=11","")</f>
        <v/>
      </c>
      <c r="K156" s="4" t="str">
        <f>HYPERLINK("http://141.218.60.56/~jnz1568/getInfo.php?workbook=05_01.xlsx&amp;sheet=A0&amp;row=156&amp;col=11&amp;number=0.00018377&amp;sourceID=11","0.00018377")</f>
        <v>0.00018377</v>
      </c>
      <c r="L156" s="4" t="str">
        <f>HYPERLINK("http://141.218.60.56/~jnz1568/getInfo.php?workbook=05_01.xlsx&amp;sheet=A0&amp;row=156&amp;col=12&amp;number=&amp;sourceID=11","")</f>
        <v/>
      </c>
      <c r="M156" s="4" t="str">
        <f>HYPERLINK("http://141.218.60.56/~jnz1568/getInfo.php?workbook=05_01.xlsx&amp;sheet=A0&amp;row=156&amp;col=13&amp;number=1.1477e-07&amp;sourceID=11","1.1477e-07")</f>
        <v>1.1477e-07</v>
      </c>
      <c r="N156" s="4" t="str">
        <f>HYPERLINK("http://141.218.60.56/~jnz1568/getInfo.php?workbook=05_01.xlsx&amp;sheet=A0&amp;row=156&amp;col=14&amp;number=6274.2&amp;sourceID=12","6274.2")</f>
        <v>6274.2</v>
      </c>
      <c r="O156" s="4" t="str">
        <f>HYPERLINK("http://141.218.60.56/~jnz1568/getInfo.php?workbook=05_01.xlsx&amp;sheet=A0&amp;row=156&amp;col=15&amp;number=&amp;sourceID=12","")</f>
        <v/>
      </c>
      <c r="P156" s="4" t="str">
        <f>HYPERLINK("http://141.218.60.56/~jnz1568/getInfo.php?workbook=05_01.xlsx&amp;sheet=A0&amp;row=156&amp;col=16&amp;number=6274.2&amp;sourceID=12","6274.2")</f>
        <v>6274.2</v>
      </c>
      <c r="Q156" s="4" t="str">
        <f>HYPERLINK("http://141.218.60.56/~jnz1568/getInfo.php?workbook=05_01.xlsx&amp;sheet=A0&amp;row=156&amp;col=17&amp;number=&amp;sourceID=12","")</f>
        <v/>
      </c>
      <c r="R156" s="4" t="str">
        <f>HYPERLINK("http://141.218.60.56/~jnz1568/getInfo.php?workbook=05_01.xlsx&amp;sheet=A0&amp;row=156&amp;col=18&amp;number=0.00018376&amp;sourceID=12","0.00018376")</f>
        <v>0.00018376</v>
      </c>
      <c r="S156" s="4" t="str">
        <f>HYPERLINK("http://141.218.60.56/~jnz1568/getInfo.php?workbook=05_01.xlsx&amp;sheet=A0&amp;row=156&amp;col=19&amp;number=&amp;sourceID=12","")</f>
        <v/>
      </c>
      <c r="T156" s="4" t="str">
        <f>HYPERLINK("http://141.218.60.56/~jnz1568/getInfo.php?workbook=05_01.xlsx&amp;sheet=A0&amp;row=156&amp;col=20&amp;number=1.1477e-07&amp;sourceID=12","1.1477e-07")</f>
        <v>1.1477e-07</v>
      </c>
    </row>
    <row r="157" spans="1:20">
      <c r="A157" s="3">
        <v>5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HYPERLINK("http://141.218.60.56/~jnz1568/getInfo.php?workbook=05_01.xlsx&amp;sheet=A0&amp;row=157&amp;col=6&amp;number=&amp;sourceID=18","")</f>
        <v/>
      </c>
      <c r="G157" s="4" t="str">
        <f>HYPERLINK("http://141.218.60.56/~jnz1568/getInfo.php?workbook=05_01.xlsx&amp;sheet=A0&amp;row=157&amp;col=7&amp;number==&amp;sourceID=11","=")</f>
        <v>=</v>
      </c>
      <c r="H157" s="4" t="str">
        <f>HYPERLINK("http://141.218.60.56/~jnz1568/getInfo.php?workbook=05_01.xlsx&amp;sheet=A0&amp;row=157&amp;col=8&amp;number=353490000&amp;sourceID=11","353490000")</f>
        <v>353490000</v>
      </c>
      <c r="I157" s="4" t="str">
        <f>HYPERLINK("http://141.218.60.56/~jnz1568/getInfo.php?workbook=05_01.xlsx&amp;sheet=A0&amp;row=157&amp;col=9&amp;number=&amp;sourceID=11","")</f>
        <v/>
      </c>
      <c r="J157" s="4" t="str">
        <f>HYPERLINK("http://141.218.60.56/~jnz1568/getInfo.php?workbook=05_01.xlsx&amp;sheet=A0&amp;row=157&amp;col=10&amp;number=0.029301&amp;sourceID=11","0.029301")</f>
        <v>0.029301</v>
      </c>
      <c r="K157" s="4" t="str">
        <f>HYPERLINK("http://141.218.60.56/~jnz1568/getInfo.php?workbook=05_01.xlsx&amp;sheet=A0&amp;row=157&amp;col=11&amp;number=&amp;sourceID=11","")</f>
        <v/>
      </c>
      <c r="L157" s="4" t="str">
        <f>HYPERLINK("http://141.218.60.56/~jnz1568/getInfo.php?workbook=05_01.xlsx&amp;sheet=A0&amp;row=157&amp;col=12&amp;number=&amp;sourceID=11","")</f>
        <v/>
      </c>
      <c r="M157" s="4" t="str">
        <f>HYPERLINK("http://141.218.60.56/~jnz1568/getInfo.php?workbook=05_01.xlsx&amp;sheet=A0&amp;row=157&amp;col=13&amp;number=&amp;sourceID=11","")</f>
        <v/>
      </c>
      <c r="N157" s="4" t="str">
        <f>HYPERLINK("http://141.218.60.56/~jnz1568/getInfo.php?workbook=05_01.xlsx&amp;sheet=A0&amp;row=157&amp;col=14&amp;number=353500000&amp;sourceID=12","353500000")</f>
        <v>353500000</v>
      </c>
      <c r="O157" s="4" t="str">
        <f>HYPERLINK("http://141.218.60.56/~jnz1568/getInfo.php?workbook=05_01.xlsx&amp;sheet=A0&amp;row=157&amp;col=15&amp;number=353500000&amp;sourceID=12","353500000")</f>
        <v>353500000</v>
      </c>
      <c r="P157" s="4" t="str">
        <f>HYPERLINK("http://141.218.60.56/~jnz1568/getInfo.php?workbook=05_01.xlsx&amp;sheet=A0&amp;row=157&amp;col=16&amp;number=&amp;sourceID=12","")</f>
        <v/>
      </c>
      <c r="Q157" s="4" t="str">
        <f>HYPERLINK("http://141.218.60.56/~jnz1568/getInfo.php?workbook=05_01.xlsx&amp;sheet=A0&amp;row=157&amp;col=17&amp;number=0.029303&amp;sourceID=12","0.029303")</f>
        <v>0.029303</v>
      </c>
      <c r="R157" s="4" t="str">
        <f>HYPERLINK("http://141.218.60.56/~jnz1568/getInfo.php?workbook=05_01.xlsx&amp;sheet=A0&amp;row=157&amp;col=18&amp;number=&amp;sourceID=12","")</f>
        <v/>
      </c>
      <c r="S157" s="4" t="str">
        <f>HYPERLINK("http://141.218.60.56/~jnz1568/getInfo.php?workbook=05_01.xlsx&amp;sheet=A0&amp;row=157&amp;col=19&amp;number=&amp;sourceID=12","")</f>
        <v/>
      </c>
      <c r="T157" s="4" t="str">
        <f>HYPERLINK("http://141.218.60.56/~jnz1568/getInfo.php?workbook=05_01.xlsx&amp;sheet=A0&amp;row=157&amp;col=20&amp;number=&amp;sourceID=12","")</f>
        <v/>
      </c>
    </row>
    <row r="158" spans="1:20">
      <c r="A158" s="3">
        <v>5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HYPERLINK("http://141.218.60.56/~jnz1568/getInfo.php?workbook=05_01.xlsx&amp;sheet=A0&amp;row=158&amp;col=6&amp;number=&amp;sourceID=18","")</f>
        <v/>
      </c>
      <c r="G158" s="4" t="str">
        <f>HYPERLINK("http://141.218.60.56/~jnz1568/getInfo.php?workbook=05_01.xlsx&amp;sheet=A0&amp;row=158&amp;col=7&amp;number==&amp;sourceID=11","=")</f>
        <v>=</v>
      </c>
      <c r="H158" s="4" t="str">
        <f>HYPERLINK("http://141.218.60.56/~jnz1568/getInfo.php?workbook=05_01.xlsx&amp;sheet=A0&amp;row=158&amp;col=8&amp;number=&amp;sourceID=11","")</f>
        <v/>
      </c>
      <c r="I158" s="4" t="str">
        <f>HYPERLINK("http://141.218.60.56/~jnz1568/getInfo.php?workbook=05_01.xlsx&amp;sheet=A0&amp;row=158&amp;col=9&amp;number=2687.8&amp;sourceID=11","2687.8")</f>
        <v>2687.8</v>
      </c>
      <c r="J158" s="4" t="str">
        <f>HYPERLINK("http://141.218.60.56/~jnz1568/getInfo.php?workbook=05_01.xlsx&amp;sheet=A0&amp;row=158&amp;col=10&amp;number=&amp;sourceID=11","")</f>
        <v/>
      </c>
      <c r="K158" s="4" t="str">
        <f>HYPERLINK("http://141.218.60.56/~jnz1568/getInfo.php?workbook=05_01.xlsx&amp;sheet=A0&amp;row=158&amp;col=11&amp;number=0.0003967&amp;sourceID=11","0.0003967")</f>
        <v>0.0003967</v>
      </c>
      <c r="L158" s="4" t="str">
        <f>HYPERLINK("http://141.218.60.56/~jnz1568/getInfo.php?workbook=05_01.xlsx&amp;sheet=A0&amp;row=158&amp;col=12&amp;number=&amp;sourceID=11","")</f>
        <v/>
      </c>
      <c r="M158" s="4" t="str">
        <f>HYPERLINK("http://141.218.60.56/~jnz1568/getInfo.php?workbook=05_01.xlsx&amp;sheet=A0&amp;row=158&amp;col=13&amp;number=7.6472e-08&amp;sourceID=11","7.6472e-08")</f>
        <v>7.6472e-08</v>
      </c>
      <c r="N158" s="4" t="str">
        <f>HYPERLINK("http://141.218.60.56/~jnz1568/getInfo.php?workbook=05_01.xlsx&amp;sheet=A0&amp;row=158&amp;col=14&amp;number=2687.9&amp;sourceID=12","2687.9")</f>
        <v>2687.9</v>
      </c>
      <c r="O158" s="4" t="str">
        <f>HYPERLINK("http://141.218.60.56/~jnz1568/getInfo.php?workbook=05_01.xlsx&amp;sheet=A0&amp;row=158&amp;col=15&amp;number=&amp;sourceID=12","")</f>
        <v/>
      </c>
      <c r="P158" s="4" t="str">
        <f>HYPERLINK("http://141.218.60.56/~jnz1568/getInfo.php?workbook=05_01.xlsx&amp;sheet=A0&amp;row=158&amp;col=16&amp;number=2687.9&amp;sourceID=12","2687.9")</f>
        <v>2687.9</v>
      </c>
      <c r="Q158" s="4" t="str">
        <f>HYPERLINK("http://141.218.60.56/~jnz1568/getInfo.php?workbook=05_01.xlsx&amp;sheet=A0&amp;row=158&amp;col=17&amp;number=&amp;sourceID=12","")</f>
        <v/>
      </c>
      <c r="R158" s="4" t="str">
        <f>HYPERLINK("http://141.218.60.56/~jnz1568/getInfo.php?workbook=05_01.xlsx&amp;sheet=A0&amp;row=158&amp;col=18&amp;number=0.00039674&amp;sourceID=12","0.00039674")</f>
        <v>0.00039674</v>
      </c>
      <c r="S158" s="4" t="str">
        <f>HYPERLINK("http://141.218.60.56/~jnz1568/getInfo.php?workbook=05_01.xlsx&amp;sheet=A0&amp;row=158&amp;col=19&amp;number=&amp;sourceID=12","")</f>
        <v/>
      </c>
      <c r="T158" s="4" t="str">
        <f>HYPERLINK("http://141.218.60.56/~jnz1568/getInfo.php?workbook=05_01.xlsx&amp;sheet=A0&amp;row=158&amp;col=20&amp;number=7.6475e-08&amp;sourceID=12","7.6475e-08")</f>
        <v>7.6475e-08</v>
      </c>
    </row>
    <row r="159" spans="1:20">
      <c r="A159" s="3">
        <v>5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HYPERLINK("http://141.218.60.56/~jnz1568/getInfo.php?workbook=05_01.xlsx&amp;sheet=A0&amp;row=159&amp;col=6&amp;number=&amp;sourceID=18","")</f>
        <v/>
      </c>
      <c r="G159" s="4" t="str">
        <f>HYPERLINK("http://141.218.60.56/~jnz1568/getInfo.php?workbook=05_01.xlsx&amp;sheet=A0&amp;row=159&amp;col=7&amp;number==&amp;sourceID=11","=")</f>
        <v>=</v>
      </c>
      <c r="H159" s="4" t="str">
        <f>HYPERLINK("http://141.218.60.56/~jnz1568/getInfo.php?workbook=05_01.xlsx&amp;sheet=A0&amp;row=159&amp;col=8&amp;number=773950000&amp;sourceID=11","773950000")</f>
        <v>773950000</v>
      </c>
      <c r="I159" s="4" t="str">
        <f>HYPERLINK("http://141.218.60.56/~jnz1568/getInfo.php?workbook=05_01.xlsx&amp;sheet=A0&amp;row=159&amp;col=9&amp;number=&amp;sourceID=11","")</f>
        <v/>
      </c>
      <c r="J159" s="4" t="str">
        <f>HYPERLINK("http://141.218.60.56/~jnz1568/getInfo.php?workbook=05_01.xlsx&amp;sheet=A0&amp;row=159&amp;col=10&amp;number=&amp;sourceID=11","")</f>
        <v/>
      </c>
      <c r="K159" s="4" t="str">
        <f>HYPERLINK("http://141.218.60.56/~jnz1568/getInfo.php?workbook=05_01.xlsx&amp;sheet=A0&amp;row=159&amp;col=11&amp;number=&amp;sourceID=11","")</f>
        <v/>
      </c>
      <c r="L159" s="4" t="str">
        <f>HYPERLINK("http://141.218.60.56/~jnz1568/getInfo.php?workbook=05_01.xlsx&amp;sheet=A0&amp;row=159&amp;col=12&amp;number=0.0013035&amp;sourceID=11","0.0013035")</f>
        <v>0.0013035</v>
      </c>
      <c r="M159" s="4" t="str">
        <f>HYPERLINK("http://141.218.60.56/~jnz1568/getInfo.php?workbook=05_01.xlsx&amp;sheet=A0&amp;row=159&amp;col=13&amp;number=&amp;sourceID=11","")</f>
        <v/>
      </c>
      <c r="N159" s="4" t="str">
        <f>HYPERLINK("http://141.218.60.56/~jnz1568/getInfo.php?workbook=05_01.xlsx&amp;sheet=A0&amp;row=159&amp;col=14&amp;number=773990000&amp;sourceID=12","773990000")</f>
        <v>773990000</v>
      </c>
      <c r="O159" s="4" t="str">
        <f>HYPERLINK("http://141.218.60.56/~jnz1568/getInfo.php?workbook=05_01.xlsx&amp;sheet=A0&amp;row=159&amp;col=15&amp;number=773990000&amp;sourceID=12","773990000")</f>
        <v>773990000</v>
      </c>
      <c r="P159" s="4" t="str">
        <f>HYPERLINK("http://141.218.60.56/~jnz1568/getInfo.php?workbook=05_01.xlsx&amp;sheet=A0&amp;row=159&amp;col=16&amp;number=&amp;sourceID=12","")</f>
        <v/>
      </c>
      <c r="Q159" s="4" t="str">
        <f>HYPERLINK("http://141.218.60.56/~jnz1568/getInfo.php?workbook=05_01.xlsx&amp;sheet=A0&amp;row=159&amp;col=17&amp;number=&amp;sourceID=12","")</f>
        <v/>
      </c>
      <c r="R159" s="4" t="str">
        <f>HYPERLINK("http://141.218.60.56/~jnz1568/getInfo.php?workbook=05_01.xlsx&amp;sheet=A0&amp;row=159&amp;col=18&amp;number=&amp;sourceID=12","")</f>
        <v/>
      </c>
      <c r="S159" s="4" t="str">
        <f>HYPERLINK("http://141.218.60.56/~jnz1568/getInfo.php?workbook=05_01.xlsx&amp;sheet=A0&amp;row=159&amp;col=19&amp;number=0.0013036&amp;sourceID=12","0.0013036")</f>
        <v>0.0013036</v>
      </c>
      <c r="T159" s="4" t="str">
        <f>HYPERLINK("http://141.218.60.56/~jnz1568/getInfo.php?workbook=05_01.xlsx&amp;sheet=A0&amp;row=159&amp;col=20&amp;number=&amp;sourceID=12","")</f>
        <v/>
      </c>
    </row>
    <row r="160" spans="1:20">
      <c r="A160" s="3">
        <v>5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HYPERLINK("http://141.218.60.56/~jnz1568/getInfo.php?workbook=05_01.xlsx&amp;sheet=A0&amp;row=160&amp;col=6&amp;number=&amp;sourceID=18","")</f>
        <v/>
      </c>
      <c r="G160" s="4" t="str">
        <f>HYPERLINK("http://141.218.60.56/~jnz1568/getInfo.php?workbook=05_01.xlsx&amp;sheet=A0&amp;row=160&amp;col=7&amp;number==&amp;sourceID=11","=")</f>
        <v>=</v>
      </c>
      <c r="H160" s="4" t="str">
        <f>HYPERLINK("http://141.218.60.56/~jnz1568/getInfo.php?workbook=05_01.xlsx&amp;sheet=A0&amp;row=160&amp;col=8&amp;number=&amp;sourceID=11","")</f>
        <v/>
      </c>
      <c r="I160" s="4" t="str">
        <f>HYPERLINK("http://141.218.60.56/~jnz1568/getInfo.php?workbook=05_01.xlsx&amp;sheet=A0&amp;row=160&amp;col=9&amp;number=8438.1&amp;sourceID=11","8438.1")</f>
        <v>8438.1</v>
      </c>
      <c r="J160" s="4" t="str">
        <f>HYPERLINK("http://141.218.60.56/~jnz1568/getInfo.php?workbook=05_01.xlsx&amp;sheet=A0&amp;row=160&amp;col=10&amp;number=&amp;sourceID=11","")</f>
        <v/>
      </c>
      <c r="K160" s="4" t="str">
        <f>HYPERLINK("http://141.218.60.56/~jnz1568/getInfo.php?workbook=05_01.xlsx&amp;sheet=A0&amp;row=160&amp;col=11&amp;number=9.1864e-08&amp;sourceID=11","9.1864e-08")</f>
        <v>9.1864e-08</v>
      </c>
      <c r="L160" s="4" t="str">
        <f>HYPERLINK("http://141.218.60.56/~jnz1568/getInfo.php?workbook=05_01.xlsx&amp;sheet=A0&amp;row=160&amp;col=12&amp;number=&amp;sourceID=11","")</f>
        <v/>
      </c>
      <c r="M160" s="4" t="str">
        <f>HYPERLINK("http://141.218.60.56/~jnz1568/getInfo.php?workbook=05_01.xlsx&amp;sheet=A0&amp;row=160&amp;col=13&amp;number=&amp;sourceID=11","")</f>
        <v/>
      </c>
      <c r="N160" s="4" t="str">
        <f>HYPERLINK("http://141.218.60.56/~jnz1568/getInfo.php?workbook=05_01.xlsx&amp;sheet=A0&amp;row=160&amp;col=14&amp;number=8438.6&amp;sourceID=12","8438.6")</f>
        <v>8438.6</v>
      </c>
      <c r="O160" s="4" t="str">
        <f>HYPERLINK("http://141.218.60.56/~jnz1568/getInfo.php?workbook=05_01.xlsx&amp;sheet=A0&amp;row=160&amp;col=15&amp;number=&amp;sourceID=12","")</f>
        <v/>
      </c>
      <c r="P160" s="4" t="str">
        <f>HYPERLINK("http://141.218.60.56/~jnz1568/getInfo.php?workbook=05_01.xlsx&amp;sheet=A0&amp;row=160&amp;col=16&amp;number=8438.6&amp;sourceID=12","8438.6")</f>
        <v>8438.6</v>
      </c>
      <c r="Q160" s="4" t="str">
        <f>HYPERLINK("http://141.218.60.56/~jnz1568/getInfo.php?workbook=05_01.xlsx&amp;sheet=A0&amp;row=160&amp;col=17&amp;number=&amp;sourceID=12","")</f>
        <v/>
      </c>
      <c r="R160" s="4" t="str">
        <f>HYPERLINK("http://141.218.60.56/~jnz1568/getInfo.php?workbook=05_01.xlsx&amp;sheet=A0&amp;row=160&amp;col=18&amp;number=9.1869e-08&amp;sourceID=12","9.1869e-08")</f>
        <v>9.1869e-08</v>
      </c>
      <c r="S160" s="4" t="str">
        <f>HYPERLINK("http://141.218.60.56/~jnz1568/getInfo.php?workbook=05_01.xlsx&amp;sheet=A0&amp;row=160&amp;col=19&amp;number=&amp;sourceID=12","")</f>
        <v/>
      </c>
      <c r="T160" s="4" t="str">
        <f>HYPERLINK("http://141.218.60.56/~jnz1568/getInfo.php?workbook=05_01.xlsx&amp;sheet=A0&amp;row=160&amp;col=20&amp;number=&amp;sourceID=12","")</f>
        <v/>
      </c>
    </row>
    <row r="161" spans="1:20">
      <c r="A161" s="3">
        <v>5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HYPERLINK("http://141.218.60.56/~jnz1568/getInfo.php?workbook=05_01.xlsx&amp;sheet=A0&amp;row=161&amp;col=6&amp;number=&amp;sourceID=18","")</f>
        <v/>
      </c>
      <c r="G161" s="4" t="str">
        <f>HYPERLINK("http://141.218.60.56/~jnz1568/getInfo.php?workbook=05_01.xlsx&amp;sheet=A0&amp;row=161&amp;col=7&amp;number==&amp;sourceID=11","=")</f>
        <v>=</v>
      </c>
      <c r="H161" s="4" t="str">
        <f>HYPERLINK("http://141.218.60.56/~jnz1568/getInfo.php?workbook=05_01.xlsx&amp;sheet=A0&amp;row=161&amp;col=8&amp;number=&amp;sourceID=11","")</f>
        <v/>
      </c>
      <c r="I161" s="4" t="str">
        <f>HYPERLINK("http://141.218.60.56/~jnz1568/getInfo.php?workbook=05_01.xlsx&amp;sheet=A0&amp;row=161&amp;col=9&amp;number=2907.2&amp;sourceID=11","2907.2")</f>
        <v>2907.2</v>
      </c>
      <c r="J161" s="4" t="str">
        <f>HYPERLINK("http://141.218.60.56/~jnz1568/getInfo.php?workbook=05_01.xlsx&amp;sheet=A0&amp;row=161&amp;col=10&amp;number=&amp;sourceID=11","")</f>
        <v/>
      </c>
      <c r="K161" s="4" t="str">
        <f>HYPERLINK("http://141.218.60.56/~jnz1568/getInfo.php?workbook=05_01.xlsx&amp;sheet=A0&amp;row=161&amp;col=11&amp;number=8.5238e-06&amp;sourceID=11","8.5238e-06")</f>
        <v>8.5238e-06</v>
      </c>
      <c r="L161" s="4" t="str">
        <f>HYPERLINK("http://141.218.60.56/~jnz1568/getInfo.php?workbook=05_01.xlsx&amp;sheet=A0&amp;row=161&amp;col=12&amp;number=&amp;sourceID=11","")</f>
        <v/>
      </c>
      <c r="M161" s="4" t="str">
        <f>HYPERLINK("http://141.218.60.56/~jnz1568/getInfo.php?workbook=05_01.xlsx&amp;sheet=A0&amp;row=161&amp;col=13&amp;number=5.3245e-09&amp;sourceID=11","5.3245e-09")</f>
        <v>5.3245e-09</v>
      </c>
      <c r="N161" s="4" t="str">
        <f>HYPERLINK("http://141.218.60.56/~jnz1568/getInfo.php?workbook=05_01.xlsx&amp;sheet=A0&amp;row=161&amp;col=14&amp;number=2907.4&amp;sourceID=12","2907.4")</f>
        <v>2907.4</v>
      </c>
      <c r="O161" s="4" t="str">
        <f>HYPERLINK("http://141.218.60.56/~jnz1568/getInfo.php?workbook=05_01.xlsx&amp;sheet=A0&amp;row=161&amp;col=15&amp;number=&amp;sourceID=12","")</f>
        <v/>
      </c>
      <c r="P161" s="4" t="str">
        <f>HYPERLINK("http://141.218.60.56/~jnz1568/getInfo.php?workbook=05_01.xlsx&amp;sheet=A0&amp;row=161&amp;col=16&amp;number=2907.4&amp;sourceID=12","2907.4")</f>
        <v>2907.4</v>
      </c>
      <c r="Q161" s="4" t="str">
        <f>HYPERLINK("http://141.218.60.56/~jnz1568/getInfo.php?workbook=05_01.xlsx&amp;sheet=A0&amp;row=161&amp;col=17&amp;number=&amp;sourceID=12","")</f>
        <v/>
      </c>
      <c r="R161" s="4" t="str">
        <f>HYPERLINK("http://141.218.60.56/~jnz1568/getInfo.php?workbook=05_01.xlsx&amp;sheet=A0&amp;row=161&amp;col=18&amp;number=8.5242e-06&amp;sourceID=12","8.5242e-06")</f>
        <v>8.5242e-06</v>
      </c>
      <c r="S161" s="4" t="str">
        <f>HYPERLINK("http://141.218.60.56/~jnz1568/getInfo.php?workbook=05_01.xlsx&amp;sheet=A0&amp;row=161&amp;col=19&amp;number=&amp;sourceID=12","")</f>
        <v/>
      </c>
      <c r="T161" s="4" t="str">
        <f>HYPERLINK("http://141.218.60.56/~jnz1568/getInfo.php?workbook=05_01.xlsx&amp;sheet=A0&amp;row=161&amp;col=20&amp;number=5.3248e-09&amp;sourceID=12","5.3248e-09")</f>
        <v>5.3248e-09</v>
      </c>
    </row>
    <row r="162" spans="1:20">
      <c r="A162" s="3">
        <v>5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HYPERLINK("http://141.218.60.56/~jnz1568/getInfo.php?workbook=05_01.xlsx&amp;sheet=A0&amp;row=162&amp;col=6&amp;number=&amp;sourceID=18","")</f>
        <v/>
      </c>
      <c r="G162" s="4" t="str">
        <f>HYPERLINK("http://141.218.60.56/~jnz1568/getInfo.php?workbook=05_01.xlsx&amp;sheet=A0&amp;row=162&amp;col=7&amp;number==&amp;sourceID=11","=")</f>
        <v>=</v>
      </c>
      <c r="H162" s="4" t="str">
        <f>HYPERLINK("http://141.218.60.56/~jnz1568/getInfo.php?workbook=05_01.xlsx&amp;sheet=A0&amp;row=162&amp;col=8&amp;number=154880000&amp;sourceID=11","154880000")</f>
        <v>154880000</v>
      </c>
      <c r="I162" s="4" t="str">
        <f>HYPERLINK("http://141.218.60.56/~jnz1568/getInfo.php?workbook=05_01.xlsx&amp;sheet=A0&amp;row=162&amp;col=9&amp;number=&amp;sourceID=11","")</f>
        <v/>
      </c>
      <c r="J162" s="4" t="str">
        <f>HYPERLINK("http://141.218.60.56/~jnz1568/getInfo.php?workbook=05_01.xlsx&amp;sheet=A0&amp;row=162&amp;col=10&amp;number=0.051125&amp;sourceID=11","0.051125")</f>
        <v>0.051125</v>
      </c>
      <c r="K162" s="4" t="str">
        <f>HYPERLINK("http://141.218.60.56/~jnz1568/getInfo.php?workbook=05_01.xlsx&amp;sheet=A0&amp;row=162&amp;col=11&amp;number=&amp;sourceID=11","")</f>
        <v/>
      </c>
      <c r="L162" s="4" t="str">
        <f>HYPERLINK("http://141.218.60.56/~jnz1568/getInfo.php?workbook=05_01.xlsx&amp;sheet=A0&amp;row=162&amp;col=12&amp;number=&amp;sourceID=11","")</f>
        <v/>
      </c>
      <c r="M162" s="4" t="str">
        <f>HYPERLINK("http://141.218.60.56/~jnz1568/getInfo.php?workbook=05_01.xlsx&amp;sheet=A0&amp;row=162&amp;col=13&amp;number=&amp;sourceID=11","")</f>
        <v/>
      </c>
      <c r="N162" s="4" t="str">
        <f>HYPERLINK("http://141.218.60.56/~jnz1568/getInfo.php?workbook=05_01.xlsx&amp;sheet=A0&amp;row=162&amp;col=14&amp;number=154890000&amp;sourceID=12","154890000")</f>
        <v>154890000</v>
      </c>
      <c r="O162" s="4" t="str">
        <f>HYPERLINK("http://141.218.60.56/~jnz1568/getInfo.php?workbook=05_01.xlsx&amp;sheet=A0&amp;row=162&amp;col=15&amp;number=154890000&amp;sourceID=12","154890000")</f>
        <v>154890000</v>
      </c>
      <c r="P162" s="4" t="str">
        <f>HYPERLINK("http://141.218.60.56/~jnz1568/getInfo.php?workbook=05_01.xlsx&amp;sheet=A0&amp;row=162&amp;col=16&amp;number=&amp;sourceID=12","")</f>
        <v/>
      </c>
      <c r="Q162" s="4" t="str">
        <f>HYPERLINK("http://141.218.60.56/~jnz1568/getInfo.php?workbook=05_01.xlsx&amp;sheet=A0&amp;row=162&amp;col=17&amp;number=0.051128&amp;sourceID=12","0.051128")</f>
        <v>0.051128</v>
      </c>
      <c r="R162" s="4" t="str">
        <f>HYPERLINK("http://141.218.60.56/~jnz1568/getInfo.php?workbook=05_01.xlsx&amp;sheet=A0&amp;row=162&amp;col=18&amp;number=&amp;sourceID=12","")</f>
        <v/>
      </c>
      <c r="S162" s="4" t="str">
        <f>HYPERLINK("http://141.218.60.56/~jnz1568/getInfo.php?workbook=05_01.xlsx&amp;sheet=A0&amp;row=162&amp;col=19&amp;number=&amp;sourceID=12","")</f>
        <v/>
      </c>
      <c r="T162" s="4" t="str">
        <f>HYPERLINK("http://141.218.60.56/~jnz1568/getInfo.php?workbook=05_01.xlsx&amp;sheet=A0&amp;row=162&amp;col=20&amp;number=&amp;sourceID=12","")</f>
        <v/>
      </c>
    </row>
    <row r="163" spans="1:20">
      <c r="A163" s="3">
        <v>5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HYPERLINK("http://141.218.60.56/~jnz1568/getInfo.php?workbook=05_01.xlsx&amp;sheet=A0&amp;row=163&amp;col=6&amp;number=&amp;sourceID=18","")</f>
        <v/>
      </c>
      <c r="G163" s="4" t="str">
        <f>HYPERLINK("http://141.218.60.56/~jnz1568/getInfo.php?workbook=05_01.xlsx&amp;sheet=A0&amp;row=163&amp;col=7&amp;number==&amp;sourceID=11","=")</f>
        <v>=</v>
      </c>
      <c r="H163" s="4" t="str">
        <f>HYPERLINK("http://141.218.60.56/~jnz1568/getInfo.php?workbook=05_01.xlsx&amp;sheet=A0&amp;row=163&amp;col=8&amp;number=31611000&amp;sourceID=11","31611000")</f>
        <v>31611000</v>
      </c>
      <c r="I163" s="4" t="str">
        <f>HYPERLINK("http://141.218.60.56/~jnz1568/getInfo.php?workbook=05_01.xlsx&amp;sheet=A0&amp;row=163&amp;col=9&amp;number=&amp;sourceID=11","")</f>
        <v/>
      </c>
      <c r="J163" s="4" t="str">
        <f>HYPERLINK("http://141.218.60.56/~jnz1568/getInfo.php?workbook=05_01.xlsx&amp;sheet=A0&amp;row=163&amp;col=10&amp;number=0.0046024&amp;sourceID=11","0.0046024")</f>
        <v>0.0046024</v>
      </c>
      <c r="K163" s="4" t="str">
        <f>HYPERLINK("http://141.218.60.56/~jnz1568/getInfo.php?workbook=05_01.xlsx&amp;sheet=A0&amp;row=163&amp;col=11&amp;number=&amp;sourceID=11","")</f>
        <v/>
      </c>
      <c r="L163" s="4" t="str">
        <f>HYPERLINK("http://141.218.60.56/~jnz1568/getInfo.php?workbook=05_01.xlsx&amp;sheet=A0&amp;row=163&amp;col=12&amp;number=0.00031655&amp;sourceID=11","0.00031655")</f>
        <v>0.00031655</v>
      </c>
      <c r="M163" s="4" t="str">
        <f>HYPERLINK("http://141.218.60.56/~jnz1568/getInfo.php?workbook=05_01.xlsx&amp;sheet=A0&amp;row=163&amp;col=13&amp;number=&amp;sourceID=11","")</f>
        <v/>
      </c>
      <c r="N163" s="4" t="str">
        <f>HYPERLINK("http://141.218.60.56/~jnz1568/getInfo.php?workbook=05_01.xlsx&amp;sheet=A0&amp;row=163&amp;col=14&amp;number=31612000&amp;sourceID=12","31612000")</f>
        <v>31612000</v>
      </c>
      <c r="O163" s="4" t="str">
        <f>HYPERLINK("http://141.218.60.56/~jnz1568/getInfo.php?workbook=05_01.xlsx&amp;sheet=A0&amp;row=163&amp;col=15&amp;number=31612000&amp;sourceID=12","31612000")</f>
        <v>31612000</v>
      </c>
      <c r="P163" s="4" t="str">
        <f>HYPERLINK("http://141.218.60.56/~jnz1568/getInfo.php?workbook=05_01.xlsx&amp;sheet=A0&amp;row=163&amp;col=16&amp;number=&amp;sourceID=12","")</f>
        <v/>
      </c>
      <c r="Q163" s="4" t="str">
        <f>HYPERLINK("http://141.218.60.56/~jnz1568/getInfo.php?workbook=05_01.xlsx&amp;sheet=A0&amp;row=163&amp;col=17&amp;number=0.0046026&amp;sourceID=12","0.0046026")</f>
        <v>0.0046026</v>
      </c>
      <c r="R163" s="4" t="str">
        <f>HYPERLINK("http://141.218.60.56/~jnz1568/getInfo.php?workbook=05_01.xlsx&amp;sheet=A0&amp;row=163&amp;col=18&amp;number=&amp;sourceID=12","")</f>
        <v/>
      </c>
      <c r="S163" s="4" t="str">
        <f>HYPERLINK("http://141.218.60.56/~jnz1568/getInfo.php?workbook=05_01.xlsx&amp;sheet=A0&amp;row=163&amp;col=19&amp;number=0.00031657&amp;sourceID=12","0.00031657")</f>
        <v>0.00031657</v>
      </c>
      <c r="T163" s="4" t="str">
        <f>HYPERLINK("http://141.218.60.56/~jnz1568/getInfo.php?workbook=05_01.xlsx&amp;sheet=A0&amp;row=163&amp;col=20&amp;number=&amp;sourceID=12","")</f>
        <v/>
      </c>
    </row>
    <row r="164" spans="1:20">
      <c r="A164" s="3">
        <v>5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HYPERLINK("http://141.218.60.56/~jnz1568/getInfo.php?workbook=05_01.xlsx&amp;sheet=A0&amp;row=164&amp;col=6&amp;number=&amp;sourceID=18","")</f>
        <v/>
      </c>
      <c r="G164" s="4" t="str">
        <f>HYPERLINK("http://141.218.60.56/~jnz1568/getInfo.php?workbook=05_01.xlsx&amp;sheet=A0&amp;row=164&amp;col=7&amp;number==&amp;sourceID=11","=")</f>
        <v>=</v>
      </c>
      <c r="H164" s="4" t="str">
        <f>HYPERLINK("http://141.218.60.56/~jnz1568/getInfo.php?workbook=05_01.xlsx&amp;sheet=A0&amp;row=164&amp;col=8&amp;number=&amp;sourceID=11","")</f>
        <v/>
      </c>
      <c r="I164" s="4" t="str">
        <f>HYPERLINK("http://141.218.60.56/~jnz1568/getInfo.php?workbook=05_01.xlsx&amp;sheet=A0&amp;row=164&amp;col=9&amp;number=1245.8&amp;sourceID=11","1245.8")</f>
        <v>1245.8</v>
      </c>
      <c r="J164" s="4" t="str">
        <f>HYPERLINK("http://141.218.60.56/~jnz1568/getInfo.php?workbook=05_01.xlsx&amp;sheet=A0&amp;row=164&amp;col=10&amp;number=&amp;sourceID=11","")</f>
        <v/>
      </c>
      <c r="K164" s="4" t="str">
        <f>HYPERLINK("http://141.218.60.56/~jnz1568/getInfo.php?workbook=05_01.xlsx&amp;sheet=A0&amp;row=164&amp;col=11&amp;number=5.5024e-05&amp;sourceID=11","5.5024e-05")</f>
        <v>5.5024e-05</v>
      </c>
      <c r="L164" s="4" t="str">
        <f>HYPERLINK("http://141.218.60.56/~jnz1568/getInfo.php?workbook=05_01.xlsx&amp;sheet=A0&amp;row=164&amp;col=12&amp;number=&amp;sourceID=11","")</f>
        <v/>
      </c>
      <c r="M164" s="4" t="str">
        <f>HYPERLINK("http://141.218.60.56/~jnz1568/getInfo.php?workbook=05_01.xlsx&amp;sheet=A0&amp;row=164&amp;col=13&amp;number=3.5483e-09&amp;sourceID=11","3.5483e-09")</f>
        <v>3.5483e-09</v>
      </c>
      <c r="N164" s="4" t="str">
        <f>HYPERLINK("http://141.218.60.56/~jnz1568/getInfo.php?workbook=05_01.xlsx&amp;sheet=A0&amp;row=164&amp;col=14&amp;number=1245.8&amp;sourceID=12","1245.8")</f>
        <v>1245.8</v>
      </c>
      <c r="O164" s="4" t="str">
        <f>HYPERLINK("http://141.218.60.56/~jnz1568/getInfo.php?workbook=05_01.xlsx&amp;sheet=A0&amp;row=164&amp;col=15&amp;number=&amp;sourceID=12","")</f>
        <v/>
      </c>
      <c r="P164" s="4" t="str">
        <f>HYPERLINK("http://141.218.60.56/~jnz1568/getInfo.php?workbook=05_01.xlsx&amp;sheet=A0&amp;row=164&amp;col=16&amp;number=1245.8&amp;sourceID=12","1245.8")</f>
        <v>1245.8</v>
      </c>
      <c r="Q164" s="4" t="str">
        <f>HYPERLINK("http://141.218.60.56/~jnz1568/getInfo.php?workbook=05_01.xlsx&amp;sheet=A0&amp;row=164&amp;col=17&amp;number=&amp;sourceID=12","")</f>
        <v/>
      </c>
      <c r="R164" s="4" t="str">
        <f>HYPERLINK("http://141.218.60.56/~jnz1568/getInfo.php?workbook=05_01.xlsx&amp;sheet=A0&amp;row=164&amp;col=18&amp;number=5.5033e-05&amp;sourceID=12","5.5033e-05")</f>
        <v>5.5033e-05</v>
      </c>
      <c r="S164" s="4" t="str">
        <f>HYPERLINK("http://141.218.60.56/~jnz1568/getInfo.php?workbook=05_01.xlsx&amp;sheet=A0&amp;row=164&amp;col=19&amp;number=&amp;sourceID=12","")</f>
        <v/>
      </c>
      <c r="T164" s="4" t="str">
        <f>HYPERLINK("http://141.218.60.56/~jnz1568/getInfo.php?workbook=05_01.xlsx&amp;sheet=A0&amp;row=164&amp;col=20&amp;number=3.5485e-09&amp;sourceID=12","3.5485e-09")</f>
        <v>3.5485e-09</v>
      </c>
    </row>
    <row r="165" spans="1:20">
      <c r="A165" s="3">
        <v>5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HYPERLINK("http://141.218.60.56/~jnz1568/getInfo.php?workbook=05_01.xlsx&amp;sheet=A0&amp;row=165&amp;col=6&amp;number=&amp;sourceID=18","")</f>
        <v/>
      </c>
      <c r="G165" s="4" t="str">
        <f>HYPERLINK("http://141.218.60.56/~jnz1568/getInfo.php?workbook=05_01.xlsx&amp;sheet=A0&amp;row=165&amp;col=7&amp;number==&amp;sourceID=11","=")</f>
        <v>=</v>
      </c>
      <c r="H165" s="4" t="str">
        <f>HYPERLINK("http://141.218.60.56/~jnz1568/getInfo.php?workbook=05_01.xlsx&amp;sheet=A0&amp;row=165&amp;col=8&amp;number=&amp;sourceID=11","")</f>
        <v/>
      </c>
      <c r="I165" s="4" t="str">
        <f>HYPERLINK("http://141.218.60.56/~jnz1568/getInfo.php?workbook=05_01.xlsx&amp;sheet=A0&amp;row=165&amp;col=9&amp;number=&amp;sourceID=11","")</f>
        <v/>
      </c>
      <c r="J165" s="4" t="str">
        <f>HYPERLINK("http://141.218.60.56/~jnz1568/getInfo.php?workbook=05_01.xlsx&amp;sheet=A0&amp;row=165&amp;col=10&amp;number=0.0025564&amp;sourceID=11","0.0025564")</f>
        <v>0.0025564</v>
      </c>
      <c r="K165" s="4" t="str">
        <f>HYPERLINK("http://141.218.60.56/~jnz1568/getInfo.php?workbook=05_01.xlsx&amp;sheet=A0&amp;row=165&amp;col=11&amp;number=&amp;sourceID=11","")</f>
        <v/>
      </c>
      <c r="L165" s="4" t="str">
        <f>HYPERLINK("http://141.218.60.56/~jnz1568/getInfo.php?workbook=05_01.xlsx&amp;sheet=A0&amp;row=165&amp;col=12&amp;number=0.00054051&amp;sourceID=11","0.00054051")</f>
        <v>0.00054051</v>
      </c>
      <c r="M165" s="4" t="str">
        <f>HYPERLINK("http://141.218.60.56/~jnz1568/getInfo.php?workbook=05_01.xlsx&amp;sheet=A0&amp;row=165&amp;col=13&amp;number=&amp;sourceID=11","")</f>
        <v/>
      </c>
      <c r="N165" s="4" t="str">
        <f>HYPERLINK("http://141.218.60.56/~jnz1568/getInfo.php?workbook=05_01.xlsx&amp;sheet=A0&amp;row=165&amp;col=14&amp;number=0.003097&amp;sourceID=12","0.003097")</f>
        <v>0.003097</v>
      </c>
      <c r="O165" s="4" t="str">
        <f>HYPERLINK("http://141.218.60.56/~jnz1568/getInfo.php?workbook=05_01.xlsx&amp;sheet=A0&amp;row=165&amp;col=15&amp;number=&amp;sourceID=12","")</f>
        <v/>
      </c>
      <c r="P165" s="4" t="str">
        <f>HYPERLINK("http://141.218.60.56/~jnz1568/getInfo.php?workbook=05_01.xlsx&amp;sheet=A0&amp;row=165&amp;col=16&amp;number=&amp;sourceID=12","")</f>
        <v/>
      </c>
      <c r="Q165" s="4" t="str">
        <f>HYPERLINK("http://141.218.60.56/~jnz1568/getInfo.php?workbook=05_01.xlsx&amp;sheet=A0&amp;row=165&amp;col=17&amp;number=0.0025565&amp;sourceID=12","0.0025565")</f>
        <v>0.0025565</v>
      </c>
      <c r="R165" s="4" t="str">
        <f>HYPERLINK("http://141.218.60.56/~jnz1568/getInfo.php?workbook=05_01.xlsx&amp;sheet=A0&amp;row=165&amp;col=18&amp;number=&amp;sourceID=12","")</f>
        <v/>
      </c>
      <c r="S165" s="4" t="str">
        <f>HYPERLINK("http://141.218.60.56/~jnz1568/getInfo.php?workbook=05_01.xlsx&amp;sheet=A0&amp;row=165&amp;col=19&amp;number=0.00054053&amp;sourceID=12","0.00054053")</f>
        <v>0.00054053</v>
      </c>
      <c r="T165" s="4" t="str">
        <f>HYPERLINK("http://141.218.60.56/~jnz1568/getInfo.php?workbook=05_01.xlsx&amp;sheet=A0&amp;row=165&amp;col=20&amp;number=&amp;sourceID=12","")</f>
        <v/>
      </c>
    </row>
    <row r="166" spans="1:20">
      <c r="A166" s="3">
        <v>5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HYPERLINK("http://141.218.60.56/~jnz1568/getInfo.php?workbook=05_01.xlsx&amp;sheet=A0&amp;row=166&amp;col=6&amp;number=&amp;sourceID=18","")</f>
        <v/>
      </c>
      <c r="G166" s="4" t="str">
        <f>HYPERLINK("http://141.218.60.56/~jnz1568/getInfo.php?workbook=05_01.xlsx&amp;sheet=A0&amp;row=166&amp;col=7&amp;number==&amp;sourceID=11","=")</f>
        <v>=</v>
      </c>
      <c r="H166" s="4" t="str">
        <f>HYPERLINK("http://141.218.60.56/~jnz1568/getInfo.php?workbook=05_01.xlsx&amp;sheet=A0&amp;row=166&amp;col=8&amp;number=0.099721&amp;sourceID=11","0.099721")</f>
        <v>0.099721</v>
      </c>
      <c r="I166" s="4" t="str">
        <f>HYPERLINK("http://141.218.60.56/~jnz1568/getInfo.php?workbook=05_01.xlsx&amp;sheet=A0&amp;row=166&amp;col=9&amp;number=&amp;sourceID=11","")</f>
        <v/>
      </c>
      <c r="J166" s="4" t="str">
        <f>HYPERLINK("http://141.218.60.56/~jnz1568/getInfo.php?workbook=05_01.xlsx&amp;sheet=A0&amp;row=166&amp;col=10&amp;number=&amp;sourceID=11","")</f>
        <v/>
      </c>
      <c r="K166" s="4" t="str">
        <f>HYPERLINK("http://141.218.60.56/~jnz1568/getInfo.php?workbook=05_01.xlsx&amp;sheet=A0&amp;row=166&amp;col=11&amp;number=&amp;sourceID=11","")</f>
        <v/>
      </c>
      <c r="L166" s="4" t="str">
        <f>HYPERLINK("http://141.218.60.56/~jnz1568/getInfo.php?workbook=05_01.xlsx&amp;sheet=A0&amp;row=166&amp;col=12&amp;number=0&amp;sourceID=11","0")</f>
        <v>0</v>
      </c>
      <c r="M166" s="4" t="str">
        <f>HYPERLINK("http://141.218.60.56/~jnz1568/getInfo.php?workbook=05_01.xlsx&amp;sheet=A0&amp;row=166&amp;col=13&amp;number=&amp;sourceID=11","")</f>
        <v/>
      </c>
      <c r="N166" s="4" t="str">
        <f>HYPERLINK("http://141.218.60.56/~jnz1568/getInfo.php?workbook=05_01.xlsx&amp;sheet=A0&amp;row=166&amp;col=14&amp;number=0.099744&amp;sourceID=12","0.099744")</f>
        <v>0.099744</v>
      </c>
      <c r="O166" s="4" t="str">
        <f>HYPERLINK("http://141.218.60.56/~jnz1568/getInfo.php?workbook=05_01.xlsx&amp;sheet=A0&amp;row=166&amp;col=15&amp;number=0.099744&amp;sourceID=12","0.099744")</f>
        <v>0.099744</v>
      </c>
      <c r="P166" s="4" t="str">
        <f>HYPERLINK("http://141.218.60.56/~jnz1568/getInfo.php?workbook=05_01.xlsx&amp;sheet=A0&amp;row=166&amp;col=16&amp;number=&amp;sourceID=12","")</f>
        <v/>
      </c>
      <c r="Q166" s="4" t="str">
        <f>HYPERLINK("http://141.218.60.56/~jnz1568/getInfo.php?workbook=05_01.xlsx&amp;sheet=A0&amp;row=166&amp;col=17&amp;number=&amp;sourceID=12","")</f>
        <v/>
      </c>
      <c r="R166" s="4" t="str">
        <f>HYPERLINK("http://141.218.60.56/~jnz1568/getInfo.php?workbook=05_01.xlsx&amp;sheet=A0&amp;row=166&amp;col=18&amp;number=&amp;sourceID=12","")</f>
        <v/>
      </c>
      <c r="S166" s="4" t="str">
        <f>HYPERLINK("http://141.218.60.56/~jnz1568/getInfo.php?workbook=05_01.xlsx&amp;sheet=A0&amp;row=166&amp;col=19&amp;number=0&amp;sourceID=12","0")</f>
        <v>0</v>
      </c>
      <c r="T166" s="4" t="str">
        <f>HYPERLINK("http://141.218.60.56/~jnz1568/getInfo.php?workbook=05_01.xlsx&amp;sheet=A0&amp;row=166&amp;col=20&amp;number=&amp;sourceID=12","")</f>
        <v/>
      </c>
    </row>
    <row r="167" spans="1:20">
      <c r="A167" s="3">
        <v>5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HYPERLINK("http://141.218.60.56/~jnz1568/getInfo.php?workbook=05_01.xlsx&amp;sheet=A0&amp;row=167&amp;col=6&amp;number=&amp;sourceID=18","")</f>
        <v/>
      </c>
      <c r="G167" s="4" t="str">
        <f>HYPERLINK("http://141.218.60.56/~jnz1568/getInfo.php?workbook=05_01.xlsx&amp;sheet=A0&amp;row=167&amp;col=7&amp;number==&amp;sourceID=11","=")</f>
        <v>=</v>
      </c>
      <c r="H167" s="4" t="str">
        <f>HYPERLINK("http://141.218.60.56/~jnz1568/getInfo.php?workbook=05_01.xlsx&amp;sheet=A0&amp;row=167&amp;col=8&amp;number=&amp;sourceID=11","")</f>
        <v/>
      </c>
      <c r="I167" s="4" t="str">
        <f>HYPERLINK("http://141.218.60.56/~jnz1568/getInfo.php?workbook=05_01.xlsx&amp;sheet=A0&amp;row=167&amp;col=9&amp;number=4.7e-14&amp;sourceID=11","4.7e-14")</f>
        <v>4.7e-14</v>
      </c>
      <c r="J167" s="4" t="str">
        <f>HYPERLINK("http://141.218.60.56/~jnz1568/getInfo.php?workbook=05_01.xlsx&amp;sheet=A0&amp;row=167&amp;col=10&amp;number=&amp;sourceID=11","")</f>
        <v/>
      </c>
      <c r="K167" s="4" t="str">
        <f>HYPERLINK("http://141.218.60.56/~jnz1568/getInfo.php?workbook=05_01.xlsx&amp;sheet=A0&amp;row=167&amp;col=11&amp;number=0&amp;sourceID=11","0")</f>
        <v>0</v>
      </c>
      <c r="L167" s="4" t="str">
        <f>HYPERLINK("http://141.218.60.56/~jnz1568/getInfo.php?workbook=05_01.xlsx&amp;sheet=A0&amp;row=167&amp;col=12&amp;number=&amp;sourceID=11","")</f>
        <v/>
      </c>
      <c r="M167" s="4" t="str">
        <f>HYPERLINK("http://141.218.60.56/~jnz1568/getInfo.php?workbook=05_01.xlsx&amp;sheet=A0&amp;row=167&amp;col=13&amp;number=&amp;sourceID=11","")</f>
        <v/>
      </c>
      <c r="N167" s="4" t="str">
        <f>HYPERLINK("http://141.218.60.56/~jnz1568/getInfo.php?workbook=05_01.xlsx&amp;sheet=A0&amp;row=167&amp;col=14&amp;number=4.7e-14&amp;sourceID=12","4.7e-14")</f>
        <v>4.7e-14</v>
      </c>
      <c r="O167" s="4" t="str">
        <f>HYPERLINK("http://141.218.60.56/~jnz1568/getInfo.php?workbook=05_01.xlsx&amp;sheet=A0&amp;row=167&amp;col=15&amp;number=&amp;sourceID=12","")</f>
        <v/>
      </c>
      <c r="P167" s="4" t="str">
        <f>HYPERLINK("http://141.218.60.56/~jnz1568/getInfo.php?workbook=05_01.xlsx&amp;sheet=A0&amp;row=167&amp;col=16&amp;number=4.7e-14&amp;sourceID=12","4.7e-14")</f>
        <v>4.7e-14</v>
      </c>
      <c r="Q167" s="4" t="str">
        <f>HYPERLINK("http://141.218.60.56/~jnz1568/getInfo.php?workbook=05_01.xlsx&amp;sheet=A0&amp;row=167&amp;col=17&amp;number=&amp;sourceID=12","")</f>
        <v/>
      </c>
      <c r="R167" s="4" t="str">
        <f>HYPERLINK("http://141.218.60.56/~jnz1568/getInfo.php?workbook=05_01.xlsx&amp;sheet=A0&amp;row=167&amp;col=18&amp;number=0&amp;sourceID=12","0")</f>
        <v>0</v>
      </c>
      <c r="S167" s="4" t="str">
        <f>HYPERLINK("http://141.218.60.56/~jnz1568/getInfo.php?workbook=05_01.xlsx&amp;sheet=A0&amp;row=167&amp;col=19&amp;number=&amp;sourceID=12","")</f>
        <v/>
      </c>
      <c r="T167" s="4" t="str">
        <f>HYPERLINK("http://141.218.60.56/~jnz1568/getInfo.php?workbook=05_01.xlsx&amp;sheet=A0&amp;row=167&amp;col=20&amp;number=&amp;sourceID=12","")</f>
        <v/>
      </c>
    </row>
    <row r="168" spans="1:20">
      <c r="A168" s="3">
        <v>5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HYPERLINK("http://141.218.60.56/~jnz1568/getInfo.php?workbook=05_01.xlsx&amp;sheet=A0&amp;row=168&amp;col=6&amp;number=&amp;sourceID=18","")</f>
        <v/>
      </c>
      <c r="G168" s="4" t="str">
        <f>HYPERLINK("http://141.218.60.56/~jnz1568/getInfo.php?workbook=05_01.xlsx&amp;sheet=A0&amp;row=168&amp;col=7&amp;number==&amp;sourceID=11","=")</f>
        <v>=</v>
      </c>
      <c r="H168" s="4" t="str">
        <f>HYPERLINK("http://141.218.60.56/~jnz1568/getInfo.php?workbook=05_01.xlsx&amp;sheet=A0&amp;row=168&amp;col=8&amp;number=21493000000&amp;sourceID=11","21493000000")</f>
        <v>21493000000</v>
      </c>
      <c r="I168" s="4" t="str">
        <f>HYPERLINK("http://141.218.60.56/~jnz1568/getInfo.php?workbook=05_01.xlsx&amp;sheet=A0&amp;row=168&amp;col=9&amp;number=&amp;sourceID=11","")</f>
        <v/>
      </c>
      <c r="J168" s="4" t="str">
        <f>HYPERLINK("http://141.218.60.56/~jnz1568/getInfo.php?workbook=05_01.xlsx&amp;sheet=A0&amp;row=168&amp;col=10&amp;number=&amp;sourceID=11","")</f>
        <v/>
      </c>
      <c r="K168" s="4" t="str">
        <f>HYPERLINK("http://141.218.60.56/~jnz1568/getInfo.php?workbook=05_01.xlsx&amp;sheet=A0&amp;row=168&amp;col=11&amp;number=&amp;sourceID=11","")</f>
        <v/>
      </c>
      <c r="L168" s="4" t="str">
        <f>HYPERLINK("http://141.218.60.56/~jnz1568/getInfo.php?workbook=05_01.xlsx&amp;sheet=A0&amp;row=168&amp;col=12&amp;number=1646&amp;sourceID=11","1646")</f>
        <v>1646</v>
      </c>
      <c r="M168" s="4" t="str">
        <f>HYPERLINK("http://141.218.60.56/~jnz1568/getInfo.php?workbook=05_01.xlsx&amp;sheet=A0&amp;row=168&amp;col=13&amp;number=&amp;sourceID=11","")</f>
        <v/>
      </c>
      <c r="N168" s="4" t="str">
        <f>HYPERLINK("http://141.218.60.56/~jnz1568/getInfo.php?workbook=05_01.xlsx&amp;sheet=A0&amp;row=168&amp;col=14&amp;number=21494000000&amp;sourceID=12","21494000000")</f>
        <v>21494000000</v>
      </c>
      <c r="O168" s="4" t="str">
        <f>HYPERLINK("http://141.218.60.56/~jnz1568/getInfo.php?workbook=05_01.xlsx&amp;sheet=A0&amp;row=168&amp;col=15&amp;number=21494000000&amp;sourceID=12","21494000000")</f>
        <v>21494000000</v>
      </c>
      <c r="P168" s="4" t="str">
        <f>HYPERLINK("http://141.218.60.56/~jnz1568/getInfo.php?workbook=05_01.xlsx&amp;sheet=A0&amp;row=168&amp;col=16&amp;number=&amp;sourceID=12","")</f>
        <v/>
      </c>
      <c r="Q168" s="4" t="str">
        <f>HYPERLINK("http://141.218.60.56/~jnz1568/getInfo.php?workbook=05_01.xlsx&amp;sheet=A0&amp;row=168&amp;col=17&amp;number=&amp;sourceID=12","")</f>
        <v/>
      </c>
      <c r="R168" s="4" t="str">
        <f>HYPERLINK("http://141.218.60.56/~jnz1568/getInfo.php?workbook=05_01.xlsx&amp;sheet=A0&amp;row=168&amp;col=18&amp;number=&amp;sourceID=12","")</f>
        <v/>
      </c>
      <c r="S168" s="4" t="str">
        <f>HYPERLINK("http://141.218.60.56/~jnz1568/getInfo.php?workbook=05_01.xlsx&amp;sheet=A0&amp;row=168&amp;col=19&amp;number=1646.1&amp;sourceID=12","1646.1")</f>
        <v>1646.1</v>
      </c>
      <c r="T168" s="4" t="str">
        <f>HYPERLINK("http://141.218.60.56/~jnz1568/getInfo.php?workbook=05_01.xlsx&amp;sheet=A0&amp;row=168&amp;col=20&amp;number=&amp;sourceID=12","")</f>
        <v/>
      </c>
    </row>
    <row r="169" spans="1:20">
      <c r="A169" s="3">
        <v>5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HYPERLINK("http://141.218.60.56/~jnz1568/getInfo.php?workbook=05_01.xlsx&amp;sheet=A0&amp;row=169&amp;col=6&amp;number=&amp;sourceID=18","")</f>
        <v/>
      </c>
      <c r="G169" s="4" t="str">
        <f>HYPERLINK("http://141.218.60.56/~jnz1568/getInfo.php?workbook=05_01.xlsx&amp;sheet=A0&amp;row=169&amp;col=7&amp;number==&amp;sourceID=11","=")</f>
        <v>=</v>
      </c>
      <c r="H169" s="4" t="str">
        <f>HYPERLINK("http://141.218.60.56/~jnz1568/getInfo.php?workbook=05_01.xlsx&amp;sheet=A0&amp;row=169&amp;col=8&amp;number=&amp;sourceID=11","")</f>
        <v/>
      </c>
      <c r="I169" s="4" t="str">
        <f>HYPERLINK("http://141.218.60.56/~jnz1568/getInfo.php?workbook=05_01.xlsx&amp;sheet=A0&amp;row=169&amp;col=9&amp;number=41231&amp;sourceID=11","41231")</f>
        <v>41231</v>
      </c>
      <c r="J169" s="4" t="str">
        <f>HYPERLINK("http://141.218.60.56/~jnz1568/getInfo.php?workbook=05_01.xlsx&amp;sheet=A0&amp;row=169&amp;col=10&amp;number=&amp;sourceID=11","")</f>
        <v/>
      </c>
      <c r="K169" s="4" t="str">
        <f>HYPERLINK("http://141.218.60.56/~jnz1568/getInfo.php?workbook=05_01.xlsx&amp;sheet=A0&amp;row=169&amp;col=11&amp;number=0.0093598&amp;sourceID=11","0.0093598")</f>
        <v>0.0093598</v>
      </c>
      <c r="L169" s="4" t="str">
        <f>HYPERLINK("http://141.218.60.56/~jnz1568/getInfo.php?workbook=05_01.xlsx&amp;sheet=A0&amp;row=169&amp;col=12&amp;number=&amp;sourceID=11","")</f>
        <v/>
      </c>
      <c r="M169" s="4" t="str">
        <f>HYPERLINK("http://141.218.60.56/~jnz1568/getInfo.php?workbook=05_01.xlsx&amp;sheet=A0&amp;row=169&amp;col=13&amp;number=&amp;sourceID=11","")</f>
        <v/>
      </c>
      <c r="N169" s="4" t="str">
        <f>HYPERLINK("http://141.218.60.56/~jnz1568/getInfo.php?workbook=05_01.xlsx&amp;sheet=A0&amp;row=169&amp;col=14&amp;number=41233&amp;sourceID=12","41233")</f>
        <v>41233</v>
      </c>
      <c r="O169" s="4" t="str">
        <f>HYPERLINK("http://141.218.60.56/~jnz1568/getInfo.php?workbook=05_01.xlsx&amp;sheet=A0&amp;row=169&amp;col=15&amp;number=&amp;sourceID=12","")</f>
        <v/>
      </c>
      <c r="P169" s="4" t="str">
        <f>HYPERLINK("http://141.218.60.56/~jnz1568/getInfo.php?workbook=05_01.xlsx&amp;sheet=A0&amp;row=169&amp;col=16&amp;number=41233&amp;sourceID=12","41233")</f>
        <v>41233</v>
      </c>
      <c r="Q169" s="4" t="str">
        <f>HYPERLINK("http://141.218.60.56/~jnz1568/getInfo.php?workbook=05_01.xlsx&amp;sheet=A0&amp;row=169&amp;col=17&amp;number=&amp;sourceID=12","")</f>
        <v/>
      </c>
      <c r="R169" s="4" t="str">
        <f>HYPERLINK("http://141.218.60.56/~jnz1568/getInfo.php?workbook=05_01.xlsx&amp;sheet=A0&amp;row=169&amp;col=18&amp;number=0.00937&amp;sourceID=12","0.00937")</f>
        <v>0.00937</v>
      </c>
      <c r="S169" s="4" t="str">
        <f>HYPERLINK("http://141.218.60.56/~jnz1568/getInfo.php?workbook=05_01.xlsx&amp;sheet=A0&amp;row=169&amp;col=19&amp;number=&amp;sourceID=12","")</f>
        <v/>
      </c>
      <c r="T169" s="4" t="str">
        <f>HYPERLINK("http://141.218.60.56/~jnz1568/getInfo.php?workbook=05_01.xlsx&amp;sheet=A0&amp;row=169&amp;col=20&amp;number=&amp;sourceID=12","")</f>
        <v/>
      </c>
    </row>
    <row r="170" spans="1:20">
      <c r="A170" s="3">
        <v>5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HYPERLINK("http://141.218.60.56/~jnz1568/getInfo.php?workbook=05_01.xlsx&amp;sheet=A0&amp;row=170&amp;col=6&amp;number=&amp;sourceID=18","")</f>
        <v/>
      </c>
      <c r="G170" s="4" t="str">
        <f>HYPERLINK("http://141.218.60.56/~jnz1568/getInfo.php?workbook=05_01.xlsx&amp;sheet=A0&amp;row=170&amp;col=7&amp;number==&amp;sourceID=11","=")</f>
        <v>=</v>
      </c>
      <c r="H170" s="4" t="str">
        <f>HYPERLINK("http://141.218.60.56/~jnz1568/getInfo.php?workbook=05_01.xlsx&amp;sheet=A0&amp;row=170&amp;col=8&amp;number=3094400000&amp;sourceID=11","3094400000")</f>
        <v>3094400000</v>
      </c>
      <c r="I170" s="4" t="str">
        <f>HYPERLINK("http://141.218.60.56/~jnz1568/getInfo.php?workbook=05_01.xlsx&amp;sheet=A0&amp;row=170&amp;col=9&amp;number=&amp;sourceID=11","")</f>
        <v/>
      </c>
      <c r="J170" s="4" t="str">
        <f>HYPERLINK("http://141.218.60.56/~jnz1568/getInfo.php?workbook=05_01.xlsx&amp;sheet=A0&amp;row=170&amp;col=10&amp;number=&amp;sourceID=11","")</f>
        <v/>
      </c>
      <c r="K170" s="4" t="str">
        <f>HYPERLINK("http://141.218.60.56/~jnz1568/getInfo.php?workbook=05_01.xlsx&amp;sheet=A0&amp;row=170&amp;col=11&amp;number=&amp;sourceID=11","")</f>
        <v/>
      </c>
      <c r="L170" s="4" t="str">
        <f>HYPERLINK("http://141.218.60.56/~jnz1568/getInfo.php?workbook=05_01.xlsx&amp;sheet=A0&amp;row=170&amp;col=12&amp;number=11.347&amp;sourceID=11","11.347")</f>
        <v>11.347</v>
      </c>
      <c r="M170" s="4" t="str">
        <f>HYPERLINK("http://141.218.60.56/~jnz1568/getInfo.php?workbook=05_01.xlsx&amp;sheet=A0&amp;row=170&amp;col=13&amp;number=&amp;sourceID=11","")</f>
        <v/>
      </c>
      <c r="N170" s="4" t="str">
        <f>HYPERLINK("http://141.218.60.56/~jnz1568/getInfo.php?workbook=05_01.xlsx&amp;sheet=A0&amp;row=170&amp;col=14&amp;number=3094500000&amp;sourceID=12","3094500000")</f>
        <v>3094500000</v>
      </c>
      <c r="O170" s="4" t="str">
        <f>HYPERLINK("http://141.218.60.56/~jnz1568/getInfo.php?workbook=05_01.xlsx&amp;sheet=A0&amp;row=170&amp;col=15&amp;number=3094500000&amp;sourceID=12","3094500000")</f>
        <v>3094500000</v>
      </c>
      <c r="P170" s="4" t="str">
        <f>HYPERLINK("http://141.218.60.56/~jnz1568/getInfo.php?workbook=05_01.xlsx&amp;sheet=A0&amp;row=170&amp;col=16&amp;number=&amp;sourceID=12","")</f>
        <v/>
      </c>
      <c r="Q170" s="4" t="str">
        <f>HYPERLINK("http://141.218.60.56/~jnz1568/getInfo.php?workbook=05_01.xlsx&amp;sheet=A0&amp;row=170&amp;col=17&amp;number=&amp;sourceID=12","")</f>
        <v/>
      </c>
      <c r="R170" s="4" t="str">
        <f>HYPERLINK("http://141.218.60.56/~jnz1568/getInfo.php?workbook=05_01.xlsx&amp;sheet=A0&amp;row=170&amp;col=18&amp;number=&amp;sourceID=12","")</f>
        <v/>
      </c>
      <c r="S170" s="4" t="str">
        <f>HYPERLINK("http://141.218.60.56/~jnz1568/getInfo.php?workbook=05_01.xlsx&amp;sheet=A0&amp;row=170&amp;col=19&amp;number=11.348&amp;sourceID=12","11.348")</f>
        <v>11.348</v>
      </c>
      <c r="T170" s="4" t="str">
        <f>HYPERLINK("http://141.218.60.56/~jnz1568/getInfo.php?workbook=05_01.xlsx&amp;sheet=A0&amp;row=170&amp;col=20&amp;number=&amp;sourceID=12","")</f>
        <v/>
      </c>
    </row>
    <row r="171" spans="1:20">
      <c r="A171" s="3">
        <v>5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HYPERLINK("http://141.218.60.56/~jnz1568/getInfo.php?workbook=05_01.xlsx&amp;sheet=A0&amp;row=171&amp;col=6&amp;number=&amp;sourceID=18","")</f>
        <v/>
      </c>
      <c r="G171" s="4" t="str">
        <f>HYPERLINK("http://141.218.60.56/~jnz1568/getInfo.php?workbook=05_01.xlsx&amp;sheet=A0&amp;row=171&amp;col=7&amp;number==&amp;sourceID=11","=")</f>
        <v>=</v>
      </c>
      <c r="H171" s="4" t="str">
        <f>HYPERLINK("http://141.218.60.56/~jnz1568/getInfo.php?workbook=05_01.xlsx&amp;sheet=A0&amp;row=171&amp;col=8&amp;number=&amp;sourceID=11","")</f>
        <v/>
      </c>
      <c r="I171" s="4" t="str">
        <f>HYPERLINK("http://141.218.60.56/~jnz1568/getInfo.php?workbook=05_01.xlsx&amp;sheet=A0&amp;row=171&amp;col=9&amp;number=41179&amp;sourceID=11","41179")</f>
        <v>41179</v>
      </c>
      <c r="J171" s="4" t="str">
        <f>HYPERLINK("http://141.218.60.56/~jnz1568/getInfo.php?workbook=05_01.xlsx&amp;sheet=A0&amp;row=171&amp;col=10&amp;number=&amp;sourceID=11","")</f>
        <v/>
      </c>
      <c r="K171" s="4" t="str">
        <f>HYPERLINK("http://141.218.60.56/~jnz1568/getInfo.php?workbook=05_01.xlsx&amp;sheet=A0&amp;row=171&amp;col=11&amp;number=0.017389&amp;sourceID=11","0.017389")</f>
        <v>0.017389</v>
      </c>
      <c r="L171" s="4" t="str">
        <f>HYPERLINK("http://141.218.60.56/~jnz1568/getInfo.php?workbook=05_01.xlsx&amp;sheet=A0&amp;row=171&amp;col=12&amp;number=&amp;sourceID=11","")</f>
        <v/>
      </c>
      <c r="M171" s="4" t="str">
        <f>HYPERLINK("http://141.218.60.56/~jnz1568/getInfo.php?workbook=05_01.xlsx&amp;sheet=A0&amp;row=171&amp;col=13&amp;number=0.00032189&amp;sourceID=11","0.00032189")</f>
        <v>0.00032189</v>
      </c>
      <c r="N171" s="4" t="str">
        <f>HYPERLINK("http://141.218.60.56/~jnz1568/getInfo.php?workbook=05_01.xlsx&amp;sheet=A0&amp;row=171&amp;col=14&amp;number=41181&amp;sourceID=12","41181")</f>
        <v>41181</v>
      </c>
      <c r="O171" s="4" t="str">
        <f>HYPERLINK("http://141.218.60.56/~jnz1568/getInfo.php?workbook=05_01.xlsx&amp;sheet=A0&amp;row=171&amp;col=15&amp;number=&amp;sourceID=12","")</f>
        <v/>
      </c>
      <c r="P171" s="4" t="str">
        <f>HYPERLINK("http://141.218.60.56/~jnz1568/getInfo.php?workbook=05_01.xlsx&amp;sheet=A0&amp;row=171&amp;col=16&amp;number=41181&amp;sourceID=12","41181")</f>
        <v>41181</v>
      </c>
      <c r="Q171" s="4" t="str">
        <f>HYPERLINK("http://141.218.60.56/~jnz1568/getInfo.php?workbook=05_01.xlsx&amp;sheet=A0&amp;row=171&amp;col=17&amp;number=&amp;sourceID=12","")</f>
        <v/>
      </c>
      <c r="R171" s="4" t="str">
        <f>HYPERLINK("http://141.218.60.56/~jnz1568/getInfo.php?workbook=05_01.xlsx&amp;sheet=A0&amp;row=171&amp;col=18&amp;number=0.017364&amp;sourceID=12","0.017364")</f>
        <v>0.017364</v>
      </c>
      <c r="S171" s="4" t="str">
        <f>HYPERLINK("http://141.218.60.56/~jnz1568/getInfo.php?workbook=05_01.xlsx&amp;sheet=A0&amp;row=171&amp;col=19&amp;number=&amp;sourceID=12","")</f>
        <v/>
      </c>
      <c r="T171" s="4" t="str">
        <f>HYPERLINK("http://141.218.60.56/~jnz1568/getInfo.php?workbook=05_01.xlsx&amp;sheet=A0&amp;row=171&amp;col=20&amp;number=0.0003219&amp;sourceID=12","0.0003219")</f>
        <v>0.0003219</v>
      </c>
    </row>
    <row r="172" spans="1:20">
      <c r="A172" s="3">
        <v>5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HYPERLINK("http://141.218.60.56/~jnz1568/getInfo.php?workbook=05_01.xlsx&amp;sheet=A0&amp;row=172&amp;col=6&amp;number=&amp;sourceID=18","")</f>
        <v/>
      </c>
      <c r="G172" s="4" t="str">
        <f>HYPERLINK("http://141.218.60.56/~jnz1568/getInfo.php?workbook=05_01.xlsx&amp;sheet=A0&amp;row=172&amp;col=7&amp;number==&amp;sourceID=11","=")</f>
        <v>=</v>
      </c>
      <c r="H172" s="4" t="str">
        <f>HYPERLINK("http://141.218.60.56/~jnz1568/getInfo.php?workbook=05_01.xlsx&amp;sheet=A0&amp;row=172&amp;col=8&amp;number=&amp;sourceID=11","")</f>
        <v/>
      </c>
      <c r="I172" s="4" t="str">
        <f>HYPERLINK("http://141.218.60.56/~jnz1568/getInfo.php?workbook=05_01.xlsx&amp;sheet=A0&amp;row=172&amp;col=9&amp;number=11171&amp;sourceID=11","11171")</f>
        <v>11171</v>
      </c>
      <c r="J172" s="4" t="str">
        <f>HYPERLINK("http://141.218.60.56/~jnz1568/getInfo.php?workbook=05_01.xlsx&amp;sheet=A0&amp;row=172&amp;col=10&amp;number=&amp;sourceID=11","")</f>
        <v/>
      </c>
      <c r="K172" s="4" t="str">
        <f>HYPERLINK("http://141.218.60.56/~jnz1568/getInfo.php?workbook=05_01.xlsx&amp;sheet=A0&amp;row=172&amp;col=11&amp;number=0.0013231&amp;sourceID=11","0.0013231")</f>
        <v>0.0013231</v>
      </c>
      <c r="L172" s="4" t="str">
        <f>HYPERLINK("http://141.218.60.56/~jnz1568/getInfo.php?workbook=05_01.xlsx&amp;sheet=A0&amp;row=172&amp;col=12&amp;number=&amp;sourceID=11","")</f>
        <v/>
      </c>
      <c r="M172" s="4" t="str">
        <f>HYPERLINK("http://141.218.60.56/~jnz1568/getInfo.php?workbook=05_01.xlsx&amp;sheet=A0&amp;row=172&amp;col=13&amp;number=&amp;sourceID=11","")</f>
        <v/>
      </c>
      <c r="N172" s="4" t="str">
        <f>HYPERLINK("http://141.218.60.56/~jnz1568/getInfo.php?workbook=05_01.xlsx&amp;sheet=A0&amp;row=172&amp;col=14&amp;number=11171&amp;sourceID=12","11171")</f>
        <v>11171</v>
      </c>
      <c r="O172" s="4" t="str">
        <f>HYPERLINK("http://141.218.60.56/~jnz1568/getInfo.php?workbook=05_01.xlsx&amp;sheet=A0&amp;row=172&amp;col=15&amp;number=&amp;sourceID=12","")</f>
        <v/>
      </c>
      <c r="P172" s="4" t="str">
        <f>HYPERLINK("http://141.218.60.56/~jnz1568/getInfo.php?workbook=05_01.xlsx&amp;sheet=A0&amp;row=172&amp;col=16&amp;number=11171&amp;sourceID=12","11171")</f>
        <v>11171</v>
      </c>
      <c r="Q172" s="4" t="str">
        <f>HYPERLINK("http://141.218.60.56/~jnz1568/getInfo.php?workbook=05_01.xlsx&amp;sheet=A0&amp;row=172&amp;col=17&amp;number=&amp;sourceID=12","")</f>
        <v/>
      </c>
      <c r="R172" s="4" t="str">
        <f>HYPERLINK("http://141.218.60.56/~jnz1568/getInfo.php?workbook=05_01.xlsx&amp;sheet=A0&amp;row=172&amp;col=18&amp;number=0.0013232&amp;sourceID=12","0.0013232")</f>
        <v>0.0013232</v>
      </c>
      <c r="S172" s="4" t="str">
        <f>HYPERLINK("http://141.218.60.56/~jnz1568/getInfo.php?workbook=05_01.xlsx&amp;sheet=A0&amp;row=172&amp;col=19&amp;number=&amp;sourceID=12","")</f>
        <v/>
      </c>
      <c r="T172" s="4" t="str">
        <f>HYPERLINK("http://141.218.60.56/~jnz1568/getInfo.php?workbook=05_01.xlsx&amp;sheet=A0&amp;row=172&amp;col=20&amp;number=&amp;sourceID=12","")</f>
        <v/>
      </c>
    </row>
    <row r="173" spans="1:20">
      <c r="A173" s="3">
        <v>5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HYPERLINK("http://141.218.60.56/~jnz1568/getInfo.php?workbook=05_01.xlsx&amp;sheet=A0&amp;row=173&amp;col=6&amp;number=&amp;sourceID=18","")</f>
        <v/>
      </c>
      <c r="G173" s="4" t="str">
        <f>HYPERLINK("http://141.218.60.56/~jnz1568/getInfo.php?workbook=05_01.xlsx&amp;sheet=A0&amp;row=173&amp;col=7&amp;number==&amp;sourceID=11","=")</f>
        <v>=</v>
      </c>
      <c r="H173" s="4" t="str">
        <f>HYPERLINK("http://141.218.60.56/~jnz1568/getInfo.php?workbook=05_01.xlsx&amp;sheet=A0&amp;row=173&amp;col=8&amp;number=1023700000&amp;sourceID=11","1023700000")</f>
        <v>1023700000</v>
      </c>
      <c r="I173" s="4" t="str">
        <f>HYPERLINK("http://141.218.60.56/~jnz1568/getInfo.php?workbook=05_01.xlsx&amp;sheet=A0&amp;row=173&amp;col=9&amp;number=&amp;sourceID=11","")</f>
        <v/>
      </c>
      <c r="J173" s="4" t="str">
        <f>HYPERLINK("http://141.218.60.56/~jnz1568/getInfo.php?workbook=05_01.xlsx&amp;sheet=A0&amp;row=173&amp;col=10&amp;number=&amp;sourceID=11","")</f>
        <v/>
      </c>
      <c r="K173" s="4" t="str">
        <f>HYPERLINK("http://141.218.60.56/~jnz1568/getInfo.php?workbook=05_01.xlsx&amp;sheet=A0&amp;row=173&amp;col=11&amp;number=&amp;sourceID=11","")</f>
        <v/>
      </c>
      <c r="L173" s="4" t="str">
        <f>HYPERLINK("http://141.218.60.56/~jnz1568/getInfo.php?workbook=05_01.xlsx&amp;sheet=A0&amp;row=173&amp;col=12&amp;number=0.43047&amp;sourceID=11","0.43047")</f>
        <v>0.43047</v>
      </c>
      <c r="M173" s="4" t="str">
        <f>HYPERLINK("http://141.218.60.56/~jnz1568/getInfo.php?workbook=05_01.xlsx&amp;sheet=A0&amp;row=173&amp;col=13&amp;number=&amp;sourceID=11","")</f>
        <v/>
      </c>
      <c r="N173" s="4" t="str">
        <f>HYPERLINK("http://141.218.60.56/~jnz1568/getInfo.php?workbook=05_01.xlsx&amp;sheet=A0&amp;row=173&amp;col=14&amp;number=1023800000&amp;sourceID=12","1023800000")</f>
        <v>1023800000</v>
      </c>
      <c r="O173" s="4" t="str">
        <f>HYPERLINK("http://141.218.60.56/~jnz1568/getInfo.php?workbook=05_01.xlsx&amp;sheet=A0&amp;row=173&amp;col=15&amp;number=1023800000&amp;sourceID=12","1023800000")</f>
        <v>1023800000</v>
      </c>
      <c r="P173" s="4" t="str">
        <f>HYPERLINK("http://141.218.60.56/~jnz1568/getInfo.php?workbook=05_01.xlsx&amp;sheet=A0&amp;row=173&amp;col=16&amp;number=&amp;sourceID=12","")</f>
        <v/>
      </c>
      <c r="Q173" s="4" t="str">
        <f>HYPERLINK("http://141.218.60.56/~jnz1568/getInfo.php?workbook=05_01.xlsx&amp;sheet=A0&amp;row=173&amp;col=17&amp;number=&amp;sourceID=12","")</f>
        <v/>
      </c>
      <c r="R173" s="4" t="str">
        <f>HYPERLINK("http://141.218.60.56/~jnz1568/getInfo.php?workbook=05_01.xlsx&amp;sheet=A0&amp;row=173&amp;col=18&amp;number=&amp;sourceID=12","")</f>
        <v/>
      </c>
      <c r="S173" s="4" t="str">
        <f>HYPERLINK("http://141.218.60.56/~jnz1568/getInfo.php?workbook=05_01.xlsx&amp;sheet=A0&amp;row=173&amp;col=19&amp;number=0.4305&amp;sourceID=12","0.4305")</f>
        <v>0.4305</v>
      </c>
      <c r="T173" s="4" t="str">
        <f>HYPERLINK("http://141.218.60.56/~jnz1568/getInfo.php?workbook=05_01.xlsx&amp;sheet=A0&amp;row=173&amp;col=20&amp;number=&amp;sourceID=12","")</f>
        <v/>
      </c>
    </row>
    <row r="174" spans="1:20">
      <c r="A174" s="3">
        <v>5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HYPERLINK("http://141.218.60.56/~jnz1568/getInfo.php?workbook=05_01.xlsx&amp;sheet=A0&amp;row=174&amp;col=6&amp;number=&amp;sourceID=18","")</f>
        <v/>
      </c>
      <c r="G174" s="4" t="str">
        <f>HYPERLINK("http://141.218.60.56/~jnz1568/getInfo.php?workbook=05_01.xlsx&amp;sheet=A0&amp;row=174&amp;col=7&amp;number==&amp;sourceID=11","=")</f>
        <v>=</v>
      </c>
      <c r="H174" s="4" t="str">
        <f>HYPERLINK("http://141.218.60.56/~jnz1568/getInfo.php?workbook=05_01.xlsx&amp;sheet=A0&amp;row=174&amp;col=8&amp;number=9353400&amp;sourceID=11","9353400")</f>
        <v>9353400</v>
      </c>
      <c r="I174" s="4" t="str">
        <f>HYPERLINK("http://141.218.60.56/~jnz1568/getInfo.php?workbook=05_01.xlsx&amp;sheet=A0&amp;row=174&amp;col=9&amp;number=&amp;sourceID=11","")</f>
        <v/>
      </c>
      <c r="J174" s="4" t="str">
        <f>HYPERLINK("http://141.218.60.56/~jnz1568/getInfo.php?workbook=05_01.xlsx&amp;sheet=A0&amp;row=174&amp;col=10&amp;number=0.053104&amp;sourceID=11","0.053104")</f>
        <v>0.053104</v>
      </c>
      <c r="K174" s="4" t="str">
        <f>HYPERLINK("http://141.218.60.56/~jnz1568/getInfo.php?workbook=05_01.xlsx&amp;sheet=A0&amp;row=174&amp;col=11&amp;number=&amp;sourceID=11","")</f>
        <v/>
      </c>
      <c r="L174" s="4" t="str">
        <f>HYPERLINK("http://141.218.60.56/~jnz1568/getInfo.php?workbook=05_01.xlsx&amp;sheet=A0&amp;row=174&amp;col=12&amp;number=&amp;sourceID=11","")</f>
        <v/>
      </c>
      <c r="M174" s="4" t="str">
        <f>HYPERLINK("http://141.218.60.56/~jnz1568/getInfo.php?workbook=05_01.xlsx&amp;sheet=A0&amp;row=174&amp;col=13&amp;number=&amp;sourceID=11","")</f>
        <v/>
      </c>
      <c r="N174" s="4" t="str">
        <f>HYPERLINK("http://141.218.60.56/~jnz1568/getInfo.php?workbook=05_01.xlsx&amp;sheet=A0&amp;row=174&amp;col=14&amp;number=9353900&amp;sourceID=12","9353900")</f>
        <v>9353900</v>
      </c>
      <c r="O174" s="4" t="str">
        <f>HYPERLINK("http://141.218.60.56/~jnz1568/getInfo.php?workbook=05_01.xlsx&amp;sheet=A0&amp;row=174&amp;col=15&amp;number=9353900&amp;sourceID=12","9353900")</f>
        <v>9353900</v>
      </c>
      <c r="P174" s="4" t="str">
        <f>HYPERLINK("http://141.218.60.56/~jnz1568/getInfo.php?workbook=05_01.xlsx&amp;sheet=A0&amp;row=174&amp;col=16&amp;number=&amp;sourceID=12","")</f>
        <v/>
      </c>
      <c r="Q174" s="4" t="str">
        <f>HYPERLINK("http://141.218.60.56/~jnz1568/getInfo.php?workbook=05_01.xlsx&amp;sheet=A0&amp;row=174&amp;col=17&amp;number=0.053107&amp;sourceID=12","0.053107")</f>
        <v>0.053107</v>
      </c>
      <c r="R174" s="4" t="str">
        <f>HYPERLINK("http://141.218.60.56/~jnz1568/getInfo.php?workbook=05_01.xlsx&amp;sheet=A0&amp;row=174&amp;col=18&amp;number=&amp;sourceID=12","")</f>
        <v/>
      </c>
      <c r="S174" s="4" t="str">
        <f>HYPERLINK("http://141.218.60.56/~jnz1568/getInfo.php?workbook=05_01.xlsx&amp;sheet=A0&amp;row=174&amp;col=19&amp;number=&amp;sourceID=12","")</f>
        <v/>
      </c>
      <c r="T174" s="4" t="str">
        <f>HYPERLINK("http://141.218.60.56/~jnz1568/getInfo.php?workbook=05_01.xlsx&amp;sheet=A0&amp;row=174&amp;col=20&amp;number=&amp;sourceID=12","")</f>
        <v/>
      </c>
    </row>
    <row r="175" spans="1:20">
      <c r="A175" s="3">
        <v>5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HYPERLINK("http://141.218.60.56/~jnz1568/getInfo.php?workbook=05_01.xlsx&amp;sheet=A0&amp;row=175&amp;col=6&amp;number=&amp;sourceID=18","")</f>
        <v/>
      </c>
      <c r="G175" s="4" t="str">
        <f>HYPERLINK("http://141.218.60.56/~jnz1568/getInfo.php?workbook=05_01.xlsx&amp;sheet=A0&amp;row=175&amp;col=7&amp;number==&amp;sourceID=11","=")</f>
        <v>=</v>
      </c>
      <c r="H175" s="4" t="str">
        <f>HYPERLINK("http://141.218.60.56/~jnz1568/getInfo.php?workbook=05_01.xlsx&amp;sheet=A0&amp;row=175&amp;col=8&amp;number=&amp;sourceID=11","")</f>
        <v/>
      </c>
      <c r="I175" s="4" t="str">
        <f>HYPERLINK("http://141.218.60.56/~jnz1568/getInfo.php?workbook=05_01.xlsx&amp;sheet=A0&amp;row=175&amp;col=9&amp;number=11161&amp;sourceID=11","11161")</f>
        <v>11161</v>
      </c>
      <c r="J175" s="4" t="str">
        <f>HYPERLINK("http://141.218.60.56/~jnz1568/getInfo.php?workbook=05_01.xlsx&amp;sheet=A0&amp;row=175&amp;col=10&amp;number=&amp;sourceID=11","")</f>
        <v/>
      </c>
      <c r="K175" s="4" t="str">
        <f>HYPERLINK("http://141.218.60.56/~jnz1568/getInfo.php?workbook=05_01.xlsx&amp;sheet=A0&amp;row=175&amp;col=11&amp;number=0.00054038&amp;sourceID=11","0.00054038")</f>
        <v>0.00054038</v>
      </c>
      <c r="L175" s="4" t="str">
        <f>HYPERLINK("http://141.218.60.56/~jnz1568/getInfo.php?workbook=05_01.xlsx&amp;sheet=A0&amp;row=175&amp;col=12&amp;number=&amp;sourceID=11","")</f>
        <v/>
      </c>
      <c r="M175" s="4" t="str">
        <f>HYPERLINK("http://141.218.60.56/~jnz1568/getInfo.php?workbook=05_01.xlsx&amp;sheet=A0&amp;row=175&amp;col=13&amp;number=1.0005e-05&amp;sourceID=11","1.0005e-05")</f>
        <v>1.0005e-05</v>
      </c>
      <c r="N175" s="4" t="str">
        <f>HYPERLINK("http://141.218.60.56/~jnz1568/getInfo.php?workbook=05_01.xlsx&amp;sheet=A0&amp;row=175&amp;col=14&amp;number=11162&amp;sourceID=12","11162")</f>
        <v>11162</v>
      </c>
      <c r="O175" s="4" t="str">
        <f>HYPERLINK("http://141.218.60.56/~jnz1568/getInfo.php?workbook=05_01.xlsx&amp;sheet=A0&amp;row=175&amp;col=15&amp;number=&amp;sourceID=12","")</f>
        <v/>
      </c>
      <c r="P175" s="4" t="str">
        <f>HYPERLINK("http://141.218.60.56/~jnz1568/getInfo.php?workbook=05_01.xlsx&amp;sheet=A0&amp;row=175&amp;col=16&amp;number=11162&amp;sourceID=12","11162")</f>
        <v>11162</v>
      </c>
      <c r="Q175" s="4" t="str">
        <f>HYPERLINK("http://141.218.60.56/~jnz1568/getInfo.php?workbook=05_01.xlsx&amp;sheet=A0&amp;row=175&amp;col=17&amp;number=&amp;sourceID=12","")</f>
        <v/>
      </c>
      <c r="R175" s="4" t="str">
        <f>HYPERLINK("http://141.218.60.56/~jnz1568/getInfo.php?workbook=05_01.xlsx&amp;sheet=A0&amp;row=175&amp;col=18&amp;number=0.00054041&amp;sourceID=12","0.00054041")</f>
        <v>0.00054041</v>
      </c>
      <c r="S175" s="4" t="str">
        <f>HYPERLINK("http://141.218.60.56/~jnz1568/getInfo.php?workbook=05_01.xlsx&amp;sheet=A0&amp;row=175&amp;col=19&amp;number=&amp;sourceID=12","")</f>
        <v/>
      </c>
      <c r="T175" s="4" t="str">
        <f>HYPERLINK("http://141.218.60.56/~jnz1568/getInfo.php?workbook=05_01.xlsx&amp;sheet=A0&amp;row=175&amp;col=20&amp;number=1.0006e-05&amp;sourceID=12","1.0006e-05")</f>
        <v>1.0006e-05</v>
      </c>
    </row>
    <row r="176" spans="1:20">
      <c r="A176" s="3">
        <v>5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HYPERLINK("http://141.218.60.56/~jnz1568/getInfo.php?workbook=05_01.xlsx&amp;sheet=A0&amp;row=176&amp;col=6&amp;number=&amp;sourceID=18","")</f>
        <v/>
      </c>
      <c r="G176" s="4" t="str">
        <f>HYPERLINK("http://141.218.60.56/~jnz1568/getInfo.php?workbook=05_01.xlsx&amp;sheet=A0&amp;row=176&amp;col=7&amp;number==&amp;sourceID=11","=")</f>
        <v>=</v>
      </c>
      <c r="H176" s="4" t="str">
        <f>HYPERLINK("http://141.218.60.56/~jnz1568/getInfo.php?workbook=05_01.xlsx&amp;sheet=A0&amp;row=176&amp;col=8&amp;number=84274000&amp;sourceID=11","84274000")</f>
        <v>84274000</v>
      </c>
      <c r="I176" s="4" t="str">
        <f>HYPERLINK("http://141.218.60.56/~jnz1568/getInfo.php?workbook=05_01.xlsx&amp;sheet=A0&amp;row=176&amp;col=9&amp;number=&amp;sourceID=11","")</f>
        <v/>
      </c>
      <c r="J176" s="4" t="str">
        <f>HYPERLINK("http://141.218.60.56/~jnz1568/getInfo.php?workbook=05_01.xlsx&amp;sheet=A0&amp;row=176&amp;col=10&amp;number=0.035376&amp;sourceID=11","0.035376")</f>
        <v>0.035376</v>
      </c>
      <c r="K176" s="4" t="str">
        <f>HYPERLINK("http://141.218.60.56/~jnz1568/getInfo.php?workbook=05_01.xlsx&amp;sheet=A0&amp;row=176&amp;col=11&amp;number=&amp;sourceID=11","")</f>
        <v/>
      </c>
      <c r="L176" s="4" t="str">
        <f>HYPERLINK("http://141.218.60.56/~jnz1568/getInfo.php?workbook=05_01.xlsx&amp;sheet=A0&amp;row=176&amp;col=12&amp;number=0.045902&amp;sourceID=11","0.045902")</f>
        <v>0.045902</v>
      </c>
      <c r="M176" s="4" t="str">
        <f>HYPERLINK("http://141.218.60.56/~jnz1568/getInfo.php?workbook=05_01.xlsx&amp;sheet=A0&amp;row=176&amp;col=13&amp;number=&amp;sourceID=11","")</f>
        <v/>
      </c>
      <c r="N176" s="4" t="str">
        <f>HYPERLINK("http://141.218.60.56/~jnz1568/getInfo.php?workbook=05_01.xlsx&amp;sheet=A0&amp;row=176&amp;col=14&amp;number=84278000&amp;sourceID=12","84278000")</f>
        <v>84278000</v>
      </c>
      <c r="O176" s="4" t="str">
        <f>HYPERLINK("http://141.218.60.56/~jnz1568/getInfo.php?workbook=05_01.xlsx&amp;sheet=A0&amp;row=176&amp;col=15&amp;number=84278000&amp;sourceID=12","84278000")</f>
        <v>84278000</v>
      </c>
      <c r="P176" s="4" t="str">
        <f>HYPERLINK("http://141.218.60.56/~jnz1568/getInfo.php?workbook=05_01.xlsx&amp;sheet=A0&amp;row=176&amp;col=16&amp;number=&amp;sourceID=12","")</f>
        <v/>
      </c>
      <c r="Q176" s="4" t="str">
        <f>HYPERLINK("http://141.218.60.56/~jnz1568/getInfo.php?workbook=05_01.xlsx&amp;sheet=A0&amp;row=176&amp;col=17&amp;number=0.035378&amp;sourceID=12","0.035378")</f>
        <v>0.035378</v>
      </c>
      <c r="R176" s="4" t="str">
        <f>HYPERLINK("http://141.218.60.56/~jnz1568/getInfo.php?workbook=05_01.xlsx&amp;sheet=A0&amp;row=176&amp;col=18&amp;number=&amp;sourceID=12","")</f>
        <v/>
      </c>
      <c r="S176" s="4" t="str">
        <f>HYPERLINK("http://141.218.60.56/~jnz1568/getInfo.php?workbook=05_01.xlsx&amp;sheet=A0&amp;row=176&amp;col=19&amp;number=0.045905&amp;sourceID=12","0.045905")</f>
        <v>0.045905</v>
      </c>
      <c r="T176" s="4" t="str">
        <f>HYPERLINK("http://141.218.60.56/~jnz1568/getInfo.php?workbook=05_01.xlsx&amp;sheet=A0&amp;row=176&amp;col=20&amp;number=&amp;sourceID=12","")</f>
        <v/>
      </c>
    </row>
    <row r="177" spans="1:20">
      <c r="A177" s="3">
        <v>5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HYPERLINK("http://141.218.60.56/~jnz1568/getInfo.php?workbook=05_01.xlsx&amp;sheet=A0&amp;row=177&amp;col=6&amp;number=&amp;sourceID=18","")</f>
        <v/>
      </c>
      <c r="G177" s="4" t="str">
        <f>HYPERLINK("http://141.218.60.56/~jnz1568/getInfo.php?workbook=05_01.xlsx&amp;sheet=A0&amp;row=177&amp;col=7&amp;number==&amp;sourceID=11","=")</f>
        <v>=</v>
      </c>
      <c r="H177" s="4" t="str">
        <f>HYPERLINK("http://141.218.60.56/~jnz1568/getInfo.php?workbook=05_01.xlsx&amp;sheet=A0&amp;row=177&amp;col=8&amp;number=&amp;sourceID=11","")</f>
        <v/>
      </c>
      <c r="I177" s="4" t="str">
        <f>HYPERLINK("http://141.218.60.56/~jnz1568/getInfo.php?workbook=05_01.xlsx&amp;sheet=A0&amp;row=177&amp;col=9&amp;number=3551.3&amp;sourceID=11","3551.3")</f>
        <v>3551.3</v>
      </c>
      <c r="J177" s="4" t="str">
        <f>HYPERLINK("http://141.218.60.56/~jnz1568/getInfo.php?workbook=05_01.xlsx&amp;sheet=A0&amp;row=177&amp;col=10&amp;number=&amp;sourceID=11","")</f>
        <v/>
      </c>
      <c r="K177" s="4" t="str">
        <f>HYPERLINK("http://141.218.60.56/~jnz1568/getInfo.php?workbook=05_01.xlsx&amp;sheet=A0&amp;row=177&amp;col=11&amp;number=0.00020556&amp;sourceID=11","0.00020556")</f>
        <v>0.00020556</v>
      </c>
      <c r="L177" s="4" t="str">
        <f>HYPERLINK("http://141.218.60.56/~jnz1568/getInfo.php?workbook=05_01.xlsx&amp;sheet=A0&amp;row=177&amp;col=12&amp;number=&amp;sourceID=11","")</f>
        <v/>
      </c>
      <c r="M177" s="4" t="str">
        <f>HYPERLINK("http://141.218.60.56/~jnz1568/getInfo.php?workbook=05_01.xlsx&amp;sheet=A0&amp;row=177&amp;col=13&amp;number=&amp;sourceID=11","")</f>
        <v/>
      </c>
      <c r="N177" s="4" t="str">
        <f>HYPERLINK("http://141.218.60.56/~jnz1568/getInfo.php?workbook=05_01.xlsx&amp;sheet=A0&amp;row=177&amp;col=14&amp;number=3551.5&amp;sourceID=12","3551.5")</f>
        <v>3551.5</v>
      </c>
      <c r="O177" s="4" t="str">
        <f>HYPERLINK("http://141.218.60.56/~jnz1568/getInfo.php?workbook=05_01.xlsx&amp;sheet=A0&amp;row=177&amp;col=15&amp;number=&amp;sourceID=12","")</f>
        <v/>
      </c>
      <c r="P177" s="4" t="str">
        <f>HYPERLINK("http://141.218.60.56/~jnz1568/getInfo.php?workbook=05_01.xlsx&amp;sheet=A0&amp;row=177&amp;col=16&amp;number=3551.5&amp;sourceID=12","3551.5")</f>
        <v>3551.5</v>
      </c>
      <c r="Q177" s="4" t="str">
        <f>HYPERLINK("http://141.218.60.56/~jnz1568/getInfo.php?workbook=05_01.xlsx&amp;sheet=A0&amp;row=177&amp;col=17&amp;number=&amp;sourceID=12","")</f>
        <v/>
      </c>
      <c r="R177" s="4" t="str">
        <f>HYPERLINK("http://141.218.60.56/~jnz1568/getInfo.php?workbook=05_01.xlsx&amp;sheet=A0&amp;row=177&amp;col=18&amp;number=0.00020558&amp;sourceID=12","0.00020558")</f>
        <v>0.00020558</v>
      </c>
      <c r="S177" s="4" t="str">
        <f>HYPERLINK("http://141.218.60.56/~jnz1568/getInfo.php?workbook=05_01.xlsx&amp;sheet=A0&amp;row=177&amp;col=19&amp;number=&amp;sourceID=12","")</f>
        <v/>
      </c>
      <c r="T177" s="4" t="str">
        <f>HYPERLINK("http://141.218.60.56/~jnz1568/getInfo.php?workbook=05_01.xlsx&amp;sheet=A0&amp;row=177&amp;col=20&amp;number=&amp;sourceID=12","")</f>
        <v/>
      </c>
    </row>
    <row r="178" spans="1:20">
      <c r="A178" s="3">
        <v>5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HYPERLINK("http://141.218.60.56/~jnz1568/getInfo.php?workbook=05_01.xlsx&amp;sheet=A0&amp;row=178&amp;col=6&amp;number=&amp;sourceID=18","")</f>
        <v/>
      </c>
      <c r="G178" s="4" t="str">
        <f>HYPERLINK("http://141.218.60.56/~jnz1568/getInfo.php?workbook=05_01.xlsx&amp;sheet=A0&amp;row=178&amp;col=7&amp;number==&amp;sourceID=11","=")</f>
        <v>=</v>
      </c>
      <c r="H178" s="4" t="str">
        <f>HYPERLINK("http://141.218.60.56/~jnz1568/getInfo.php?workbook=05_01.xlsx&amp;sheet=A0&amp;row=178&amp;col=8&amp;number=460550000&amp;sourceID=11","460550000")</f>
        <v>460550000</v>
      </c>
      <c r="I178" s="4" t="str">
        <f>HYPERLINK("http://141.218.60.56/~jnz1568/getInfo.php?workbook=05_01.xlsx&amp;sheet=A0&amp;row=178&amp;col=9&amp;number=&amp;sourceID=11","")</f>
        <v/>
      </c>
      <c r="J178" s="4" t="str">
        <f>HYPERLINK("http://141.218.60.56/~jnz1568/getInfo.php?workbook=05_01.xlsx&amp;sheet=A0&amp;row=178&amp;col=10&amp;number=&amp;sourceID=11","")</f>
        <v/>
      </c>
      <c r="K178" s="4" t="str">
        <f>HYPERLINK("http://141.218.60.56/~jnz1568/getInfo.php?workbook=05_01.xlsx&amp;sheet=A0&amp;row=178&amp;col=11&amp;number=&amp;sourceID=11","")</f>
        <v/>
      </c>
      <c r="L178" s="4" t="str">
        <f>HYPERLINK("http://141.218.60.56/~jnz1568/getInfo.php?workbook=05_01.xlsx&amp;sheet=A0&amp;row=178&amp;col=12&amp;number=0.019393&amp;sourceID=11","0.019393")</f>
        <v>0.019393</v>
      </c>
      <c r="M178" s="4" t="str">
        <f>HYPERLINK("http://141.218.60.56/~jnz1568/getInfo.php?workbook=05_01.xlsx&amp;sheet=A0&amp;row=178&amp;col=13&amp;number=&amp;sourceID=11","")</f>
        <v/>
      </c>
      <c r="N178" s="4" t="str">
        <f>HYPERLINK("http://141.218.60.56/~jnz1568/getInfo.php?workbook=05_01.xlsx&amp;sheet=A0&amp;row=178&amp;col=14&amp;number=460570000&amp;sourceID=12","460570000")</f>
        <v>460570000</v>
      </c>
      <c r="O178" s="4" t="str">
        <f>HYPERLINK("http://141.218.60.56/~jnz1568/getInfo.php?workbook=05_01.xlsx&amp;sheet=A0&amp;row=178&amp;col=15&amp;number=460570000&amp;sourceID=12","460570000")</f>
        <v>460570000</v>
      </c>
      <c r="P178" s="4" t="str">
        <f>HYPERLINK("http://141.218.60.56/~jnz1568/getInfo.php?workbook=05_01.xlsx&amp;sheet=A0&amp;row=178&amp;col=16&amp;number=&amp;sourceID=12","")</f>
        <v/>
      </c>
      <c r="Q178" s="4" t="str">
        <f>HYPERLINK("http://141.218.60.56/~jnz1568/getInfo.php?workbook=05_01.xlsx&amp;sheet=A0&amp;row=178&amp;col=17&amp;number=&amp;sourceID=12","")</f>
        <v/>
      </c>
      <c r="R178" s="4" t="str">
        <f>HYPERLINK("http://141.218.60.56/~jnz1568/getInfo.php?workbook=05_01.xlsx&amp;sheet=A0&amp;row=178&amp;col=18&amp;number=&amp;sourceID=12","")</f>
        <v/>
      </c>
      <c r="S178" s="4" t="str">
        <f>HYPERLINK("http://141.218.60.56/~jnz1568/getInfo.php?workbook=05_01.xlsx&amp;sheet=A0&amp;row=178&amp;col=19&amp;number=0.019394&amp;sourceID=12","0.019394")</f>
        <v>0.019394</v>
      </c>
      <c r="T178" s="4" t="str">
        <f>HYPERLINK("http://141.218.60.56/~jnz1568/getInfo.php?workbook=05_01.xlsx&amp;sheet=A0&amp;row=178&amp;col=20&amp;number=&amp;sourceID=12","")</f>
        <v/>
      </c>
    </row>
    <row r="179" spans="1:20">
      <c r="A179" s="3">
        <v>5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HYPERLINK("http://141.218.60.56/~jnz1568/getInfo.php?workbook=05_01.xlsx&amp;sheet=A0&amp;row=179&amp;col=6&amp;number=&amp;sourceID=18","")</f>
        <v/>
      </c>
      <c r="G179" s="4" t="str">
        <f>HYPERLINK("http://141.218.60.56/~jnz1568/getInfo.php?workbook=05_01.xlsx&amp;sheet=A0&amp;row=179&amp;col=7&amp;number==&amp;sourceID=11","=")</f>
        <v>=</v>
      </c>
      <c r="H179" s="4" t="str">
        <f>HYPERLINK("http://141.218.60.56/~jnz1568/getInfo.php?workbook=05_01.xlsx&amp;sheet=A0&amp;row=179&amp;col=8&amp;number=11787000&amp;sourceID=11","11787000")</f>
        <v>11787000</v>
      </c>
      <c r="I179" s="4" t="str">
        <f>HYPERLINK("http://141.218.60.56/~jnz1568/getInfo.php?workbook=05_01.xlsx&amp;sheet=A0&amp;row=179&amp;col=9&amp;number=&amp;sourceID=11","")</f>
        <v/>
      </c>
      <c r="J179" s="4" t="str">
        <f>HYPERLINK("http://141.218.60.56/~jnz1568/getInfo.php?workbook=05_01.xlsx&amp;sheet=A0&amp;row=179&amp;col=10&amp;number=0.01805&amp;sourceID=11","0.01805")</f>
        <v>0.01805</v>
      </c>
      <c r="K179" s="4" t="str">
        <f>HYPERLINK("http://141.218.60.56/~jnz1568/getInfo.php?workbook=05_01.xlsx&amp;sheet=A0&amp;row=179&amp;col=11&amp;number=&amp;sourceID=11","")</f>
        <v/>
      </c>
      <c r="L179" s="4" t="str">
        <f>HYPERLINK("http://141.218.60.56/~jnz1568/getInfo.php?workbook=05_01.xlsx&amp;sheet=A0&amp;row=179&amp;col=12&amp;number=&amp;sourceID=11","")</f>
        <v/>
      </c>
      <c r="M179" s="4" t="str">
        <f>HYPERLINK("http://141.218.60.56/~jnz1568/getInfo.php?workbook=05_01.xlsx&amp;sheet=A0&amp;row=179&amp;col=13&amp;number=&amp;sourceID=11","")</f>
        <v/>
      </c>
      <c r="N179" s="4" t="str">
        <f>HYPERLINK("http://141.218.60.56/~jnz1568/getInfo.php?workbook=05_01.xlsx&amp;sheet=A0&amp;row=179&amp;col=14&amp;number=11788000&amp;sourceID=12","11788000")</f>
        <v>11788000</v>
      </c>
      <c r="O179" s="4" t="str">
        <f>HYPERLINK("http://141.218.60.56/~jnz1568/getInfo.php?workbook=05_01.xlsx&amp;sheet=A0&amp;row=179&amp;col=15&amp;number=11788000&amp;sourceID=12","11788000")</f>
        <v>11788000</v>
      </c>
      <c r="P179" s="4" t="str">
        <f>HYPERLINK("http://141.218.60.56/~jnz1568/getInfo.php?workbook=05_01.xlsx&amp;sheet=A0&amp;row=179&amp;col=16&amp;number=&amp;sourceID=12","")</f>
        <v/>
      </c>
      <c r="Q179" s="4" t="str">
        <f>HYPERLINK("http://141.218.60.56/~jnz1568/getInfo.php?workbook=05_01.xlsx&amp;sheet=A0&amp;row=179&amp;col=17&amp;number=0.01805&amp;sourceID=12","0.01805")</f>
        <v>0.01805</v>
      </c>
      <c r="R179" s="4" t="str">
        <f>HYPERLINK("http://141.218.60.56/~jnz1568/getInfo.php?workbook=05_01.xlsx&amp;sheet=A0&amp;row=179&amp;col=18&amp;number=&amp;sourceID=12","")</f>
        <v/>
      </c>
      <c r="S179" s="4" t="str">
        <f>HYPERLINK("http://141.218.60.56/~jnz1568/getInfo.php?workbook=05_01.xlsx&amp;sheet=A0&amp;row=179&amp;col=19&amp;number=&amp;sourceID=12","")</f>
        <v/>
      </c>
      <c r="T179" s="4" t="str">
        <f>HYPERLINK("http://141.218.60.56/~jnz1568/getInfo.php?workbook=05_01.xlsx&amp;sheet=A0&amp;row=179&amp;col=20&amp;number=&amp;sourceID=12","")</f>
        <v/>
      </c>
    </row>
    <row r="180" spans="1:20">
      <c r="A180" s="3">
        <v>5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HYPERLINK("http://141.218.60.56/~jnz1568/getInfo.php?workbook=05_01.xlsx&amp;sheet=A0&amp;row=180&amp;col=6&amp;number=&amp;sourceID=18","")</f>
        <v/>
      </c>
      <c r="G180" s="4" t="str">
        <f>HYPERLINK("http://141.218.60.56/~jnz1568/getInfo.php?workbook=05_01.xlsx&amp;sheet=A0&amp;row=180&amp;col=7&amp;number==&amp;sourceID=11","=")</f>
        <v>=</v>
      </c>
      <c r="H180" s="4" t="str">
        <f>HYPERLINK("http://141.218.60.56/~jnz1568/getInfo.php?workbook=05_01.xlsx&amp;sheet=A0&amp;row=180&amp;col=8&amp;number=&amp;sourceID=11","")</f>
        <v/>
      </c>
      <c r="I180" s="4" t="str">
        <f>HYPERLINK("http://141.218.60.56/~jnz1568/getInfo.php?workbook=05_01.xlsx&amp;sheet=A0&amp;row=180&amp;col=9&amp;number=3550.2&amp;sourceID=11","3550.2")</f>
        <v>3550.2</v>
      </c>
      <c r="J180" s="4" t="str">
        <f>HYPERLINK("http://141.218.60.56/~jnz1568/getInfo.php?workbook=05_01.xlsx&amp;sheet=A0&amp;row=180&amp;col=10&amp;number=&amp;sourceID=11","")</f>
        <v/>
      </c>
      <c r="K180" s="4" t="str">
        <f>HYPERLINK("http://141.218.60.56/~jnz1568/getInfo.php?workbook=05_01.xlsx&amp;sheet=A0&amp;row=180&amp;col=11&amp;number=1.7206e-05&amp;sourceID=11","1.7206e-05")</f>
        <v>1.7206e-05</v>
      </c>
      <c r="L180" s="4" t="str">
        <f>HYPERLINK("http://141.218.60.56/~jnz1568/getInfo.php?workbook=05_01.xlsx&amp;sheet=A0&amp;row=180&amp;col=12&amp;number=&amp;sourceID=11","")</f>
        <v/>
      </c>
      <c r="M180" s="4" t="str">
        <f>HYPERLINK("http://141.218.60.56/~jnz1568/getInfo.php?workbook=05_01.xlsx&amp;sheet=A0&amp;row=180&amp;col=13&amp;number=3.1862e-07&amp;sourceID=11","3.1862e-07")</f>
        <v>3.1862e-07</v>
      </c>
      <c r="N180" s="4" t="str">
        <f>HYPERLINK("http://141.218.60.56/~jnz1568/getInfo.php?workbook=05_01.xlsx&amp;sheet=A0&amp;row=180&amp;col=14&amp;number=3550.4&amp;sourceID=12","3550.4")</f>
        <v>3550.4</v>
      </c>
      <c r="O180" s="4" t="str">
        <f>HYPERLINK("http://141.218.60.56/~jnz1568/getInfo.php?workbook=05_01.xlsx&amp;sheet=A0&amp;row=180&amp;col=15&amp;number=&amp;sourceID=12","")</f>
        <v/>
      </c>
      <c r="P180" s="4" t="str">
        <f>HYPERLINK("http://141.218.60.56/~jnz1568/getInfo.php?workbook=05_01.xlsx&amp;sheet=A0&amp;row=180&amp;col=16&amp;number=3550.4&amp;sourceID=12","3550.4")</f>
        <v>3550.4</v>
      </c>
      <c r="Q180" s="4" t="str">
        <f>HYPERLINK("http://141.218.60.56/~jnz1568/getInfo.php?workbook=05_01.xlsx&amp;sheet=A0&amp;row=180&amp;col=17&amp;number=&amp;sourceID=12","")</f>
        <v/>
      </c>
      <c r="R180" s="4" t="str">
        <f>HYPERLINK("http://141.218.60.56/~jnz1568/getInfo.php?workbook=05_01.xlsx&amp;sheet=A0&amp;row=180&amp;col=18&amp;number=1.7207e-05&amp;sourceID=12","1.7207e-05")</f>
        <v>1.7207e-05</v>
      </c>
      <c r="S180" s="4" t="str">
        <f>HYPERLINK("http://141.218.60.56/~jnz1568/getInfo.php?workbook=05_01.xlsx&amp;sheet=A0&amp;row=180&amp;col=19&amp;number=&amp;sourceID=12","")</f>
        <v/>
      </c>
      <c r="T180" s="4" t="str">
        <f>HYPERLINK("http://141.218.60.56/~jnz1568/getInfo.php?workbook=05_01.xlsx&amp;sheet=A0&amp;row=180&amp;col=20&amp;number=3.1864e-07&amp;sourceID=12","3.1864e-07")</f>
        <v>3.1864e-07</v>
      </c>
    </row>
    <row r="181" spans="1:20">
      <c r="A181" s="3">
        <v>5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HYPERLINK("http://141.218.60.56/~jnz1568/getInfo.php?workbook=05_01.xlsx&amp;sheet=A0&amp;row=181&amp;col=6&amp;number=&amp;sourceID=18","")</f>
        <v/>
      </c>
      <c r="G181" s="4" t="str">
        <f>HYPERLINK("http://141.218.60.56/~jnz1568/getInfo.php?workbook=05_01.xlsx&amp;sheet=A0&amp;row=181&amp;col=7&amp;number==&amp;sourceID=11","=")</f>
        <v>=</v>
      </c>
      <c r="H181" s="4" t="str">
        <f>HYPERLINK("http://141.218.60.56/~jnz1568/getInfo.php?workbook=05_01.xlsx&amp;sheet=A0&amp;row=181&amp;col=8&amp;number=&amp;sourceID=11","")</f>
        <v/>
      </c>
      <c r="I181" s="4" t="str">
        <f>HYPERLINK("http://141.218.60.56/~jnz1568/getInfo.php?workbook=05_01.xlsx&amp;sheet=A0&amp;row=181&amp;col=9&amp;number=105.2&amp;sourceID=11","105.2")</f>
        <v>105.2</v>
      </c>
      <c r="J181" s="4" t="str">
        <f>HYPERLINK("http://141.218.60.56/~jnz1568/getInfo.php?workbook=05_01.xlsx&amp;sheet=A0&amp;row=181&amp;col=10&amp;number=&amp;sourceID=11","")</f>
        <v/>
      </c>
      <c r="K181" s="4" t="str">
        <f>HYPERLINK("http://141.218.60.56/~jnz1568/getInfo.php?workbook=05_01.xlsx&amp;sheet=A0&amp;row=181&amp;col=11&amp;number=4.0862e-10&amp;sourceID=11","4.0862e-10")</f>
        <v>4.0862e-10</v>
      </c>
      <c r="L181" s="4" t="str">
        <f>HYPERLINK("http://141.218.60.56/~jnz1568/getInfo.php?workbook=05_01.xlsx&amp;sheet=A0&amp;row=181&amp;col=12&amp;number=&amp;sourceID=11","")</f>
        <v/>
      </c>
      <c r="M181" s="4" t="str">
        <f>HYPERLINK("http://141.218.60.56/~jnz1568/getInfo.php?workbook=05_01.xlsx&amp;sheet=A0&amp;row=181&amp;col=13&amp;number=7.4913e-11&amp;sourceID=11","7.4913e-11")</f>
        <v>7.4913e-11</v>
      </c>
      <c r="N181" s="4" t="str">
        <f>HYPERLINK("http://141.218.60.56/~jnz1568/getInfo.php?workbook=05_01.xlsx&amp;sheet=A0&amp;row=181&amp;col=14&amp;number=105.21&amp;sourceID=12","105.21")</f>
        <v>105.21</v>
      </c>
      <c r="O181" s="4" t="str">
        <f>HYPERLINK("http://141.218.60.56/~jnz1568/getInfo.php?workbook=05_01.xlsx&amp;sheet=A0&amp;row=181&amp;col=15&amp;number=&amp;sourceID=12","")</f>
        <v/>
      </c>
      <c r="P181" s="4" t="str">
        <f>HYPERLINK("http://141.218.60.56/~jnz1568/getInfo.php?workbook=05_01.xlsx&amp;sheet=A0&amp;row=181&amp;col=16&amp;number=105.21&amp;sourceID=12","105.21")</f>
        <v>105.21</v>
      </c>
      <c r="Q181" s="4" t="str">
        <f>HYPERLINK("http://141.218.60.56/~jnz1568/getInfo.php?workbook=05_01.xlsx&amp;sheet=A0&amp;row=181&amp;col=17&amp;number=&amp;sourceID=12","")</f>
        <v/>
      </c>
      <c r="R181" s="4" t="str">
        <f>HYPERLINK("http://141.218.60.56/~jnz1568/getInfo.php?workbook=05_01.xlsx&amp;sheet=A0&amp;row=181&amp;col=18&amp;number=4.0865e-10&amp;sourceID=12","4.0865e-10")</f>
        <v>4.0865e-10</v>
      </c>
      <c r="S181" s="4" t="str">
        <f>HYPERLINK("http://141.218.60.56/~jnz1568/getInfo.php?workbook=05_01.xlsx&amp;sheet=A0&amp;row=181&amp;col=19&amp;number=&amp;sourceID=12","")</f>
        <v/>
      </c>
      <c r="T181" s="4" t="str">
        <f>HYPERLINK("http://141.218.60.56/~jnz1568/getInfo.php?workbook=05_01.xlsx&amp;sheet=A0&amp;row=181&amp;col=20&amp;number=7.4917e-11&amp;sourceID=12","7.4917e-11")</f>
        <v>7.4917e-11</v>
      </c>
    </row>
    <row r="182" spans="1:20">
      <c r="A182" s="3">
        <v>5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HYPERLINK("http://141.218.60.56/~jnz1568/getInfo.php?workbook=05_01.xlsx&amp;sheet=A0&amp;row=182&amp;col=6&amp;number=&amp;sourceID=18","")</f>
        <v/>
      </c>
      <c r="G182" s="4" t="str">
        <f>HYPERLINK("http://141.218.60.56/~jnz1568/getInfo.php?workbook=05_01.xlsx&amp;sheet=A0&amp;row=182&amp;col=7&amp;number==&amp;sourceID=11","=")</f>
        <v>=</v>
      </c>
      <c r="H182" s="4" t="str">
        <f>HYPERLINK("http://141.218.60.56/~jnz1568/getInfo.php?workbook=05_01.xlsx&amp;sheet=A0&amp;row=182&amp;col=8&amp;number=106190000&amp;sourceID=11","106190000")</f>
        <v>106190000</v>
      </c>
      <c r="I182" s="4" t="str">
        <f>HYPERLINK("http://141.218.60.56/~jnz1568/getInfo.php?workbook=05_01.xlsx&amp;sheet=A0&amp;row=182&amp;col=9&amp;number=&amp;sourceID=11","")</f>
        <v/>
      </c>
      <c r="J182" s="4" t="str">
        <f>HYPERLINK("http://141.218.60.56/~jnz1568/getInfo.php?workbook=05_01.xlsx&amp;sheet=A0&amp;row=182&amp;col=10&amp;number=0.012028&amp;sourceID=11","0.012028")</f>
        <v>0.012028</v>
      </c>
      <c r="K182" s="4" t="str">
        <f>HYPERLINK("http://141.218.60.56/~jnz1568/getInfo.php?workbook=05_01.xlsx&amp;sheet=A0&amp;row=182&amp;col=11&amp;number=&amp;sourceID=11","")</f>
        <v/>
      </c>
      <c r="L182" s="4" t="str">
        <f>HYPERLINK("http://141.218.60.56/~jnz1568/getInfo.php?workbook=05_01.xlsx&amp;sheet=A0&amp;row=182&amp;col=12&amp;number=0.0057896&amp;sourceID=11","0.0057896")</f>
        <v>0.0057896</v>
      </c>
      <c r="M182" s="4" t="str">
        <f>HYPERLINK("http://141.218.60.56/~jnz1568/getInfo.php?workbook=05_01.xlsx&amp;sheet=A0&amp;row=182&amp;col=13&amp;number=&amp;sourceID=11","")</f>
        <v/>
      </c>
      <c r="N182" s="4" t="str">
        <f>HYPERLINK("http://141.218.60.56/~jnz1568/getInfo.php?workbook=05_01.xlsx&amp;sheet=A0&amp;row=182&amp;col=14&amp;number=106200000&amp;sourceID=12","106200000")</f>
        <v>106200000</v>
      </c>
      <c r="O182" s="4" t="str">
        <f>HYPERLINK("http://141.218.60.56/~jnz1568/getInfo.php?workbook=05_01.xlsx&amp;sheet=A0&amp;row=182&amp;col=15&amp;number=106200000&amp;sourceID=12","106200000")</f>
        <v>106200000</v>
      </c>
      <c r="P182" s="4" t="str">
        <f>HYPERLINK("http://141.218.60.56/~jnz1568/getInfo.php?workbook=05_01.xlsx&amp;sheet=A0&amp;row=182&amp;col=16&amp;number=&amp;sourceID=12","")</f>
        <v/>
      </c>
      <c r="Q182" s="4" t="str">
        <f>HYPERLINK("http://141.218.60.56/~jnz1568/getInfo.php?workbook=05_01.xlsx&amp;sheet=A0&amp;row=182&amp;col=17&amp;number=0.012029&amp;sourceID=12","0.012029")</f>
        <v>0.012029</v>
      </c>
      <c r="R182" s="4" t="str">
        <f>HYPERLINK("http://141.218.60.56/~jnz1568/getInfo.php?workbook=05_01.xlsx&amp;sheet=A0&amp;row=182&amp;col=18&amp;number=&amp;sourceID=12","")</f>
        <v/>
      </c>
      <c r="S182" s="4" t="str">
        <f>HYPERLINK("http://141.218.60.56/~jnz1568/getInfo.php?workbook=05_01.xlsx&amp;sheet=A0&amp;row=182&amp;col=19&amp;number=0.0057899&amp;sourceID=12","0.0057899")</f>
        <v>0.0057899</v>
      </c>
      <c r="T182" s="4" t="str">
        <f>HYPERLINK("http://141.218.60.56/~jnz1568/getInfo.php?workbook=05_01.xlsx&amp;sheet=A0&amp;row=182&amp;col=20&amp;number=&amp;sourceID=12","")</f>
        <v/>
      </c>
    </row>
    <row r="183" spans="1:20">
      <c r="A183" s="3">
        <v>5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HYPERLINK("http://141.218.60.56/~jnz1568/getInfo.php?workbook=05_01.xlsx&amp;sheet=A0&amp;row=183&amp;col=6&amp;number=&amp;sourceID=18","")</f>
        <v/>
      </c>
      <c r="G183" s="4" t="str">
        <f>HYPERLINK("http://141.218.60.56/~jnz1568/getInfo.php?workbook=05_01.xlsx&amp;sheet=A0&amp;row=183&amp;col=7&amp;number==&amp;sourceID=11","=")</f>
        <v>=</v>
      </c>
      <c r="H183" s="4" t="str">
        <f>HYPERLINK("http://141.218.60.56/~jnz1568/getInfo.php?workbook=05_01.xlsx&amp;sheet=A0&amp;row=183&amp;col=8&amp;number=&amp;sourceID=11","")</f>
        <v/>
      </c>
      <c r="I183" s="4" t="str">
        <f>HYPERLINK("http://141.218.60.56/~jnz1568/getInfo.php?workbook=05_01.xlsx&amp;sheet=A0&amp;row=183&amp;col=9&amp;number=631.31&amp;sourceID=11","631.31")</f>
        <v>631.31</v>
      </c>
      <c r="J183" s="4" t="str">
        <f>HYPERLINK("http://141.218.60.56/~jnz1568/getInfo.php?workbook=05_01.xlsx&amp;sheet=A0&amp;row=183&amp;col=10&amp;number=&amp;sourceID=11","")</f>
        <v/>
      </c>
      <c r="K183" s="4" t="str">
        <f>HYPERLINK("http://141.218.60.56/~jnz1568/getInfo.php?workbook=05_01.xlsx&amp;sheet=A0&amp;row=183&amp;col=11&amp;number=&amp;sourceID=11","")</f>
        <v/>
      </c>
      <c r="L183" s="4" t="str">
        <f>HYPERLINK("http://141.218.60.56/~jnz1568/getInfo.php?workbook=05_01.xlsx&amp;sheet=A0&amp;row=183&amp;col=12&amp;number=&amp;sourceID=11","")</f>
        <v/>
      </c>
      <c r="M183" s="4" t="str">
        <f>HYPERLINK("http://141.218.60.56/~jnz1568/getInfo.php?workbook=05_01.xlsx&amp;sheet=A0&amp;row=183&amp;col=13&amp;number=3.0339e-08&amp;sourceID=11","3.0339e-08")</f>
        <v>3.0339e-08</v>
      </c>
      <c r="N183" s="4" t="str">
        <f>HYPERLINK("http://141.218.60.56/~jnz1568/getInfo.php?workbook=05_01.xlsx&amp;sheet=A0&amp;row=183&amp;col=14&amp;number=631.34&amp;sourceID=12","631.34")</f>
        <v>631.34</v>
      </c>
      <c r="O183" s="4" t="str">
        <f>HYPERLINK("http://141.218.60.56/~jnz1568/getInfo.php?workbook=05_01.xlsx&amp;sheet=A0&amp;row=183&amp;col=15&amp;number=&amp;sourceID=12","")</f>
        <v/>
      </c>
      <c r="P183" s="4" t="str">
        <f>HYPERLINK("http://141.218.60.56/~jnz1568/getInfo.php?workbook=05_01.xlsx&amp;sheet=A0&amp;row=183&amp;col=16&amp;number=631.34&amp;sourceID=12","631.34")</f>
        <v>631.34</v>
      </c>
      <c r="Q183" s="4" t="str">
        <f>HYPERLINK("http://141.218.60.56/~jnz1568/getInfo.php?workbook=05_01.xlsx&amp;sheet=A0&amp;row=183&amp;col=17&amp;number=&amp;sourceID=12","")</f>
        <v/>
      </c>
      <c r="R183" s="4" t="str">
        <f>HYPERLINK("http://141.218.60.56/~jnz1568/getInfo.php?workbook=05_01.xlsx&amp;sheet=A0&amp;row=183&amp;col=18&amp;number=&amp;sourceID=12","")</f>
        <v/>
      </c>
      <c r="S183" s="4" t="str">
        <f>HYPERLINK("http://141.218.60.56/~jnz1568/getInfo.php?workbook=05_01.xlsx&amp;sheet=A0&amp;row=183&amp;col=19&amp;number=&amp;sourceID=12","")</f>
        <v/>
      </c>
      <c r="T183" s="4" t="str">
        <f>HYPERLINK("http://141.218.60.56/~jnz1568/getInfo.php?workbook=05_01.xlsx&amp;sheet=A0&amp;row=183&amp;col=20&amp;number=3.034e-08&amp;sourceID=12","3.034e-08")</f>
        <v>3.034e-08</v>
      </c>
    </row>
    <row r="184" spans="1:20">
      <c r="A184" s="3">
        <v>5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HYPERLINK("http://141.218.60.56/~jnz1568/getInfo.php?workbook=05_01.xlsx&amp;sheet=A0&amp;row=184&amp;col=6&amp;number=&amp;sourceID=18","")</f>
        <v/>
      </c>
      <c r="G184" s="4" t="str">
        <f>HYPERLINK("http://141.218.60.56/~jnz1568/getInfo.php?workbook=05_01.xlsx&amp;sheet=A0&amp;row=184&amp;col=7&amp;number==&amp;sourceID=11","=")</f>
        <v>=</v>
      </c>
      <c r="H184" s="4" t="str">
        <f>HYPERLINK("http://141.218.60.56/~jnz1568/getInfo.php?workbook=05_01.xlsx&amp;sheet=A0&amp;row=184&amp;col=8&amp;number=&amp;sourceID=11","")</f>
        <v/>
      </c>
      <c r="I184" s="4" t="str">
        <f>HYPERLINK("http://141.218.60.56/~jnz1568/getInfo.php?workbook=05_01.xlsx&amp;sheet=A0&amp;row=184&amp;col=9&amp;number=5.4e-14&amp;sourceID=11","5.4e-14")</f>
        <v>5.4e-14</v>
      </c>
      <c r="J184" s="4" t="str">
        <f>HYPERLINK("http://141.218.60.56/~jnz1568/getInfo.php?workbook=05_01.xlsx&amp;sheet=A0&amp;row=184&amp;col=10&amp;number=&amp;sourceID=11","")</f>
        <v/>
      </c>
      <c r="K184" s="4" t="str">
        <f>HYPERLINK("http://141.218.60.56/~jnz1568/getInfo.php?workbook=05_01.xlsx&amp;sheet=A0&amp;row=184&amp;col=11&amp;number=2.81e-08&amp;sourceID=11","2.81e-08")</f>
        <v>2.81e-08</v>
      </c>
      <c r="L184" s="4" t="str">
        <f>HYPERLINK("http://141.218.60.56/~jnz1568/getInfo.php?workbook=05_01.xlsx&amp;sheet=A0&amp;row=184&amp;col=12&amp;number=&amp;sourceID=11","")</f>
        <v/>
      </c>
      <c r="M184" s="4" t="str">
        <f>HYPERLINK("http://141.218.60.56/~jnz1568/getInfo.php?workbook=05_01.xlsx&amp;sheet=A0&amp;row=184&amp;col=13&amp;number=&amp;sourceID=11","")</f>
        <v/>
      </c>
      <c r="N184" s="4" t="str">
        <f>HYPERLINK("http://141.218.60.56/~jnz1568/getInfo.php?workbook=05_01.xlsx&amp;sheet=A0&amp;row=184&amp;col=14&amp;number=2.8106e-08&amp;sourceID=12","2.8106e-08")</f>
        <v>2.8106e-08</v>
      </c>
      <c r="O184" s="4" t="str">
        <f>HYPERLINK("http://141.218.60.56/~jnz1568/getInfo.php?workbook=05_01.xlsx&amp;sheet=A0&amp;row=184&amp;col=15&amp;number=&amp;sourceID=12","")</f>
        <v/>
      </c>
      <c r="P184" s="4" t="str">
        <f>HYPERLINK("http://141.218.60.56/~jnz1568/getInfo.php?workbook=05_01.xlsx&amp;sheet=A0&amp;row=184&amp;col=16&amp;number=5.4e-14&amp;sourceID=12","5.4e-14")</f>
        <v>5.4e-14</v>
      </c>
      <c r="Q184" s="4" t="str">
        <f>HYPERLINK("http://141.218.60.56/~jnz1568/getInfo.php?workbook=05_01.xlsx&amp;sheet=A0&amp;row=184&amp;col=17&amp;number=&amp;sourceID=12","")</f>
        <v/>
      </c>
      <c r="R184" s="4" t="str">
        <f>HYPERLINK("http://141.218.60.56/~jnz1568/getInfo.php?workbook=05_01.xlsx&amp;sheet=A0&amp;row=184&amp;col=18&amp;number=2.8106e-08&amp;sourceID=12","2.8106e-08")</f>
        <v>2.8106e-08</v>
      </c>
      <c r="S184" s="4" t="str">
        <f>HYPERLINK("http://141.218.60.56/~jnz1568/getInfo.php?workbook=05_01.xlsx&amp;sheet=A0&amp;row=184&amp;col=19&amp;number=&amp;sourceID=12","")</f>
        <v/>
      </c>
      <c r="T184" s="4" t="str">
        <f>HYPERLINK("http://141.218.60.56/~jnz1568/getInfo.php?workbook=05_01.xlsx&amp;sheet=A0&amp;row=184&amp;col=20&amp;number=&amp;sourceID=12","")</f>
        <v/>
      </c>
    </row>
    <row r="185" spans="1:20">
      <c r="A185" s="3">
        <v>5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HYPERLINK("http://141.218.60.56/~jnz1568/getInfo.php?workbook=05_01.xlsx&amp;sheet=A0&amp;row=185&amp;col=6&amp;number=&amp;sourceID=18","")</f>
        <v/>
      </c>
      <c r="G185" s="4" t="str">
        <f>HYPERLINK("http://141.218.60.56/~jnz1568/getInfo.php?workbook=05_01.xlsx&amp;sheet=A0&amp;row=185&amp;col=7&amp;number==&amp;sourceID=11","=")</f>
        <v>=</v>
      </c>
      <c r="H185" s="4" t="str">
        <f>HYPERLINK("http://141.218.60.56/~jnz1568/getInfo.php?workbook=05_01.xlsx&amp;sheet=A0&amp;row=185&amp;col=8&amp;number=0.11396&amp;sourceID=11","0.11396")</f>
        <v>0.11396</v>
      </c>
      <c r="I185" s="4" t="str">
        <f>HYPERLINK("http://141.218.60.56/~jnz1568/getInfo.php?workbook=05_01.xlsx&amp;sheet=A0&amp;row=185&amp;col=9&amp;number=&amp;sourceID=11","")</f>
        <v/>
      </c>
      <c r="J185" s="4" t="str">
        <f>HYPERLINK("http://141.218.60.56/~jnz1568/getInfo.php?workbook=05_01.xlsx&amp;sheet=A0&amp;row=185&amp;col=10&amp;number=&amp;sourceID=11","")</f>
        <v/>
      </c>
      <c r="K185" s="4" t="str">
        <f>HYPERLINK("http://141.218.60.56/~jnz1568/getInfo.php?workbook=05_01.xlsx&amp;sheet=A0&amp;row=185&amp;col=11&amp;number=&amp;sourceID=11","")</f>
        <v/>
      </c>
      <c r="L185" s="4" t="str">
        <f>HYPERLINK("http://141.218.60.56/~jnz1568/getInfo.php?workbook=05_01.xlsx&amp;sheet=A0&amp;row=185&amp;col=12&amp;number=0&amp;sourceID=11","0")</f>
        <v>0</v>
      </c>
      <c r="M185" s="4" t="str">
        <f>HYPERLINK("http://141.218.60.56/~jnz1568/getInfo.php?workbook=05_01.xlsx&amp;sheet=A0&amp;row=185&amp;col=13&amp;number=&amp;sourceID=11","")</f>
        <v/>
      </c>
      <c r="N185" s="4" t="str">
        <f>HYPERLINK("http://141.218.60.56/~jnz1568/getInfo.php?workbook=05_01.xlsx&amp;sheet=A0&amp;row=185&amp;col=14&amp;number=0.11398&amp;sourceID=12","0.11398")</f>
        <v>0.11398</v>
      </c>
      <c r="O185" s="4" t="str">
        <f>HYPERLINK("http://141.218.60.56/~jnz1568/getInfo.php?workbook=05_01.xlsx&amp;sheet=A0&amp;row=185&amp;col=15&amp;number=0.11398&amp;sourceID=12","0.11398")</f>
        <v>0.11398</v>
      </c>
      <c r="P185" s="4" t="str">
        <f>HYPERLINK("http://141.218.60.56/~jnz1568/getInfo.php?workbook=05_01.xlsx&amp;sheet=A0&amp;row=185&amp;col=16&amp;number=&amp;sourceID=12","")</f>
        <v/>
      </c>
      <c r="Q185" s="4" t="str">
        <f>HYPERLINK("http://141.218.60.56/~jnz1568/getInfo.php?workbook=05_01.xlsx&amp;sheet=A0&amp;row=185&amp;col=17&amp;number=&amp;sourceID=12","")</f>
        <v/>
      </c>
      <c r="R185" s="4" t="str">
        <f>HYPERLINK("http://141.218.60.56/~jnz1568/getInfo.php?workbook=05_01.xlsx&amp;sheet=A0&amp;row=185&amp;col=18&amp;number=&amp;sourceID=12","")</f>
        <v/>
      </c>
      <c r="S185" s="4" t="str">
        <f>HYPERLINK("http://141.218.60.56/~jnz1568/getInfo.php?workbook=05_01.xlsx&amp;sheet=A0&amp;row=185&amp;col=19&amp;number=0&amp;sourceID=12","0")</f>
        <v>0</v>
      </c>
      <c r="T185" s="4" t="str">
        <f>HYPERLINK("http://141.218.60.56/~jnz1568/getInfo.php?workbook=05_01.xlsx&amp;sheet=A0&amp;row=185&amp;col=20&amp;number=&amp;sourceID=12","")</f>
        <v/>
      </c>
    </row>
    <row r="186" spans="1:20">
      <c r="A186" s="3">
        <v>5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HYPERLINK("http://141.218.60.56/~jnz1568/getInfo.php?workbook=05_01.xlsx&amp;sheet=A0&amp;row=186&amp;col=6&amp;number=&amp;sourceID=18","")</f>
        <v/>
      </c>
      <c r="G186" s="4" t="str">
        <f>HYPERLINK("http://141.218.60.56/~jnz1568/getInfo.php?workbook=05_01.xlsx&amp;sheet=A0&amp;row=186&amp;col=7&amp;number==&amp;sourceID=11","=")</f>
        <v>=</v>
      </c>
      <c r="H186" s="4" t="str">
        <f>HYPERLINK("http://141.218.60.56/~jnz1568/getInfo.php?workbook=05_01.xlsx&amp;sheet=A0&amp;row=186&amp;col=8&amp;number=&amp;sourceID=11","")</f>
        <v/>
      </c>
      <c r="I186" s="4" t="str">
        <f>HYPERLINK("http://141.218.60.56/~jnz1568/getInfo.php?workbook=05_01.xlsx&amp;sheet=A0&amp;row=186&amp;col=9&amp;number=&amp;sourceID=11","")</f>
        <v/>
      </c>
      <c r="J186" s="4" t="str">
        <f>HYPERLINK("http://141.218.60.56/~jnz1568/getInfo.php?workbook=05_01.xlsx&amp;sheet=A0&amp;row=186&amp;col=10&amp;number=100.22&amp;sourceID=11","100.22")</f>
        <v>100.22</v>
      </c>
      <c r="K186" s="4" t="str">
        <f>HYPERLINK("http://141.218.60.56/~jnz1568/getInfo.php?workbook=05_01.xlsx&amp;sheet=A0&amp;row=186&amp;col=11&amp;number=&amp;sourceID=11","")</f>
        <v/>
      </c>
      <c r="L186" s="4" t="str">
        <f>HYPERLINK("http://141.218.60.56/~jnz1568/getInfo.php?workbook=05_01.xlsx&amp;sheet=A0&amp;row=186&amp;col=12&amp;number=3.4715e-07&amp;sourceID=11","3.4715e-07")</f>
        <v>3.4715e-07</v>
      </c>
      <c r="M186" s="4" t="str">
        <f>HYPERLINK("http://141.218.60.56/~jnz1568/getInfo.php?workbook=05_01.xlsx&amp;sheet=A0&amp;row=186&amp;col=13&amp;number=&amp;sourceID=11","")</f>
        <v/>
      </c>
      <c r="N186" s="4" t="str">
        <f>HYPERLINK("http://141.218.60.56/~jnz1568/getInfo.php?workbook=05_01.xlsx&amp;sheet=A0&amp;row=186&amp;col=14&amp;number=100.23&amp;sourceID=12","100.23")</f>
        <v>100.23</v>
      </c>
      <c r="O186" s="4" t="str">
        <f>HYPERLINK("http://141.218.60.56/~jnz1568/getInfo.php?workbook=05_01.xlsx&amp;sheet=A0&amp;row=186&amp;col=15&amp;number=&amp;sourceID=12","")</f>
        <v/>
      </c>
      <c r="P186" s="4" t="str">
        <f>HYPERLINK("http://141.218.60.56/~jnz1568/getInfo.php?workbook=05_01.xlsx&amp;sheet=A0&amp;row=186&amp;col=16&amp;number=&amp;sourceID=12","")</f>
        <v/>
      </c>
      <c r="Q186" s="4" t="str">
        <f>HYPERLINK("http://141.218.60.56/~jnz1568/getInfo.php?workbook=05_01.xlsx&amp;sheet=A0&amp;row=186&amp;col=17&amp;number=100.23&amp;sourceID=12","100.23")</f>
        <v>100.23</v>
      </c>
      <c r="R186" s="4" t="str">
        <f>HYPERLINK("http://141.218.60.56/~jnz1568/getInfo.php?workbook=05_01.xlsx&amp;sheet=A0&amp;row=186&amp;col=18&amp;number=&amp;sourceID=12","")</f>
        <v/>
      </c>
      <c r="S186" s="4" t="str">
        <f>HYPERLINK("http://141.218.60.56/~jnz1568/getInfo.php?workbook=05_01.xlsx&amp;sheet=A0&amp;row=186&amp;col=19&amp;number=3.5407e-07&amp;sourceID=12","3.5407e-07")</f>
        <v>3.5407e-07</v>
      </c>
      <c r="T186" s="4" t="str">
        <f>HYPERLINK("http://141.218.60.56/~jnz1568/getInfo.php?workbook=05_01.xlsx&amp;sheet=A0&amp;row=186&amp;col=20&amp;number=&amp;sourceID=12","")</f>
        <v/>
      </c>
    </row>
    <row r="187" spans="1:20">
      <c r="A187" s="3">
        <v>5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HYPERLINK("http://141.218.60.56/~jnz1568/getInfo.php?workbook=05_01.xlsx&amp;sheet=A0&amp;row=187&amp;col=6&amp;number=&amp;sourceID=18","")</f>
        <v/>
      </c>
      <c r="G187" s="4" t="str">
        <f>HYPERLINK("http://141.218.60.56/~jnz1568/getInfo.php?workbook=05_01.xlsx&amp;sheet=A0&amp;row=187&amp;col=7&amp;number==&amp;sourceID=11","=")</f>
        <v>=</v>
      </c>
      <c r="H187" s="4" t="str">
        <f>HYPERLINK("http://141.218.60.56/~jnz1568/getInfo.php?workbook=05_01.xlsx&amp;sheet=A0&amp;row=187&amp;col=8&amp;number=&amp;sourceID=11","")</f>
        <v/>
      </c>
      <c r="I187" s="4" t="str">
        <f>HYPERLINK("http://141.218.60.56/~jnz1568/getInfo.php?workbook=05_01.xlsx&amp;sheet=A0&amp;row=187&amp;col=9&amp;number=502210&amp;sourceID=11","502210")</f>
        <v>502210</v>
      </c>
      <c r="J187" s="4" t="str">
        <f>HYPERLINK("http://141.218.60.56/~jnz1568/getInfo.php?workbook=05_01.xlsx&amp;sheet=A0&amp;row=187&amp;col=10&amp;number=&amp;sourceID=11","")</f>
        <v/>
      </c>
      <c r="K187" s="4" t="str">
        <f>HYPERLINK("http://141.218.60.56/~jnz1568/getInfo.php?workbook=05_01.xlsx&amp;sheet=A0&amp;row=187&amp;col=11&amp;number=&amp;sourceID=11","")</f>
        <v/>
      </c>
      <c r="L187" s="4" t="str">
        <f>HYPERLINK("http://141.218.60.56/~jnz1568/getInfo.php?workbook=05_01.xlsx&amp;sheet=A0&amp;row=187&amp;col=12&amp;number=&amp;sourceID=11","")</f>
        <v/>
      </c>
      <c r="M187" s="4" t="str">
        <f>HYPERLINK("http://141.218.60.56/~jnz1568/getInfo.php?workbook=05_01.xlsx&amp;sheet=A0&amp;row=187&amp;col=13&amp;number=4.4538e-05&amp;sourceID=11","4.4538e-05")</f>
        <v>4.4538e-05</v>
      </c>
      <c r="N187" s="4" t="str">
        <f>HYPERLINK("http://141.218.60.56/~jnz1568/getInfo.php?workbook=05_01.xlsx&amp;sheet=A0&amp;row=187&amp;col=14&amp;number=502240&amp;sourceID=12","502240")</f>
        <v>502240</v>
      </c>
      <c r="O187" s="4" t="str">
        <f>HYPERLINK("http://141.218.60.56/~jnz1568/getInfo.php?workbook=05_01.xlsx&amp;sheet=A0&amp;row=187&amp;col=15&amp;number=&amp;sourceID=12","")</f>
        <v/>
      </c>
      <c r="P187" s="4" t="str">
        <f>HYPERLINK("http://141.218.60.56/~jnz1568/getInfo.php?workbook=05_01.xlsx&amp;sheet=A0&amp;row=187&amp;col=16&amp;number=502240&amp;sourceID=12","502240")</f>
        <v>502240</v>
      </c>
      <c r="Q187" s="4" t="str">
        <f>HYPERLINK("http://141.218.60.56/~jnz1568/getInfo.php?workbook=05_01.xlsx&amp;sheet=A0&amp;row=187&amp;col=17&amp;number=&amp;sourceID=12","")</f>
        <v/>
      </c>
      <c r="R187" s="4" t="str">
        <f>HYPERLINK("http://141.218.60.56/~jnz1568/getInfo.php?workbook=05_01.xlsx&amp;sheet=A0&amp;row=187&amp;col=18&amp;number=&amp;sourceID=12","")</f>
        <v/>
      </c>
      <c r="S187" s="4" t="str">
        <f>HYPERLINK("http://141.218.60.56/~jnz1568/getInfo.php?workbook=05_01.xlsx&amp;sheet=A0&amp;row=187&amp;col=19&amp;number=&amp;sourceID=12","")</f>
        <v/>
      </c>
      <c r="T187" s="4" t="str">
        <f>HYPERLINK("http://141.218.60.56/~jnz1568/getInfo.php?workbook=05_01.xlsx&amp;sheet=A0&amp;row=187&amp;col=20&amp;number=4.454e-05&amp;sourceID=12","4.454e-05")</f>
        <v>4.454e-05</v>
      </c>
    </row>
    <row r="188" spans="1:20">
      <c r="A188" s="3">
        <v>5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HYPERLINK("http://141.218.60.56/~jnz1568/getInfo.php?workbook=05_01.xlsx&amp;sheet=A0&amp;row=188&amp;col=6&amp;number=&amp;sourceID=18","")</f>
        <v/>
      </c>
      <c r="G188" s="4" t="str">
        <f>HYPERLINK("http://141.218.60.56/~jnz1568/getInfo.php?workbook=05_01.xlsx&amp;sheet=A0&amp;row=188&amp;col=7&amp;number==&amp;sourceID=11","=")</f>
        <v>=</v>
      </c>
      <c r="H188" s="4" t="str">
        <f>HYPERLINK("http://141.218.60.56/~jnz1568/getInfo.php?workbook=05_01.xlsx&amp;sheet=A0&amp;row=188&amp;col=8&amp;number=&amp;sourceID=11","")</f>
        <v/>
      </c>
      <c r="I188" s="4" t="str">
        <f>HYPERLINK("http://141.218.60.56/~jnz1568/getInfo.php?workbook=05_01.xlsx&amp;sheet=A0&amp;row=188&amp;col=9&amp;number=&amp;sourceID=11","")</f>
        <v/>
      </c>
      <c r="J188" s="4" t="str">
        <f>HYPERLINK("http://141.218.60.56/~jnz1568/getInfo.php?workbook=05_01.xlsx&amp;sheet=A0&amp;row=188&amp;col=10&amp;number=27.567&amp;sourceID=11","27.567")</f>
        <v>27.567</v>
      </c>
      <c r="K188" s="4" t="str">
        <f>HYPERLINK("http://141.218.60.56/~jnz1568/getInfo.php?workbook=05_01.xlsx&amp;sheet=A0&amp;row=188&amp;col=11&amp;number=&amp;sourceID=11","")</f>
        <v/>
      </c>
      <c r="L188" s="4" t="str">
        <f>HYPERLINK("http://141.218.60.56/~jnz1568/getInfo.php?workbook=05_01.xlsx&amp;sheet=A0&amp;row=188&amp;col=12&amp;number=1.7578e-08&amp;sourceID=11","1.7578e-08")</f>
        <v>1.7578e-08</v>
      </c>
      <c r="M188" s="4" t="str">
        <f>HYPERLINK("http://141.218.60.56/~jnz1568/getInfo.php?workbook=05_01.xlsx&amp;sheet=A0&amp;row=188&amp;col=13&amp;number=&amp;sourceID=11","")</f>
        <v/>
      </c>
      <c r="N188" s="4" t="str">
        <f>HYPERLINK("http://141.218.60.56/~jnz1568/getInfo.php?workbook=05_01.xlsx&amp;sheet=A0&amp;row=188&amp;col=14&amp;number=27.569&amp;sourceID=12","27.569")</f>
        <v>27.569</v>
      </c>
      <c r="O188" s="4" t="str">
        <f>HYPERLINK("http://141.218.60.56/~jnz1568/getInfo.php?workbook=05_01.xlsx&amp;sheet=A0&amp;row=188&amp;col=15&amp;number=&amp;sourceID=12","")</f>
        <v/>
      </c>
      <c r="P188" s="4" t="str">
        <f>HYPERLINK("http://141.218.60.56/~jnz1568/getInfo.php?workbook=05_01.xlsx&amp;sheet=A0&amp;row=188&amp;col=16&amp;number=&amp;sourceID=12","")</f>
        <v/>
      </c>
      <c r="Q188" s="4" t="str">
        <f>HYPERLINK("http://141.218.60.56/~jnz1568/getInfo.php?workbook=05_01.xlsx&amp;sheet=A0&amp;row=188&amp;col=17&amp;number=27.569&amp;sourceID=12","27.569")</f>
        <v>27.569</v>
      </c>
      <c r="R188" s="4" t="str">
        <f>HYPERLINK("http://141.218.60.56/~jnz1568/getInfo.php?workbook=05_01.xlsx&amp;sheet=A0&amp;row=188&amp;col=18&amp;number=&amp;sourceID=12","")</f>
        <v/>
      </c>
      <c r="S188" s="4" t="str">
        <f>HYPERLINK("http://141.218.60.56/~jnz1568/getInfo.php?workbook=05_01.xlsx&amp;sheet=A0&amp;row=188&amp;col=19&amp;number=1.7741e-08&amp;sourceID=12","1.7741e-08")</f>
        <v>1.7741e-08</v>
      </c>
      <c r="T188" s="4" t="str">
        <f>HYPERLINK("http://141.218.60.56/~jnz1568/getInfo.php?workbook=05_01.xlsx&amp;sheet=A0&amp;row=188&amp;col=20&amp;number=&amp;sourceID=12","")</f>
        <v/>
      </c>
    </row>
    <row r="189" spans="1:20">
      <c r="A189" s="3">
        <v>5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HYPERLINK("http://141.218.60.56/~jnz1568/getInfo.php?workbook=05_01.xlsx&amp;sheet=A0&amp;row=189&amp;col=6&amp;number=&amp;sourceID=18","")</f>
        <v/>
      </c>
      <c r="G189" s="4" t="str">
        <f>HYPERLINK("http://141.218.60.56/~jnz1568/getInfo.php?workbook=05_01.xlsx&amp;sheet=A0&amp;row=189&amp;col=7&amp;number==&amp;sourceID=11","=")</f>
        <v>=</v>
      </c>
      <c r="H189" s="4" t="str">
        <f>HYPERLINK("http://141.218.60.56/~jnz1568/getInfo.php?workbook=05_01.xlsx&amp;sheet=A0&amp;row=189&amp;col=8&amp;number=&amp;sourceID=11","")</f>
        <v/>
      </c>
      <c r="I189" s="4" t="str">
        <f>HYPERLINK("http://141.218.60.56/~jnz1568/getInfo.php?workbook=05_01.xlsx&amp;sheet=A0&amp;row=189&amp;col=9&amp;number=143450&amp;sourceID=11","143450")</f>
        <v>143450</v>
      </c>
      <c r="J189" s="4" t="str">
        <f>HYPERLINK("http://141.218.60.56/~jnz1568/getInfo.php?workbook=05_01.xlsx&amp;sheet=A0&amp;row=189&amp;col=10&amp;number=&amp;sourceID=11","")</f>
        <v/>
      </c>
      <c r="K189" s="4" t="str">
        <f>HYPERLINK("http://141.218.60.56/~jnz1568/getInfo.php?workbook=05_01.xlsx&amp;sheet=A0&amp;row=189&amp;col=11&amp;number=0.00037767&amp;sourceID=11","0.00037767")</f>
        <v>0.00037767</v>
      </c>
      <c r="L189" s="4" t="str">
        <f>HYPERLINK("http://141.218.60.56/~jnz1568/getInfo.php?workbook=05_01.xlsx&amp;sheet=A0&amp;row=189&amp;col=12&amp;number=&amp;sourceID=11","")</f>
        <v/>
      </c>
      <c r="M189" s="4" t="str">
        <f>HYPERLINK("http://141.218.60.56/~jnz1568/getInfo.php?workbook=05_01.xlsx&amp;sheet=A0&amp;row=189&amp;col=13&amp;number=8.9009e-06&amp;sourceID=11","8.9009e-06")</f>
        <v>8.9009e-06</v>
      </c>
      <c r="N189" s="4" t="str">
        <f>HYPERLINK("http://141.218.60.56/~jnz1568/getInfo.php?workbook=05_01.xlsx&amp;sheet=A0&amp;row=189&amp;col=14&amp;number=143460&amp;sourceID=12","143460")</f>
        <v>143460</v>
      </c>
      <c r="O189" s="4" t="str">
        <f>HYPERLINK("http://141.218.60.56/~jnz1568/getInfo.php?workbook=05_01.xlsx&amp;sheet=A0&amp;row=189&amp;col=15&amp;number=&amp;sourceID=12","")</f>
        <v/>
      </c>
      <c r="P189" s="4" t="str">
        <f>HYPERLINK("http://141.218.60.56/~jnz1568/getInfo.php?workbook=05_01.xlsx&amp;sheet=A0&amp;row=189&amp;col=16&amp;number=143460&amp;sourceID=12","143460")</f>
        <v>143460</v>
      </c>
      <c r="Q189" s="4" t="str">
        <f>HYPERLINK("http://141.218.60.56/~jnz1568/getInfo.php?workbook=05_01.xlsx&amp;sheet=A0&amp;row=189&amp;col=17&amp;number=&amp;sourceID=12","")</f>
        <v/>
      </c>
      <c r="R189" s="4" t="str">
        <f>HYPERLINK("http://141.218.60.56/~jnz1568/getInfo.php?workbook=05_01.xlsx&amp;sheet=A0&amp;row=189&amp;col=18&amp;number=0.00037898&amp;sourceID=12","0.00037898")</f>
        <v>0.00037898</v>
      </c>
      <c r="S189" s="4" t="str">
        <f>HYPERLINK("http://141.218.60.56/~jnz1568/getInfo.php?workbook=05_01.xlsx&amp;sheet=A0&amp;row=189&amp;col=19&amp;number=&amp;sourceID=12","")</f>
        <v/>
      </c>
      <c r="T189" s="4" t="str">
        <f>HYPERLINK("http://141.218.60.56/~jnz1568/getInfo.php?workbook=05_01.xlsx&amp;sheet=A0&amp;row=189&amp;col=20&amp;number=8.9014e-06&amp;sourceID=12","8.9014e-06")</f>
        <v>8.9014e-06</v>
      </c>
    </row>
    <row r="190" spans="1:20">
      <c r="A190" s="3">
        <v>5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HYPERLINK("http://141.218.60.56/~jnz1568/getInfo.php?workbook=05_01.xlsx&amp;sheet=A0&amp;row=190&amp;col=6&amp;number=&amp;sourceID=18","")</f>
        <v/>
      </c>
      <c r="G190" s="4" t="str">
        <f>HYPERLINK("http://141.218.60.56/~jnz1568/getInfo.php?workbook=05_01.xlsx&amp;sheet=A0&amp;row=190&amp;col=7&amp;number==&amp;sourceID=11","=")</f>
        <v>=</v>
      </c>
      <c r="H190" s="4" t="str">
        <f>HYPERLINK("http://141.218.60.56/~jnz1568/getInfo.php?workbook=05_01.xlsx&amp;sheet=A0&amp;row=190&amp;col=8&amp;number=&amp;sourceID=11","")</f>
        <v/>
      </c>
      <c r="I190" s="4" t="str">
        <f>HYPERLINK("http://141.218.60.56/~jnz1568/getInfo.php?workbook=05_01.xlsx&amp;sheet=A0&amp;row=190&amp;col=9&amp;number=322.49&amp;sourceID=11","322.49")</f>
        <v>322.49</v>
      </c>
      <c r="J190" s="4" t="str">
        <f>HYPERLINK("http://141.218.60.56/~jnz1568/getInfo.php?workbook=05_01.xlsx&amp;sheet=A0&amp;row=190&amp;col=10&amp;number=&amp;sourceID=11","")</f>
        <v/>
      </c>
      <c r="K190" s="4" t="str">
        <f>HYPERLINK("http://141.218.60.56/~jnz1568/getInfo.php?workbook=05_01.xlsx&amp;sheet=A0&amp;row=190&amp;col=11&amp;number=&amp;sourceID=11","")</f>
        <v/>
      </c>
      <c r="L190" s="4" t="str">
        <f>HYPERLINK("http://141.218.60.56/~jnz1568/getInfo.php?workbook=05_01.xlsx&amp;sheet=A0&amp;row=190&amp;col=12&amp;number=&amp;sourceID=11","")</f>
        <v/>
      </c>
      <c r="M190" s="4" t="str">
        <f>HYPERLINK("http://141.218.60.56/~jnz1568/getInfo.php?workbook=05_01.xlsx&amp;sheet=A0&amp;row=190&amp;col=13&amp;number=3.2768e-09&amp;sourceID=11","3.2768e-09")</f>
        <v>3.2768e-09</v>
      </c>
      <c r="N190" s="4" t="str">
        <f>HYPERLINK("http://141.218.60.56/~jnz1568/getInfo.php?workbook=05_01.xlsx&amp;sheet=A0&amp;row=190&amp;col=14&amp;number=322.51&amp;sourceID=12","322.51")</f>
        <v>322.51</v>
      </c>
      <c r="O190" s="4" t="str">
        <f>HYPERLINK("http://141.218.60.56/~jnz1568/getInfo.php?workbook=05_01.xlsx&amp;sheet=A0&amp;row=190&amp;col=15&amp;number=&amp;sourceID=12","")</f>
        <v/>
      </c>
      <c r="P190" s="4" t="str">
        <f>HYPERLINK("http://141.218.60.56/~jnz1568/getInfo.php?workbook=05_01.xlsx&amp;sheet=A0&amp;row=190&amp;col=16&amp;number=322.51&amp;sourceID=12","322.51")</f>
        <v>322.51</v>
      </c>
      <c r="Q190" s="4" t="str">
        <f>HYPERLINK("http://141.218.60.56/~jnz1568/getInfo.php?workbook=05_01.xlsx&amp;sheet=A0&amp;row=190&amp;col=17&amp;number=&amp;sourceID=12","")</f>
        <v/>
      </c>
      <c r="R190" s="4" t="str">
        <f>HYPERLINK("http://141.218.60.56/~jnz1568/getInfo.php?workbook=05_01.xlsx&amp;sheet=A0&amp;row=190&amp;col=18&amp;number=&amp;sourceID=12","")</f>
        <v/>
      </c>
      <c r="S190" s="4" t="str">
        <f>HYPERLINK("http://141.218.60.56/~jnz1568/getInfo.php?workbook=05_01.xlsx&amp;sheet=A0&amp;row=190&amp;col=19&amp;number=&amp;sourceID=12","")</f>
        <v/>
      </c>
      <c r="T190" s="4" t="str">
        <f>HYPERLINK("http://141.218.60.56/~jnz1568/getInfo.php?workbook=05_01.xlsx&amp;sheet=A0&amp;row=190&amp;col=20&amp;number=3.277e-09&amp;sourceID=12","3.277e-09")</f>
        <v>3.277e-09</v>
      </c>
    </row>
    <row r="191" spans="1:20">
      <c r="A191" s="3">
        <v>5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HYPERLINK("http://141.218.60.56/~jnz1568/getInfo.php?workbook=05_01.xlsx&amp;sheet=A0&amp;row=191&amp;col=6&amp;number=&amp;sourceID=18","")</f>
        <v/>
      </c>
      <c r="G191" s="4" t="str">
        <f>HYPERLINK("http://141.218.60.56/~jnz1568/getInfo.php?workbook=05_01.xlsx&amp;sheet=A0&amp;row=191&amp;col=7&amp;number==&amp;sourceID=11","=")</f>
        <v>=</v>
      </c>
      <c r="H191" s="4" t="str">
        <f>HYPERLINK("http://141.218.60.56/~jnz1568/getInfo.php?workbook=05_01.xlsx&amp;sheet=A0&amp;row=191&amp;col=8&amp;number=&amp;sourceID=11","")</f>
        <v/>
      </c>
      <c r="I191" s="4" t="str">
        <f>HYPERLINK("http://141.218.60.56/~jnz1568/getInfo.php?workbook=05_01.xlsx&amp;sheet=A0&amp;row=191&amp;col=9&amp;number=&amp;sourceID=11","")</f>
        <v/>
      </c>
      <c r="J191" s="4" t="str">
        <f>HYPERLINK("http://141.218.60.56/~jnz1568/getInfo.php?workbook=05_01.xlsx&amp;sheet=A0&amp;row=191&amp;col=10&amp;number=0.41535&amp;sourceID=11","0.41535")</f>
        <v>0.41535</v>
      </c>
      <c r="K191" s="4" t="str">
        <f>HYPERLINK("http://141.218.60.56/~jnz1568/getInfo.php?workbook=05_01.xlsx&amp;sheet=A0&amp;row=191&amp;col=11&amp;number=&amp;sourceID=11","")</f>
        <v/>
      </c>
      <c r="L191" s="4" t="str">
        <f>HYPERLINK("http://141.218.60.56/~jnz1568/getInfo.php?workbook=05_01.xlsx&amp;sheet=A0&amp;row=191&amp;col=12&amp;number=2.0044e-11&amp;sourceID=11","2.0044e-11")</f>
        <v>2.0044e-11</v>
      </c>
      <c r="M191" s="4" t="str">
        <f>HYPERLINK("http://141.218.60.56/~jnz1568/getInfo.php?workbook=05_01.xlsx&amp;sheet=A0&amp;row=191&amp;col=13&amp;number=&amp;sourceID=11","")</f>
        <v/>
      </c>
      <c r="N191" s="4" t="str">
        <f>HYPERLINK("http://141.218.60.56/~jnz1568/getInfo.php?workbook=05_01.xlsx&amp;sheet=A0&amp;row=191&amp;col=14&amp;number=0.41537&amp;sourceID=12","0.41537")</f>
        <v>0.41537</v>
      </c>
      <c r="O191" s="4" t="str">
        <f>HYPERLINK("http://141.218.60.56/~jnz1568/getInfo.php?workbook=05_01.xlsx&amp;sheet=A0&amp;row=191&amp;col=15&amp;number=&amp;sourceID=12","")</f>
        <v/>
      </c>
      <c r="P191" s="4" t="str">
        <f>HYPERLINK("http://141.218.60.56/~jnz1568/getInfo.php?workbook=05_01.xlsx&amp;sheet=A0&amp;row=191&amp;col=16&amp;number=&amp;sourceID=12","")</f>
        <v/>
      </c>
      <c r="Q191" s="4" t="str">
        <f>HYPERLINK("http://141.218.60.56/~jnz1568/getInfo.php?workbook=05_01.xlsx&amp;sheet=A0&amp;row=191&amp;col=17&amp;number=0.41537&amp;sourceID=12","0.41537")</f>
        <v>0.41537</v>
      </c>
      <c r="R191" s="4" t="str">
        <f>HYPERLINK("http://141.218.60.56/~jnz1568/getInfo.php?workbook=05_01.xlsx&amp;sheet=A0&amp;row=191&amp;col=18&amp;number=&amp;sourceID=12","")</f>
        <v/>
      </c>
      <c r="S191" s="4" t="str">
        <f>HYPERLINK("http://141.218.60.56/~jnz1568/getInfo.php?workbook=05_01.xlsx&amp;sheet=A0&amp;row=191&amp;col=19&amp;number=2.007e-11&amp;sourceID=12","2.007e-11")</f>
        <v>2.007e-11</v>
      </c>
      <c r="T191" s="4" t="str">
        <f>HYPERLINK("http://141.218.60.56/~jnz1568/getInfo.php?workbook=05_01.xlsx&amp;sheet=A0&amp;row=191&amp;col=20&amp;number=&amp;sourceID=12","")</f>
        <v/>
      </c>
    </row>
    <row r="192" spans="1:20">
      <c r="A192" s="3">
        <v>5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HYPERLINK("http://141.218.60.56/~jnz1568/getInfo.php?workbook=05_01.xlsx&amp;sheet=A0&amp;row=192&amp;col=6&amp;number=&amp;sourceID=18","")</f>
        <v/>
      </c>
      <c r="G192" s="4" t="str">
        <f>HYPERLINK("http://141.218.60.56/~jnz1568/getInfo.php?workbook=05_01.xlsx&amp;sheet=A0&amp;row=192&amp;col=7&amp;number==&amp;sourceID=11","=")</f>
        <v>=</v>
      </c>
      <c r="H192" s="4" t="str">
        <f>HYPERLINK("http://141.218.60.56/~jnz1568/getInfo.php?workbook=05_01.xlsx&amp;sheet=A0&amp;row=192&amp;col=8&amp;number=2651600000&amp;sourceID=11","2651600000")</f>
        <v>2651600000</v>
      </c>
      <c r="I192" s="4" t="str">
        <f>HYPERLINK("http://141.218.60.56/~jnz1568/getInfo.php?workbook=05_01.xlsx&amp;sheet=A0&amp;row=192&amp;col=9&amp;number=&amp;sourceID=11","")</f>
        <v/>
      </c>
      <c r="J192" s="4" t="str">
        <f>HYPERLINK("http://141.218.60.56/~jnz1568/getInfo.php?workbook=05_01.xlsx&amp;sheet=A0&amp;row=192&amp;col=10&amp;number=0.010898&amp;sourceID=11","0.010898")</f>
        <v>0.010898</v>
      </c>
      <c r="K192" s="4" t="str">
        <f>HYPERLINK("http://141.218.60.56/~jnz1568/getInfo.php?workbook=05_01.xlsx&amp;sheet=A0&amp;row=192&amp;col=11&amp;number=&amp;sourceID=11","")</f>
        <v/>
      </c>
      <c r="L192" s="4" t="str">
        <f>HYPERLINK("http://141.218.60.56/~jnz1568/getInfo.php?workbook=05_01.xlsx&amp;sheet=A0&amp;row=192&amp;col=12&amp;number=0.26526&amp;sourceID=11","0.26526")</f>
        <v>0.26526</v>
      </c>
      <c r="M192" s="4" t="str">
        <f>HYPERLINK("http://141.218.60.56/~jnz1568/getInfo.php?workbook=05_01.xlsx&amp;sheet=A0&amp;row=192&amp;col=13&amp;number=&amp;sourceID=11","")</f>
        <v/>
      </c>
      <c r="N192" s="4" t="str">
        <f>HYPERLINK("http://141.218.60.56/~jnz1568/getInfo.php?workbook=05_01.xlsx&amp;sheet=A0&amp;row=192&amp;col=14&amp;number=2651700000&amp;sourceID=12","2651700000")</f>
        <v>2651700000</v>
      </c>
      <c r="O192" s="4" t="str">
        <f>HYPERLINK("http://141.218.60.56/~jnz1568/getInfo.php?workbook=05_01.xlsx&amp;sheet=A0&amp;row=192&amp;col=15&amp;number=2651700000&amp;sourceID=12","2651700000")</f>
        <v>2651700000</v>
      </c>
      <c r="P192" s="4" t="str">
        <f>HYPERLINK("http://141.218.60.56/~jnz1568/getInfo.php?workbook=05_01.xlsx&amp;sheet=A0&amp;row=192&amp;col=16&amp;number=&amp;sourceID=12","")</f>
        <v/>
      </c>
      <c r="Q192" s="4" t="str">
        <f>HYPERLINK("http://141.218.60.56/~jnz1568/getInfo.php?workbook=05_01.xlsx&amp;sheet=A0&amp;row=192&amp;col=17&amp;number=0.010899&amp;sourceID=12","0.010899")</f>
        <v>0.010899</v>
      </c>
      <c r="R192" s="4" t="str">
        <f>HYPERLINK("http://141.218.60.56/~jnz1568/getInfo.php?workbook=05_01.xlsx&amp;sheet=A0&amp;row=192&amp;col=18&amp;number=&amp;sourceID=12","")</f>
        <v/>
      </c>
      <c r="S192" s="4" t="str">
        <f>HYPERLINK("http://141.218.60.56/~jnz1568/getInfo.php?workbook=05_01.xlsx&amp;sheet=A0&amp;row=192&amp;col=19&amp;number=0.26527&amp;sourceID=12","0.26527")</f>
        <v>0.26527</v>
      </c>
      <c r="T192" s="4" t="str">
        <f>HYPERLINK("http://141.218.60.56/~jnz1568/getInfo.php?workbook=05_01.xlsx&amp;sheet=A0&amp;row=192&amp;col=20&amp;number=&amp;sourceID=12","")</f>
        <v/>
      </c>
    </row>
    <row r="193" spans="1:20">
      <c r="A193" s="3">
        <v>5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HYPERLINK("http://141.218.60.56/~jnz1568/getInfo.php?workbook=05_01.xlsx&amp;sheet=A0&amp;row=193&amp;col=6&amp;number=&amp;sourceID=18","")</f>
        <v/>
      </c>
      <c r="G193" s="4" t="str">
        <f>HYPERLINK("http://141.218.60.56/~jnz1568/getInfo.php?workbook=05_01.xlsx&amp;sheet=A0&amp;row=193&amp;col=7&amp;number==&amp;sourceID=11","=")</f>
        <v>=</v>
      </c>
      <c r="H193" s="4" t="str">
        <f>HYPERLINK("http://141.218.60.56/~jnz1568/getInfo.php?workbook=05_01.xlsx&amp;sheet=A0&amp;row=193&amp;col=8&amp;number=&amp;sourceID=11","")</f>
        <v/>
      </c>
      <c r="I193" s="4" t="str">
        <f>HYPERLINK("http://141.218.60.56/~jnz1568/getInfo.php?workbook=05_01.xlsx&amp;sheet=A0&amp;row=193&amp;col=9&amp;number=89.989&amp;sourceID=11","89.989")</f>
        <v>89.989</v>
      </c>
      <c r="J193" s="4" t="str">
        <f>HYPERLINK("http://141.218.60.56/~jnz1568/getInfo.php?workbook=05_01.xlsx&amp;sheet=A0&amp;row=193&amp;col=10&amp;number=&amp;sourceID=11","")</f>
        <v/>
      </c>
      <c r="K193" s="4" t="str">
        <f>HYPERLINK("http://141.218.60.56/~jnz1568/getInfo.php?workbook=05_01.xlsx&amp;sheet=A0&amp;row=193&amp;col=11&amp;number=6.6377e-06&amp;sourceID=11","6.6377e-06")</f>
        <v>6.6377e-06</v>
      </c>
      <c r="L193" s="4" t="str">
        <f>HYPERLINK("http://141.218.60.56/~jnz1568/getInfo.php?workbook=05_01.xlsx&amp;sheet=A0&amp;row=193&amp;col=12&amp;number=&amp;sourceID=11","")</f>
        <v/>
      </c>
      <c r="M193" s="4" t="str">
        <f>HYPERLINK("http://141.218.60.56/~jnz1568/getInfo.php?workbook=05_01.xlsx&amp;sheet=A0&amp;row=193&amp;col=13&amp;number=6.3993e-10&amp;sourceID=11","6.3993e-10")</f>
        <v>6.3993e-10</v>
      </c>
      <c r="N193" s="4" t="str">
        <f>HYPERLINK("http://141.218.60.56/~jnz1568/getInfo.php?workbook=05_01.xlsx&amp;sheet=A0&amp;row=193&amp;col=14&amp;number=89.994&amp;sourceID=12","89.994")</f>
        <v>89.994</v>
      </c>
      <c r="O193" s="4" t="str">
        <f>HYPERLINK("http://141.218.60.56/~jnz1568/getInfo.php?workbook=05_01.xlsx&amp;sheet=A0&amp;row=193&amp;col=15&amp;number=&amp;sourceID=12","")</f>
        <v/>
      </c>
      <c r="P193" s="4" t="str">
        <f>HYPERLINK("http://141.218.60.56/~jnz1568/getInfo.php?workbook=05_01.xlsx&amp;sheet=A0&amp;row=193&amp;col=16&amp;number=89.994&amp;sourceID=12","89.994")</f>
        <v>89.994</v>
      </c>
      <c r="Q193" s="4" t="str">
        <f>HYPERLINK("http://141.218.60.56/~jnz1568/getInfo.php?workbook=05_01.xlsx&amp;sheet=A0&amp;row=193&amp;col=17&amp;number=&amp;sourceID=12","")</f>
        <v/>
      </c>
      <c r="R193" s="4" t="str">
        <f>HYPERLINK("http://141.218.60.56/~jnz1568/getInfo.php?workbook=05_01.xlsx&amp;sheet=A0&amp;row=193&amp;col=18&amp;number=6.6385e-06&amp;sourceID=12","6.6385e-06")</f>
        <v>6.6385e-06</v>
      </c>
      <c r="S193" s="4" t="str">
        <f>HYPERLINK("http://141.218.60.56/~jnz1568/getInfo.php?workbook=05_01.xlsx&amp;sheet=A0&amp;row=193&amp;col=19&amp;number=&amp;sourceID=12","")</f>
        <v/>
      </c>
      <c r="T193" s="4" t="str">
        <f>HYPERLINK("http://141.218.60.56/~jnz1568/getInfo.php?workbook=05_01.xlsx&amp;sheet=A0&amp;row=193&amp;col=20&amp;number=6.3996e-10&amp;sourceID=12","6.3996e-10")</f>
        <v>6.3996e-10</v>
      </c>
    </row>
    <row r="194" spans="1:20">
      <c r="A194" s="3">
        <v>5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HYPERLINK("http://141.218.60.56/~jnz1568/getInfo.php?workbook=05_01.xlsx&amp;sheet=A0&amp;row=194&amp;col=6&amp;number=&amp;sourceID=18","")</f>
        <v/>
      </c>
      <c r="G194" s="4" t="str">
        <f>HYPERLINK("http://141.218.60.56/~jnz1568/getInfo.php?workbook=05_01.xlsx&amp;sheet=A0&amp;row=194&amp;col=7&amp;number==&amp;sourceID=11","=")</f>
        <v>=</v>
      </c>
      <c r="H194" s="4" t="str">
        <f>HYPERLINK("http://141.218.60.56/~jnz1568/getInfo.php?workbook=05_01.xlsx&amp;sheet=A0&amp;row=194&amp;col=8&amp;number=189310000&amp;sourceID=11","189310000")</f>
        <v>189310000</v>
      </c>
      <c r="I194" s="4" t="str">
        <f>HYPERLINK("http://141.218.60.56/~jnz1568/getInfo.php?workbook=05_01.xlsx&amp;sheet=A0&amp;row=194&amp;col=9&amp;number=&amp;sourceID=11","")</f>
        <v/>
      </c>
      <c r="J194" s="4" t="str">
        <f>HYPERLINK("http://141.218.60.56/~jnz1568/getInfo.php?workbook=05_01.xlsx&amp;sheet=A0&amp;row=194&amp;col=10&amp;number=0.0072818&amp;sourceID=11","0.0072818")</f>
        <v>0.0072818</v>
      </c>
      <c r="K194" s="4" t="str">
        <f>HYPERLINK("http://141.218.60.56/~jnz1568/getInfo.php?workbook=05_01.xlsx&amp;sheet=A0&amp;row=194&amp;col=11&amp;number=&amp;sourceID=11","")</f>
        <v/>
      </c>
      <c r="L194" s="4" t="str">
        <f>HYPERLINK("http://141.218.60.56/~jnz1568/getInfo.php?workbook=05_01.xlsx&amp;sheet=A0&amp;row=194&amp;col=12&amp;number=&amp;sourceID=11","")</f>
        <v/>
      </c>
      <c r="M194" s="4" t="str">
        <f>HYPERLINK("http://141.218.60.56/~jnz1568/getInfo.php?workbook=05_01.xlsx&amp;sheet=A0&amp;row=194&amp;col=13&amp;number=&amp;sourceID=11","")</f>
        <v/>
      </c>
      <c r="N194" s="4" t="str">
        <f>HYPERLINK("http://141.218.60.56/~jnz1568/getInfo.php?workbook=05_01.xlsx&amp;sheet=A0&amp;row=194&amp;col=14&amp;number=189320000&amp;sourceID=12","189320000")</f>
        <v>189320000</v>
      </c>
      <c r="O194" s="4" t="str">
        <f>HYPERLINK("http://141.218.60.56/~jnz1568/getInfo.php?workbook=05_01.xlsx&amp;sheet=A0&amp;row=194&amp;col=15&amp;number=189320000&amp;sourceID=12","189320000")</f>
        <v>189320000</v>
      </c>
      <c r="P194" s="4" t="str">
        <f>HYPERLINK("http://141.218.60.56/~jnz1568/getInfo.php?workbook=05_01.xlsx&amp;sheet=A0&amp;row=194&amp;col=16&amp;number=&amp;sourceID=12","")</f>
        <v/>
      </c>
      <c r="Q194" s="4" t="str">
        <f>HYPERLINK("http://141.218.60.56/~jnz1568/getInfo.php?workbook=05_01.xlsx&amp;sheet=A0&amp;row=194&amp;col=17&amp;number=0.0072821&amp;sourceID=12","0.0072821")</f>
        <v>0.0072821</v>
      </c>
      <c r="R194" s="4" t="str">
        <f>HYPERLINK("http://141.218.60.56/~jnz1568/getInfo.php?workbook=05_01.xlsx&amp;sheet=A0&amp;row=194&amp;col=18&amp;number=&amp;sourceID=12","")</f>
        <v/>
      </c>
      <c r="S194" s="4" t="str">
        <f>HYPERLINK("http://141.218.60.56/~jnz1568/getInfo.php?workbook=05_01.xlsx&amp;sheet=A0&amp;row=194&amp;col=19&amp;number=&amp;sourceID=12","")</f>
        <v/>
      </c>
      <c r="T194" s="4" t="str">
        <f>HYPERLINK("http://141.218.60.56/~jnz1568/getInfo.php?workbook=05_01.xlsx&amp;sheet=A0&amp;row=194&amp;col=20&amp;number=&amp;sourceID=12","")</f>
        <v/>
      </c>
    </row>
    <row r="195" spans="1:20">
      <c r="A195" s="3">
        <v>5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HYPERLINK("http://141.218.60.56/~jnz1568/getInfo.php?workbook=05_01.xlsx&amp;sheet=A0&amp;row=195&amp;col=6&amp;number=&amp;sourceID=18","")</f>
        <v/>
      </c>
      <c r="G195" s="4" t="str">
        <f>HYPERLINK("http://141.218.60.56/~jnz1568/getInfo.php?workbook=05_01.xlsx&amp;sheet=A0&amp;row=195&amp;col=7&amp;number==&amp;sourceID=11","=")</f>
        <v>=</v>
      </c>
      <c r="H195" s="4" t="str">
        <f>HYPERLINK("http://141.218.60.56/~jnz1568/getInfo.php?workbook=05_01.xlsx&amp;sheet=A0&amp;row=195&amp;col=8&amp;number=&amp;sourceID=11","")</f>
        <v/>
      </c>
      <c r="I195" s="4" t="str">
        <f>HYPERLINK("http://141.218.60.56/~jnz1568/getInfo.php?workbook=05_01.xlsx&amp;sheet=A0&amp;row=195&amp;col=9&amp;number=11409&amp;sourceID=11","11409")</f>
        <v>11409</v>
      </c>
      <c r="J195" s="4" t="str">
        <f>HYPERLINK("http://141.218.60.56/~jnz1568/getInfo.php?workbook=05_01.xlsx&amp;sheet=A0&amp;row=195&amp;col=10&amp;number=&amp;sourceID=11","")</f>
        <v/>
      </c>
      <c r="K195" s="4" t="str">
        <f>HYPERLINK("http://141.218.60.56/~jnz1568/getInfo.php?workbook=05_01.xlsx&amp;sheet=A0&amp;row=195&amp;col=11&amp;number=&amp;sourceID=11","")</f>
        <v/>
      </c>
      <c r="L195" s="4" t="str">
        <f>HYPERLINK("http://141.218.60.56/~jnz1568/getInfo.php?workbook=05_01.xlsx&amp;sheet=A0&amp;row=195&amp;col=12&amp;number=&amp;sourceID=11","")</f>
        <v/>
      </c>
      <c r="M195" s="4" t="str">
        <f>HYPERLINK("http://141.218.60.56/~jnz1568/getInfo.php?workbook=05_01.xlsx&amp;sheet=A0&amp;row=195&amp;col=13&amp;number=1.1621e-08&amp;sourceID=11","1.1621e-08")</f>
        <v>1.1621e-08</v>
      </c>
      <c r="N195" s="4" t="str">
        <f>HYPERLINK("http://141.218.60.56/~jnz1568/getInfo.php?workbook=05_01.xlsx&amp;sheet=A0&amp;row=195&amp;col=14&amp;number=11409&amp;sourceID=12","11409")</f>
        <v>11409</v>
      </c>
      <c r="O195" s="4" t="str">
        <f>HYPERLINK("http://141.218.60.56/~jnz1568/getInfo.php?workbook=05_01.xlsx&amp;sheet=A0&amp;row=195&amp;col=15&amp;number=&amp;sourceID=12","")</f>
        <v/>
      </c>
      <c r="P195" s="4" t="str">
        <f>HYPERLINK("http://141.218.60.56/~jnz1568/getInfo.php?workbook=05_01.xlsx&amp;sheet=A0&amp;row=195&amp;col=16&amp;number=11409&amp;sourceID=12","11409")</f>
        <v>11409</v>
      </c>
      <c r="Q195" s="4" t="str">
        <f>HYPERLINK("http://141.218.60.56/~jnz1568/getInfo.php?workbook=05_01.xlsx&amp;sheet=A0&amp;row=195&amp;col=17&amp;number=&amp;sourceID=12","")</f>
        <v/>
      </c>
      <c r="R195" s="4" t="str">
        <f>HYPERLINK("http://141.218.60.56/~jnz1568/getInfo.php?workbook=05_01.xlsx&amp;sheet=A0&amp;row=195&amp;col=18&amp;number=&amp;sourceID=12","")</f>
        <v/>
      </c>
      <c r="S195" s="4" t="str">
        <f>HYPERLINK("http://141.218.60.56/~jnz1568/getInfo.php?workbook=05_01.xlsx&amp;sheet=A0&amp;row=195&amp;col=19&amp;number=&amp;sourceID=12","")</f>
        <v/>
      </c>
      <c r="T195" s="4" t="str">
        <f>HYPERLINK("http://141.218.60.56/~jnz1568/getInfo.php?workbook=05_01.xlsx&amp;sheet=A0&amp;row=195&amp;col=20&amp;number=1.1621e-08&amp;sourceID=12","1.1621e-08")</f>
        <v>1.1621e-08</v>
      </c>
    </row>
    <row r="196" spans="1:20">
      <c r="A196" s="3">
        <v>5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HYPERLINK("http://141.218.60.56/~jnz1568/getInfo.php?workbook=05_01.xlsx&amp;sheet=A0&amp;row=196&amp;col=6&amp;number=&amp;sourceID=18","")</f>
        <v/>
      </c>
      <c r="G196" s="4" t="str">
        <f>HYPERLINK("http://141.218.60.56/~jnz1568/getInfo.php?workbook=05_01.xlsx&amp;sheet=A0&amp;row=196&amp;col=7&amp;number==&amp;sourceID=11","=")</f>
        <v>=</v>
      </c>
      <c r="H196" s="4" t="str">
        <f>HYPERLINK("http://141.218.60.56/~jnz1568/getInfo.php?workbook=05_01.xlsx&amp;sheet=A0&amp;row=196&amp;col=8&amp;number=&amp;sourceID=11","")</f>
        <v/>
      </c>
      <c r="I196" s="4" t="str">
        <f>HYPERLINK("http://141.218.60.56/~jnz1568/getInfo.php?workbook=05_01.xlsx&amp;sheet=A0&amp;row=196&amp;col=9&amp;number=&amp;sourceID=11","")</f>
        <v/>
      </c>
      <c r="J196" s="4" t="str">
        <f>HYPERLINK("http://141.218.60.56/~jnz1568/getInfo.php?workbook=05_01.xlsx&amp;sheet=A0&amp;row=196&amp;col=10&amp;number=0.048672&amp;sourceID=11","0.048672")</f>
        <v>0.048672</v>
      </c>
      <c r="K196" s="4" t="str">
        <f>HYPERLINK("http://141.218.60.56/~jnz1568/getInfo.php?workbook=05_01.xlsx&amp;sheet=A0&amp;row=196&amp;col=11&amp;number=&amp;sourceID=11","")</f>
        <v/>
      </c>
      <c r="L196" s="4" t="str">
        <f>HYPERLINK("http://141.218.60.56/~jnz1568/getInfo.php?workbook=05_01.xlsx&amp;sheet=A0&amp;row=196&amp;col=12&amp;number=1.579e-12&amp;sourceID=11","1.579e-12")</f>
        <v>1.579e-12</v>
      </c>
      <c r="M196" s="4" t="str">
        <f>HYPERLINK("http://141.218.60.56/~jnz1568/getInfo.php?workbook=05_01.xlsx&amp;sheet=A0&amp;row=196&amp;col=13&amp;number=&amp;sourceID=11","")</f>
        <v/>
      </c>
      <c r="N196" s="4" t="str">
        <f>HYPERLINK("http://141.218.60.56/~jnz1568/getInfo.php?workbook=05_01.xlsx&amp;sheet=A0&amp;row=196&amp;col=14&amp;number=0.048674&amp;sourceID=12","0.048674")</f>
        <v>0.048674</v>
      </c>
      <c r="O196" s="4" t="str">
        <f>HYPERLINK("http://141.218.60.56/~jnz1568/getInfo.php?workbook=05_01.xlsx&amp;sheet=A0&amp;row=196&amp;col=15&amp;number=&amp;sourceID=12","")</f>
        <v/>
      </c>
      <c r="P196" s="4" t="str">
        <f>HYPERLINK("http://141.218.60.56/~jnz1568/getInfo.php?workbook=05_01.xlsx&amp;sheet=A0&amp;row=196&amp;col=16&amp;number=&amp;sourceID=12","")</f>
        <v/>
      </c>
      <c r="Q196" s="4" t="str">
        <f>HYPERLINK("http://141.218.60.56/~jnz1568/getInfo.php?workbook=05_01.xlsx&amp;sheet=A0&amp;row=196&amp;col=17&amp;number=0.048674&amp;sourceID=12","0.048674")</f>
        <v>0.048674</v>
      </c>
      <c r="R196" s="4" t="str">
        <f>HYPERLINK("http://141.218.60.56/~jnz1568/getInfo.php?workbook=05_01.xlsx&amp;sheet=A0&amp;row=196&amp;col=18&amp;number=&amp;sourceID=12","")</f>
        <v/>
      </c>
      <c r="S196" s="4" t="str">
        <f>HYPERLINK("http://141.218.60.56/~jnz1568/getInfo.php?workbook=05_01.xlsx&amp;sheet=A0&amp;row=196&amp;col=19&amp;number=1.579e-12&amp;sourceID=12","1.579e-12")</f>
        <v>1.579e-12</v>
      </c>
      <c r="T196" s="4" t="str">
        <f>HYPERLINK("http://141.218.60.56/~jnz1568/getInfo.php?workbook=05_01.xlsx&amp;sheet=A0&amp;row=196&amp;col=20&amp;number=&amp;sourceID=12","")</f>
        <v/>
      </c>
    </row>
    <row r="197" spans="1:20">
      <c r="A197" s="3">
        <v>5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HYPERLINK("http://141.218.60.56/~jnz1568/getInfo.php?workbook=05_01.xlsx&amp;sheet=A0&amp;row=197&amp;col=6&amp;number=&amp;sourceID=18","")</f>
        <v/>
      </c>
      <c r="G197" s="4" t="str">
        <f>HYPERLINK("http://141.218.60.56/~jnz1568/getInfo.php?workbook=05_01.xlsx&amp;sheet=A0&amp;row=197&amp;col=7&amp;number==&amp;sourceID=11","=")</f>
        <v>=</v>
      </c>
      <c r="H197" s="4" t="str">
        <f>HYPERLINK("http://141.218.60.56/~jnz1568/getInfo.php?workbook=05_01.xlsx&amp;sheet=A0&amp;row=197&amp;col=8&amp;number=1508400000&amp;sourceID=11","1508400000")</f>
        <v>1508400000</v>
      </c>
      <c r="I197" s="4" t="str">
        <f>HYPERLINK("http://141.218.60.56/~jnz1568/getInfo.php?workbook=05_01.xlsx&amp;sheet=A0&amp;row=197&amp;col=9&amp;number=&amp;sourceID=11","")</f>
        <v/>
      </c>
      <c r="J197" s="4" t="str">
        <f>HYPERLINK("http://141.218.60.56/~jnz1568/getInfo.php?workbook=05_01.xlsx&amp;sheet=A0&amp;row=197&amp;col=10&amp;number=0.018684&amp;sourceID=11","0.018684")</f>
        <v>0.018684</v>
      </c>
      <c r="K197" s="4" t="str">
        <f>HYPERLINK("http://141.218.60.56/~jnz1568/getInfo.php?workbook=05_01.xlsx&amp;sheet=A0&amp;row=197&amp;col=11&amp;number=&amp;sourceID=11","")</f>
        <v/>
      </c>
      <c r="L197" s="4" t="str">
        <f>HYPERLINK("http://141.218.60.56/~jnz1568/getInfo.php?workbook=05_01.xlsx&amp;sheet=A0&amp;row=197&amp;col=12&amp;number=0.015111&amp;sourceID=11","0.015111")</f>
        <v>0.015111</v>
      </c>
      <c r="M197" s="4" t="str">
        <f>HYPERLINK("http://141.218.60.56/~jnz1568/getInfo.php?workbook=05_01.xlsx&amp;sheet=A0&amp;row=197&amp;col=13&amp;number=&amp;sourceID=11","")</f>
        <v/>
      </c>
      <c r="N197" s="4" t="str">
        <f>HYPERLINK("http://141.218.60.56/~jnz1568/getInfo.php?workbook=05_01.xlsx&amp;sheet=A0&amp;row=197&amp;col=14&amp;number=1508500000&amp;sourceID=12","1508500000")</f>
        <v>1508500000</v>
      </c>
      <c r="O197" s="4" t="str">
        <f>HYPERLINK("http://141.218.60.56/~jnz1568/getInfo.php?workbook=05_01.xlsx&amp;sheet=A0&amp;row=197&amp;col=15&amp;number=1508500000&amp;sourceID=12","1508500000")</f>
        <v>1508500000</v>
      </c>
      <c r="P197" s="4" t="str">
        <f>HYPERLINK("http://141.218.60.56/~jnz1568/getInfo.php?workbook=05_01.xlsx&amp;sheet=A0&amp;row=197&amp;col=16&amp;number=&amp;sourceID=12","")</f>
        <v/>
      </c>
      <c r="Q197" s="4" t="str">
        <f>HYPERLINK("http://141.218.60.56/~jnz1568/getInfo.php?workbook=05_01.xlsx&amp;sheet=A0&amp;row=197&amp;col=17&amp;number=0.018685&amp;sourceID=12","0.018685")</f>
        <v>0.018685</v>
      </c>
      <c r="R197" s="4" t="str">
        <f>HYPERLINK("http://141.218.60.56/~jnz1568/getInfo.php?workbook=05_01.xlsx&amp;sheet=A0&amp;row=197&amp;col=18&amp;number=&amp;sourceID=12","")</f>
        <v/>
      </c>
      <c r="S197" s="4" t="str">
        <f>HYPERLINK("http://141.218.60.56/~jnz1568/getInfo.php?workbook=05_01.xlsx&amp;sheet=A0&amp;row=197&amp;col=19&amp;number=0.015111&amp;sourceID=12","0.015111")</f>
        <v>0.015111</v>
      </c>
      <c r="T197" s="4" t="str">
        <f>HYPERLINK("http://141.218.60.56/~jnz1568/getInfo.php?workbook=05_01.xlsx&amp;sheet=A0&amp;row=197&amp;col=20&amp;number=&amp;sourceID=12","")</f>
        <v/>
      </c>
    </row>
    <row r="198" spans="1:20">
      <c r="A198" s="3">
        <v>5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HYPERLINK("http://141.218.60.56/~jnz1568/getInfo.php?workbook=05_01.xlsx&amp;sheet=A0&amp;row=198&amp;col=6&amp;number=&amp;sourceID=18","")</f>
        <v/>
      </c>
      <c r="G198" s="4" t="str">
        <f>HYPERLINK("http://141.218.60.56/~jnz1568/getInfo.php?workbook=05_01.xlsx&amp;sheet=A0&amp;row=198&amp;col=7&amp;number==SUM(H198:M198)&amp;sourceID=11","=SUM(H198:M198)")</f>
        <v>=SUM(H198:M198)</v>
      </c>
      <c r="H198" s="4" t="str">
        <f>HYPERLINK("http://141.218.60.56/~jnz1568/getInfo.php?workbook=05_01.xlsx&amp;sheet=A0&amp;row=198&amp;col=8&amp;number=&amp;sourceID=11","")</f>
        <v/>
      </c>
      <c r="I198" s="4" t="str">
        <f>HYPERLINK("http://141.218.60.56/~jnz1568/getInfo.php?workbook=05_01.xlsx&amp;sheet=A0&amp;row=198&amp;col=9&amp;number=3255.5&amp;sourceID=11","3255.5")</f>
        <v>3255.5</v>
      </c>
      <c r="J198" s="4" t="str">
        <f>HYPERLINK("http://141.218.60.56/~jnz1568/getInfo.php?workbook=05_01.xlsx&amp;sheet=A0&amp;row=198&amp;col=10&amp;number=&amp;sourceID=11","")</f>
        <v/>
      </c>
      <c r="K198" s="4" t="str">
        <f>HYPERLINK("http://141.218.60.56/~jnz1568/getInfo.php?workbook=05_01.xlsx&amp;sheet=A0&amp;row=198&amp;col=11&amp;number=3.6291e-07&amp;sourceID=11","3.6291e-07")</f>
        <v>3.6291e-07</v>
      </c>
      <c r="L198" s="4" t="str">
        <f>HYPERLINK("http://141.218.60.56/~jnz1568/getInfo.php?workbook=05_01.xlsx&amp;sheet=A0&amp;row=198&amp;col=12&amp;number=&amp;sourceID=11","")</f>
        <v/>
      </c>
      <c r="M198" s="4" t="str">
        <f>HYPERLINK("http://141.218.60.56/~jnz1568/getInfo.php?workbook=05_01.xlsx&amp;sheet=A0&amp;row=198&amp;col=13&amp;number=2.3192e-09&amp;sourceID=11","2.3192e-09")</f>
        <v>2.3192e-09</v>
      </c>
      <c r="N198" s="4" t="str">
        <f>HYPERLINK("http://141.218.60.56/~jnz1568/getInfo.php?workbook=05_01.xlsx&amp;sheet=A0&amp;row=198&amp;col=14&amp;number=3255.7&amp;sourceID=12","3255.7")</f>
        <v>3255.7</v>
      </c>
      <c r="O198" s="4" t="str">
        <f>HYPERLINK("http://141.218.60.56/~jnz1568/getInfo.php?workbook=05_01.xlsx&amp;sheet=A0&amp;row=198&amp;col=15&amp;number=&amp;sourceID=12","")</f>
        <v/>
      </c>
      <c r="P198" s="4" t="str">
        <f>HYPERLINK("http://141.218.60.56/~jnz1568/getInfo.php?workbook=05_01.xlsx&amp;sheet=A0&amp;row=198&amp;col=16&amp;number=3255.7&amp;sourceID=12","3255.7")</f>
        <v>3255.7</v>
      </c>
      <c r="Q198" s="4" t="str">
        <f>HYPERLINK("http://141.218.60.56/~jnz1568/getInfo.php?workbook=05_01.xlsx&amp;sheet=A0&amp;row=198&amp;col=17&amp;number=&amp;sourceID=12","")</f>
        <v/>
      </c>
      <c r="R198" s="4" t="str">
        <f>HYPERLINK("http://141.218.60.56/~jnz1568/getInfo.php?workbook=05_01.xlsx&amp;sheet=A0&amp;row=198&amp;col=18&amp;number=3.6293e-07&amp;sourceID=12","3.6293e-07")</f>
        <v>3.6293e-07</v>
      </c>
      <c r="S198" s="4" t="str">
        <f>HYPERLINK("http://141.218.60.56/~jnz1568/getInfo.php?workbook=05_01.xlsx&amp;sheet=A0&amp;row=198&amp;col=19&amp;number=&amp;sourceID=12","")</f>
        <v/>
      </c>
      <c r="T198" s="4" t="str">
        <f>HYPERLINK("http://141.218.60.56/~jnz1568/getInfo.php?workbook=05_01.xlsx&amp;sheet=A0&amp;row=198&amp;col=20&amp;number=2.3193e-09&amp;sourceID=12","2.3193e-09")</f>
        <v>2.3193e-09</v>
      </c>
    </row>
    <row r="199" spans="1:20">
      <c r="A199" s="3">
        <v>5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HYPERLINK("http://141.218.60.56/~jnz1568/getInfo.php?workbook=05_01.xlsx&amp;sheet=A0&amp;row=199&amp;col=6&amp;number=&amp;sourceID=18","")</f>
        <v/>
      </c>
      <c r="G199" s="4" t="str">
        <f>HYPERLINK("http://141.218.60.56/~jnz1568/getInfo.php?workbook=05_01.xlsx&amp;sheet=A0&amp;row=199&amp;col=7&amp;number==&amp;sourceID=11","=")</f>
        <v>=</v>
      </c>
      <c r="H199" s="4" t="str">
        <f>HYPERLINK("http://141.218.60.56/~jnz1568/getInfo.php?workbook=05_01.xlsx&amp;sheet=A0&amp;row=199&amp;col=8&amp;number=&amp;sourceID=11","")</f>
        <v/>
      </c>
      <c r="I199" s="4" t="str">
        <f>HYPERLINK("http://141.218.60.56/~jnz1568/getInfo.php?workbook=05_01.xlsx&amp;sheet=A0&amp;row=199&amp;col=9&amp;number=2049&amp;sourceID=11","2049")</f>
        <v>2049</v>
      </c>
      <c r="J199" s="4" t="str">
        <f>HYPERLINK("http://141.218.60.56/~jnz1568/getInfo.php?workbook=05_01.xlsx&amp;sheet=A0&amp;row=199&amp;col=10&amp;number=&amp;sourceID=11","")</f>
        <v/>
      </c>
      <c r="K199" s="4" t="str">
        <f>HYPERLINK("http://141.218.60.56/~jnz1568/getInfo.php?workbook=05_01.xlsx&amp;sheet=A0&amp;row=199&amp;col=11&amp;number=1.2515e-05&amp;sourceID=11","1.2515e-05")</f>
        <v>1.2515e-05</v>
      </c>
      <c r="L199" s="4" t="str">
        <f>HYPERLINK("http://141.218.60.56/~jnz1568/getInfo.php?workbook=05_01.xlsx&amp;sheet=A0&amp;row=199&amp;col=12&amp;number=&amp;sourceID=11","")</f>
        <v/>
      </c>
      <c r="M199" s="4" t="str">
        <f>HYPERLINK("http://141.218.60.56/~jnz1568/getInfo.php?workbook=05_01.xlsx&amp;sheet=A0&amp;row=199&amp;col=13&amp;number=1.9699e-08&amp;sourceID=11","1.9699e-08")</f>
        <v>1.9699e-08</v>
      </c>
      <c r="N199" s="4" t="str">
        <f>HYPERLINK("http://141.218.60.56/~jnz1568/getInfo.php?workbook=05_01.xlsx&amp;sheet=A0&amp;row=199&amp;col=14&amp;number=2049.1&amp;sourceID=12","2049.1")</f>
        <v>2049.1</v>
      </c>
      <c r="O199" s="4" t="str">
        <f>HYPERLINK("http://141.218.60.56/~jnz1568/getInfo.php?workbook=05_01.xlsx&amp;sheet=A0&amp;row=199&amp;col=15&amp;number=&amp;sourceID=12","")</f>
        <v/>
      </c>
      <c r="P199" s="4" t="str">
        <f>HYPERLINK("http://141.218.60.56/~jnz1568/getInfo.php?workbook=05_01.xlsx&amp;sheet=A0&amp;row=199&amp;col=16&amp;number=2049.1&amp;sourceID=12","2049.1")</f>
        <v>2049.1</v>
      </c>
      <c r="Q199" s="4" t="str">
        <f>HYPERLINK("http://141.218.60.56/~jnz1568/getInfo.php?workbook=05_01.xlsx&amp;sheet=A0&amp;row=199&amp;col=17&amp;number=&amp;sourceID=12","")</f>
        <v/>
      </c>
      <c r="R199" s="4" t="str">
        <f>HYPERLINK("http://141.218.60.56/~jnz1568/getInfo.php?workbook=05_01.xlsx&amp;sheet=A0&amp;row=199&amp;col=18&amp;number=1.2516e-05&amp;sourceID=12","1.2516e-05")</f>
        <v>1.2516e-05</v>
      </c>
      <c r="S199" s="4" t="str">
        <f>HYPERLINK("http://141.218.60.56/~jnz1568/getInfo.php?workbook=05_01.xlsx&amp;sheet=A0&amp;row=199&amp;col=19&amp;number=&amp;sourceID=12","")</f>
        <v/>
      </c>
      <c r="T199" s="4" t="str">
        <f>HYPERLINK("http://141.218.60.56/~jnz1568/getInfo.php?workbook=05_01.xlsx&amp;sheet=A0&amp;row=199&amp;col=20&amp;number=1.97e-08&amp;sourceID=12","1.97e-08")</f>
        <v>1.97e-08</v>
      </c>
    </row>
    <row r="200" spans="1:20">
      <c r="A200" s="3">
        <v>5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HYPERLINK("http://141.218.60.56/~jnz1568/getInfo.php?workbook=05_01.xlsx&amp;sheet=A0&amp;row=200&amp;col=6&amp;number=&amp;sourceID=18","")</f>
        <v/>
      </c>
      <c r="G200" s="4" t="str">
        <f>HYPERLINK("http://141.218.60.56/~jnz1568/getInfo.php?workbook=05_01.xlsx&amp;sheet=A0&amp;row=200&amp;col=7&amp;number==&amp;sourceID=11","=")</f>
        <v>=</v>
      </c>
      <c r="H200" s="4" t="str">
        <f>HYPERLINK("http://141.218.60.56/~jnz1568/getInfo.php?workbook=05_01.xlsx&amp;sheet=A0&amp;row=200&amp;col=8&amp;number=107740000&amp;sourceID=11","107740000")</f>
        <v>107740000</v>
      </c>
      <c r="I200" s="4" t="str">
        <f>HYPERLINK("http://141.218.60.56/~jnz1568/getInfo.php?workbook=05_01.xlsx&amp;sheet=A0&amp;row=200&amp;col=9&amp;number=&amp;sourceID=11","")</f>
        <v/>
      </c>
      <c r="J200" s="4" t="str">
        <f>HYPERLINK("http://141.218.60.56/~jnz1568/getInfo.php?workbook=05_01.xlsx&amp;sheet=A0&amp;row=200&amp;col=10&amp;number=0.012448&amp;sourceID=11","0.012448")</f>
        <v>0.012448</v>
      </c>
      <c r="K200" s="4" t="str">
        <f>HYPERLINK("http://141.218.60.56/~jnz1568/getInfo.php?workbook=05_01.xlsx&amp;sheet=A0&amp;row=200&amp;col=11&amp;number=&amp;sourceID=11","")</f>
        <v/>
      </c>
      <c r="L200" s="4" t="str">
        <f>HYPERLINK("http://141.218.60.56/~jnz1568/getInfo.php?workbook=05_01.xlsx&amp;sheet=A0&amp;row=200&amp;col=12&amp;number=&amp;sourceID=11","")</f>
        <v/>
      </c>
      <c r="M200" s="4" t="str">
        <f>HYPERLINK("http://141.218.60.56/~jnz1568/getInfo.php?workbook=05_01.xlsx&amp;sheet=A0&amp;row=200&amp;col=13&amp;number=&amp;sourceID=11","")</f>
        <v/>
      </c>
      <c r="N200" s="4" t="str">
        <f>HYPERLINK("http://141.218.60.56/~jnz1568/getInfo.php?workbook=05_01.xlsx&amp;sheet=A0&amp;row=200&amp;col=14&amp;number=107750000&amp;sourceID=12","107750000")</f>
        <v>107750000</v>
      </c>
      <c r="O200" s="4" t="str">
        <f>HYPERLINK("http://141.218.60.56/~jnz1568/getInfo.php?workbook=05_01.xlsx&amp;sheet=A0&amp;row=200&amp;col=15&amp;number=107750000&amp;sourceID=12","107750000")</f>
        <v>107750000</v>
      </c>
      <c r="P200" s="4" t="str">
        <f>HYPERLINK("http://141.218.60.56/~jnz1568/getInfo.php?workbook=05_01.xlsx&amp;sheet=A0&amp;row=200&amp;col=16&amp;number=&amp;sourceID=12","")</f>
        <v/>
      </c>
      <c r="Q200" s="4" t="str">
        <f>HYPERLINK("http://141.218.60.56/~jnz1568/getInfo.php?workbook=05_01.xlsx&amp;sheet=A0&amp;row=200&amp;col=17&amp;number=0.012448&amp;sourceID=12","0.012448")</f>
        <v>0.012448</v>
      </c>
      <c r="R200" s="4" t="str">
        <f>HYPERLINK("http://141.218.60.56/~jnz1568/getInfo.php?workbook=05_01.xlsx&amp;sheet=A0&amp;row=200&amp;col=18&amp;number=&amp;sourceID=12","")</f>
        <v/>
      </c>
      <c r="S200" s="4" t="str">
        <f>HYPERLINK("http://141.218.60.56/~jnz1568/getInfo.php?workbook=05_01.xlsx&amp;sheet=A0&amp;row=200&amp;col=19&amp;number=&amp;sourceID=12","")</f>
        <v/>
      </c>
      <c r="T200" s="4" t="str">
        <f>HYPERLINK("http://141.218.60.56/~jnz1568/getInfo.php?workbook=05_01.xlsx&amp;sheet=A0&amp;row=200&amp;col=20&amp;number=&amp;sourceID=12","")</f>
        <v/>
      </c>
    </row>
    <row r="201" spans="1:20">
      <c r="A201" s="3">
        <v>5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HYPERLINK("http://141.218.60.56/~jnz1568/getInfo.php?workbook=05_01.xlsx&amp;sheet=A0&amp;row=201&amp;col=6&amp;number=&amp;sourceID=18","")</f>
        <v/>
      </c>
      <c r="G201" s="4" t="str">
        <f>HYPERLINK("http://141.218.60.56/~jnz1568/getInfo.php?workbook=05_01.xlsx&amp;sheet=A0&amp;row=201&amp;col=7&amp;number==&amp;sourceID=11","=")</f>
        <v>=</v>
      </c>
      <c r="H201" s="4" t="str">
        <f>HYPERLINK("http://141.218.60.56/~jnz1568/getInfo.php?workbook=05_01.xlsx&amp;sheet=A0&amp;row=201&amp;col=8&amp;number=&amp;sourceID=11","")</f>
        <v/>
      </c>
      <c r="I201" s="4" t="str">
        <f>HYPERLINK("http://141.218.60.56/~jnz1568/getInfo.php?workbook=05_01.xlsx&amp;sheet=A0&amp;row=201&amp;col=9&amp;number=341.47&amp;sourceID=11","341.47")</f>
        <v>341.47</v>
      </c>
      <c r="J201" s="4" t="str">
        <f>HYPERLINK("http://141.218.60.56/~jnz1568/getInfo.php?workbook=05_01.xlsx&amp;sheet=A0&amp;row=201&amp;col=10&amp;number=&amp;sourceID=11","")</f>
        <v/>
      </c>
      <c r="K201" s="4" t="str">
        <f>HYPERLINK("http://141.218.60.56/~jnz1568/getInfo.php?workbook=05_01.xlsx&amp;sheet=A0&amp;row=201&amp;col=11&amp;number=1.1667e-05&amp;sourceID=11","1.1667e-05")</f>
        <v>1.1667e-05</v>
      </c>
      <c r="L201" s="4" t="str">
        <f>HYPERLINK("http://141.218.60.56/~jnz1568/getInfo.php?workbook=05_01.xlsx&amp;sheet=A0&amp;row=201&amp;col=12&amp;number=&amp;sourceID=11","")</f>
        <v/>
      </c>
      <c r="M201" s="4" t="str">
        <f>HYPERLINK("http://141.218.60.56/~jnz1568/getInfo.php?workbook=05_01.xlsx&amp;sheet=A0&amp;row=201&amp;col=13&amp;number=2.4315e-09&amp;sourceID=11","2.4315e-09")</f>
        <v>2.4315e-09</v>
      </c>
      <c r="N201" s="4" t="str">
        <f>HYPERLINK("http://141.218.60.56/~jnz1568/getInfo.php?workbook=05_01.xlsx&amp;sheet=A0&amp;row=201&amp;col=14&amp;number=341.49&amp;sourceID=12","341.49")</f>
        <v>341.49</v>
      </c>
      <c r="O201" s="4" t="str">
        <f>HYPERLINK("http://141.218.60.56/~jnz1568/getInfo.php?workbook=05_01.xlsx&amp;sheet=A0&amp;row=201&amp;col=15&amp;number=&amp;sourceID=12","")</f>
        <v/>
      </c>
      <c r="P201" s="4" t="str">
        <f>HYPERLINK("http://141.218.60.56/~jnz1568/getInfo.php?workbook=05_01.xlsx&amp;sheet=A0&amp;row=201&amp;col=16&amp;number=341.49&amp;sourceID=12","341.49")</f>
        <v>341.49</v>
      </c>
      <c r="Q201" s="4" t="str">
        <f>HYPERLINK("http://141.218.60.56/~jnz1568/getInfo.php?workbook=05_01.xlsx&amp;sheet=A0&amp;row=201&amp;col=17&amp;number=&amp;sourceID=12","")</f>
        <v/>
      </c>
      <c r="R201" s="4" t="str">
        <f>HYPERLINK("http://141.218.60.56/~jnz1568/getInfo.php?workbook=05_01.xlsx&amp;sheet=A0&amp;row=201&amp;col=18&amp;number=1.1669e-05&amp;sourceID=12","1.1669e-05")</f>
        <v>1.1669e-05</v>
      </c>
      <c r="S201" s="4" t="str">
        <f>HYPERLINK("http://141.218.60.56/~jnz1568/getInfo.php?workbook=05_01.xlsx&amp;sheet=A0&amp;row=201&amp;col=19&amp;number=&amp;sourceID=12","")</f>
        <v/>
      </c>
      <c r="T201" s="4" t="str">
        <f>HYPERLINK("http://141.218.60.56/~jnz1568/getInfo.php?workbook=05_01.xlsx&amp;sheet=A0&amp;row=201&amp;col=20&amp;number=2.4316e-09&amp;sourceID=12","2.4316e-09")</f>
        <v>2.4316e-09</v>
      </c>
    </row>
    <row r="202" spans="1:20">
      <c r="A202" s="3">
        <v>5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HYPERLINK("http://141.218.60.56/~jnz1568/getInfo.php?workbook=05_01.xlsx&amp;sheet=A0&amp;row=202&amp;col=6&amp;number=&amp;sourceID=18","")</f>
        <v/>
      </c>
      <c r="G202" s="4" t="str">
        <f>HYPERLINK("http://141.218.60.56/~jnz1568/getInfo.php?workbook=05_01.xlsx&amp;sheet=A0&amp;row=202&amp;col=7&amp;number==&amp;sourceID=11","=")</f>
        <v>=</v>
      </c>
      <c r="H202" s="4" t="str">
        <f>HYPERLINK("http://141.218.60.56/~jnz1568/getInfo.php?workbook=05_01.xlsx&amp;sheet=A0&amp;row=202&amp;col=8&amp;number=&amp;sourceID=11","")</f>
        <v/>
      </c>
      <c r="I202" s="4" t="str">
        <f>HYPERLINK("http://141.218.60.56/~jnz1568/getInfo.php?workbook=05_01.xlsx&amp;sheet=A0&amp;row=202&amp;col=9&amp;number=1.32e-13&amp;sourceID=11","1.32e-13")</f>
        <v>1.32e-13</v>
      </c>
      <c r="J202" s="4" t="str">
        <f>HYPERLINK("http://141.218.60.56/~jnz1568/getInfo.php?workbook=05_01.xlsx&amp;sheet=A0&amp;row=202&amp;col=10&amp;number=&amp;sourceID=11","")</f>
        <v/>
      </c>
      <c r="K202" s="4" t="str">
        <f>HYPERLINK("http://141.218.60.56/~jnz1568/getInfo.php?workbook=05_01.xlsx&amp;sheet=A0&amp;row=202&amp;col=11&amp;number=&amp;sourceID=11","")</f>
        <v/>
      </c>
      <c r="L202" s="4" t="str">
        <f>HYPERLINK("http://141.218.60.56/~jnz1568/getInfo.php?workbook=05_01.xlsx&amp;sheet=A0&amp;row=202&amp;col=12&amp;number=&amp;sourceID=11","")</f>
        <v/>
      </c>
      <c r="M202" s="4" t="str">
        <f>HYPERLINK("http://141.218.60.56/~jnz1568/getInfo.php?workbook=05_01.xlsx&amp;sheet=A0&amp;row=202&amp;col=13&amp;number=0&amp;sourceID=11","0")</f>
        <v>0</v>
      </c>
      <c r="N202" s="4" t="str">
        <f>HYPERLINK("http://141.218.60.56/~jnz1568/getInfo.php?workbook=05_01.xlsx&amp;sheet=A0&amp;row=202&amp;col=14&amp;number=1.32e-13&amp;sourceID=12","1.32e-13")</f>
        <v>1.32e-13</v>
      </c>
      <c r="O202" s="4" t="str">
        <f>HYPERLINK("http://141.218.60.56/~jnz1568/getInfo.php?workbook=05_01.xlsx&amp;sheet=A0&amp;row=202&amp;col=15&amp;number=&amp;sourceID=12","")</f>
        <v/>
      </c>
      <c r="P202" s="4" t="str">
        <f>HYPERLINK("http://141.218.60.56/~jnz1568/getInfo.php?workbook=05_01.xlsx&amp;sheet=A0&amp;row=202&amp;col=16&amp;number=1.32e-13&amp;sourceID=12","1.32e-13")</f>
        <v>1.32e-13</v>
      </c>
      <c r="Q202" s="4" t="str">
        <f>HYPERLINK("http://141.218.60.56/~jnz1568/getInfo.php?workbook=05_01.xlsx&amp;sheet=A0&amp;row=202&amp;col=17&amp;number=&amp;sourceID=12","")</f>
        <v/>
      </c>
      <c r="R202" s="4" t="str">
        <f>HYPERLINK("http://141.218.60.56/~jnz1568/getInfo.php?workbook=05_01.xlsx&amp;sheet=A0&amp;row=202&amp;col=18&amp;number=&amp;sourceID=12","")</f>
        <v/>
      </c>
      <c r="S202" s="4" t="str">
        <f>HYPERLINK("http://141.218.60.56/~jnz1568/getInfo.php?workbook=05_01.xlsx&amp;sheet=A0&amp;row=202&amp;col=19&amp;number=&amp;sourceID=12","")</f>
        <v/>
      </c>
      <c r="T202" s="4" t="str">
        <f>HYPERLINK("http://141.218.60.56/~jnz1568/getInfo.php?workbook=05_01.xlsx&amp;sheet=A0&amp;row=202&amp;col=20&amp;number=0&amp;sourceID=12","0")</f>
        <v>0</v>
      </c>
    </row>
    <row r="203" spans="1:20">
      <c r="A203" s="3">
        <v>5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HYPERLINK("http://141.218.60.56/~jnz1568/getInfo.php?workbook=05_01.xlsx&amp;sheet=A0&amp;row=203&amp;col=6&amp;number=&amp;sourceID=18","")</f>
        <v/>
      </c>
      <c r="G203" s="4" t="str">
        <f>HYPERLINK("http://141.218.60.56/~jnz1568/getInfo.php?workbook=05_01.xlsx&amp;sheet=A0&amp;row=203&amp;col=7&amp;number==&amp;sourceID=11","=")</f>
        <v>=</v>
      </c>
      <c r="H203" s="4" t="str">
        <f>HYPERLINK("http://141.218.60.56/~jnz1568/getInfo.php?workbook=05_01.xlsx&amp;sheet=A0&amp;row=203&amp;col=8&amp;number=&amp;sourceID=11","")</f>
        <v/>
      </c>
      <c r="I203" s="4" t="str">
        <f>HYPERLINK("http://141.218.60.56/~jnz1568/getInfo.php?workbook=05_01.xlsx&amp;sheet=A0&amp;row=203&amp;col=9&amp;number=&amp;sourceID=11","")</f>
        <v/>
      </c>
      <c r="J203" s="4" t="str">
        <f>HYPERLINK("http://141.218.60.56/~jnz1568/getInfo.php?workbook=05_01.xlsx&amp;sheet=A0&amp;row=203&amp;col=10&amp;number=0&amp;sourceID=11","0")</f>
        <v>0</v>
      </c>
      <c r="K203" s="4" t="str">
        <f>HYPERLINK("http://141.218.60.56/~jnz1568/getInfo.php?workbook=05_01.xlsx&amp;sheet=A0&amp;row=203&amp;col=11&amp;number=&amp;sourceID=11","")</f>
        <v/>
      </c>
      <c r="L203" s="4" t="str">
        <f>HYPERLINK("http://141.218.60.56/~jnz1568/getInfo.php?workbook=05_01.xlsx&amp;sheet=A0&amp;row=203&amp;col=12&amp;number=0&amp;sourceID=11","0")</f>
        <v>0</v>
      </c>
      <c r="M203" s="4" t="str">
        <f>HYPERLINK("http://141.218.60.56/~jnz1568/getInfo.php?workbook=05_01.xlsx&amp;sheet=A0&amp;row=203&amp;col=13&amp;number=&amp;sourceID=11","")</f>
        <v/>
      </c>
      <c r="N203" s="4" t="str">
        <f>HYPERLINK("http://141.218.60.56/~jnz1568/getInfo.php?workbook=05_01.xlsx&amp;sheet=A0&amp;row=203&amp;col=14&amp;number=0&amp;sourceID=12","0")</f>
        <v>0</v>
      </c>
      <c r="O203" s="4" t="str">
        <f>HYPERLINK("http://141.218.60.56/~jnz1568/getInfo.php?workbook=05_01.xlsx&amp;sheet=A0&amp;row=203&amp;col=15&amp;number=&amp;sourceID=12","")</f>
        <v/>
      </c>
      <c r="P203" s="4" t="str">
        <f>HYPERLINK("http://141.218.60.56/~jnz1568/getInfo.php?workbook=05_01.xlsx&amp;sheet=A0&amp;row=203&amp;col=16&amp;number=&amp;sourceID=12","")</f>
        <v/>
      </c>
      <c r="Q203" s="4" t="str">
        <f>HYPERLINK("http://141.218.60.56/~jnz1568/getInfo.php?workbook=05_01.xlsx&amp;sheet=A0&amp;row=203&amp;col=17&amp;number=0&amp;sourceID=12","0")</f>
        <v>0</v>
      </c>
      <c r="R203" s="4" t="str">
        <f>HYPERLINK("http://141.218.60.56/~jnz1568/getInfo.php?workbook=05_01.xlsx&amp;sheet=A0&amp;row=203&amp;col=18&amp;number=&amp;sourceID=12","")</f>
        <v/>
      </c>
      <c r="S203" s="4" t="str">
        <f>HYPERLINK("http://141.218.60.56/~jnz1568/getInfo.php?workbook=05_01.xlsx&amp;sheet=A0&amp;row=203&amp;col=19&amp;number=0&amp;sourceID=12","0")</f>
        <v>0</v>
      </c>
      <c r="T203" s="4" t="str">
        <f>HYPERLINK("http://141.218.60.56/~jnz1568/getInfo.php?workbook=05_01.xlsx&amp;sheet=A0&amp;row=203&amp;col=20&amp;number=&amp;sourceID=12","")</f>
        <v/>
      </c>
    </row>
    <row r="204" spans="1:20">
      <c r="A204" s="3">
        <v>5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HYPERLINK("http://141.218.60.56/~jnz1568/getInfo.php?workbook=05_01.xlsx&amp;sheet=A0&amp;row=204&amp;col=6&amp;number=&amp;sourceID=18","")</f>
        <v/>
      </c>
      <c r="G204" s="4" t="str">
        <f>HYPERLINK("http://141.218.60.56/~jnz1568/getInfo.php?workbook=05_01.xlsx&amp;sheet=A0&amp;row=204&amp;col=7&amp;number==&amp;sourceID=11","=")</f>
        <v>=</v>
      </c>
      <c r="H204" s="4" t="str">
        <f>HYPERLINK("http://141.218.60.56/~jnz1568/getInfo.php?workbook=05_01.xlsx&amp;sheet=A0&amp;row=204&amp;col=8&amp;number=0.0033715&amp;sourceID=11","0.0033715")</f>
        <v>0.0033715</v>
      </c>
      <c r="I204" s="4" t="str">
        <f>HYPERLINK("http://141.218.60.56/~jnz1568/getInfo.php?workbook=05_01.xlsx&amp;sheet=A0&amp;row=204&amp;col=9&amp;number=&amp;sourceID=11","")</f>
        <v/>
      </c>
      <c r="J204" s="4" t="str">
        <f>HYPERLINK("http://141.218.60.56/~jnz1568/getInfo.php?workbook=05_01.xlsx&amp;sheet=A0&amp;row=204&amp;col=10&amp;number=0&amp;sourceID=11","0")</f>
        <v>0</v>
      </c>
      <c r="K204" s="4" t="str">
        <f>HYPERLINK("http://141.218.60.56/~jnz1568/getInfo.php?workbook=05_01.xlsx&amp;sheet=A0&amp;row=204&amp;col=11&amp;number=&amp;sourceID=11","")</f>
        <v/>
      </c>
      <c r="L204" s="4" t="str">
        <f>HYPERLINK("http://141.218.60.56/~jnz1568/getInfo.php?workbook=05_01.xlsx&amp;sheet=A0&amp;row=204&amp;col=12&amp;number=0&amp;sourceID=11","0")</f>
        <v>0</v>
      </c>
      <c r="M204" s="4" t="str">
        <f>HYPERLINK("http://141.218.60.56/~jnz1568/getInfo.php?workbook=05_01.xlsx&amp;sheet=A0&amp;row=204&amp;col=13&amp;number=&amp;sourceID=11","")</f>
        <v/>
      </c>
      <c r="N204" s="4" t="str">
        <f>HYPERLINK("http://141.218.60.56/~jnz1568/getInfo.php?workbook=05_01.xlsx&amp;sheet=A0&amp;row=204&amp;col=14&amp;number=0.0033734&amp;sourceID=12","0.0033734")</f>
        <v>0.0033734</v>
      </c>
      <c r="O204" s="4" t="str">
        <f>HYPERLINK("http://141.218.60.56/~jnz1568/getInfo.php?workbook=05_01.xlsx&amp;sheet=A0&amp;row=204&amp;col=15&amp;number=0.0033734&amp;sourceID=12","0.0033734")</f>
        <v>0.0033734</v>
      </c>
      <c r="P204" s="4" t="str">
        <f>HYPERLINK("http://141.218.60.56/~jnz1568/getInfo.php?workbook=05_01.xlsx&amp;sheet=A0&amp;row=204&amp;col=16&amp;number=&amp;sourceID=12","")</f>
        <v/>
      </c>
      <c r="Q204" s="4" t="str">
        <f>HYPERLINK("http://141.218.60.56/~jnz1568/getInfo.php?workbook=05_01.xlsx&amp;sheet=A0&amp;row=204&amp;col=17&amp;number=0&amp;sourceID=12","0")</f>
        <v>0</v>
      </c>
      <c r="R204" s="4" t="str">
        <f>HYPERLINK("http://141.218.60.56/~jnz1568/getInfo.php?workbook=05_01.xlsx&amp;sheet=A0&amp;row=204&amp;col=18&amp;number=&amp;sourceID=12","")</f>
        <v/>
      </c>
      <c r="S204" s="4" t="str">
        <f>HYPERLINK("http://141.218.60.56/~jnz1568/getInfo.php?workbook=05_01.xlsx&amp;sheet=A0&amp;row=204&amp;col=19&amp;number=0&amp;sourceID=12","0")</f>
        <v>0</v>
      </c>
      <c r="T204" s="4" t="str">
        <f>HYPERLINK("http://141.218.60.56/~jnz1568/getInfo.php?workbook=05_01.xlsx&amp;sheet=A0&amp;row=204&amp;col=20&amp;number=&amp;sourceID=12","")</f>
        <v/>
      </c>
    </row>
    <row r="205" spans="1:20">
      <c r="A205" s="3">
        <v>5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HYPERLINK("http://141.218.60.56/~jnz1568/getInfo.php?workbook=05_01.xlsx&amp;sheet=A0&amp;row=205&amp;col=6&amp;number=&amp;sourceID=18","")</f>
        <v/>
      </c>
      <c r="G205" s="4" t="str">
        <f>HYPERLINK("http://141.218.60.56/~jnz1568/getInfo.php?workbook=05_01.xlsx&amp;sheet=A0&amp;row=205&amp;col=7&amp;number==&amp;sourceID=11","=")</f>
        <v>=</v>
      </c>
      <c r="H205" s="4" t="str">
        <f>HYPERLINK("http://141.218.60.56/~jnz1568/getInfo.php?workbook=05_01.xlsx&amp;sheet=A0&amp;row=205&amp;col=8&amp;number=&amp;sourceID=11","")</f>
        <v/>
      </c>
      <c r="I205" s="4" t="str">
        <f>HYPERLINK("http://141.218.60.56/~jnz1568/getInfo.php?workbook=05_01.xlsx&amp;sheet=A0&amp;row=205&amp;col=9&amp;number=0&amp;sourceID=11","0")</f>
        <v>0</v>
      </c>
      <c r="J205" s="4" t="str">
        <f>HYPERLINK("http://141.218.60.56/~jnz1568/getInfo.php?workbook=05_01.xlsx&amp;sheet=A0&amp;row=205&amp;col=10&amp;number=&amp;sourceID=11","")</f>
        <v/>
      </c>
      <c r="K205" s="4" t="str">
        <f>HYPERLINK("http://141.218.60.56/~jnz1568/getInfo.php?workbook=05_01.xlsx&amp;sheet=A0&amp;row=205&amp;col=11&amp;number=0&amp;sourceID=11","0")</f>
        <v>0</v>
      </c>
      <c r="L205" s="4" t="str">
        <f>HYPERLINK("http://141.218.60.56/~jnz1568/getInfo.php?workbook=05_01.xlsx&amp;sheet=A0&amp;row=205&amp;col=12&amp;number=&amp;sourceID=11","")</f>
        <v/>
      </c>
      <c r="M205" s="4" t="str">
        <f>HYPERLINK("http://141.218.60.56/~jnz1568/getInfo.php?workbook=05_01.xlsx&amp;sheet=A0&amp;row=205&amp;col=13&amp;number=0&amp;sourceID=11","0")</f>
        <v>0</v>
      </c>
      <c r="N205" s="4" t="str">
        <f>HYPERLINK("http://141.218.60.56/~jnz1568/getInfo.php?workbook=05_01.xlsx&amp;sheet=A0&amp;row=205&amp;col=14&amp;number=0&amp;sourceID=12","0")</f>
        <v>0</v>
      </c>
      <c r="O205" s="4" t="str">
        <f>HYPERLINK("http://141.218.60.56/~jnz1568/getInfo.php?workbook=05_01.xlsx&amp;sheet=A0&amp;row=205&amp;col=15&amp;number=&amp;sourceID=12","")</f>
        <v/>
      </c>
      <c r="P205" s="4" t="str">
        <f>HYPERLINK("http://141.218.60.56/~jnz1568/getInfo.php?workbook=05_01.xlsx&amp;sheet=A0&amp;row=205&amp;col=16&amp;number=0&amp;sourceID=12","0")</f>
        <v>0</v>
      </c>
      <c r="Q205" s="4" t="str">
        <f>HYPERLINK("http://141.218.60.56/~jnz1568/getInfo.php?workbook=05_01.xlsx&amp;sheet=A0&amp;row=205&amp;col=17&amp;number=&amp;sourceID=12","")</f>
        <v/>
      </c>
      <c r="R205" s="4" t="str">
        <f>HYPERLINK("http://141.218.60.56/~jnz1568/getInfo.php?workbook=05_01.xlsx&amp;sheet=A0&amp;row=205&amp;col=18&amp;number=0&amp;sourceID=12","0")</f>
        <v>0</v>
      </c>
      <c r="S205" s="4" t="str">
        <f>HYPERLINK("http://141.218.60.56/~jnz1568/getInfo.php?workbook=05_01.xlsx&amp;sheet=A0&amp;row=205&amp;col=19&amp;number=&amp;sourceID=12","")</f>
        <v/>
      </c>
      <c r="T205" s="4" t="str">
        <f>HYPERLINK("http://141.218.60.56/~jnz1568/getInfo.php?workbook=05_01.xlsx&amp;sheet=A0&amp;row=205&amp;col=20&amp;number=0&amp;sourceID=12","0")</f>
        <v>0</v>
      </c>
    </row>
    <row r="206" spans="1:20">
      <c r="A206" s="3">
        <v>5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HYPERLINK("http://141.218.60.56/~jnz1568/getInfo.php?workbook=05_01.xlsx&amp;sheet=A0&amp;row=206&amp;col=6&amp;number=&amp;sourceID=18","")</f>
        <v/>
      </c>
      <c r="G206" s="4" t="str">
        <f>HYPERLINK("http://141.218.60.56/~jnz1568/getInfo.php?workbook=05_01.xlsx&amp;sheet=A0&amp;row=206&amp;col=7&amp;number==&amp;sourceID=11","=")</f>
        <v>=</v>
      </c>
      <c r="H206" s="4" t="str">
        <f>HYPERLINK("http://141.218.60.56/~jnz1568/getInfo.php?workbook=05_01.xlsx&amp;sheet=A0&amp;row=206&amp;col=8&amp;number=&amp;sourceID=11","")</f>
        <v/>
      </c>
      <c r="I206" s="4" t="str">
        <f>HYPERLINK("http://141.218.60.56/~jnz1568/getInfo.php?workbook=05_01.xlsx&amp;sheet=A0&amp;row=206&amp;col=9&amp;number=2881700&amp;sourceID=11","2881700")</f>
        <v>2881700</v>
      </c>
      <c r="J206" s="4" t="str">
        <f>HYPERLINK("http://141.218.60.56/~jnz1568/getInfo.php?workbook=05_01.xlsx&amp;sheet=A0&amp;row=206&amp;col=10&amp;number=&amp;sourceID=11","")</f>
        <v/>
      </c>
      <c r="K206" s="4" t="str">
        <f>HYPERLINK("http://141.218.60.56/~jnz1568/getInfo.php?workbook=05_01.xlsx&amp;sheet=A0&amp;row=206&amp;col=11&amp;number=&amp;sourceID=11","")</f>
        <v/>
      </c>
      <c r="L206" s="4" t="str">
        <f>HYPERLINK("http://141.218.60.56/~jnz1568/getInfo.php?workbook=05_01.xlsx&amp;sheet=A0&amp;row=206&amp;col=12&amp;number=&amp;sourceID=11","")</f>
        <v/>
      </c>
      <c r="M206" s="4" t="str">
        <f>HYPERLINK("http://141.218.60.56/~jnz1568/getInfo.php?workbook=05_01.xlsx&amp;sheet=A0&amp;row=206&amp;col=13&amp;number=0.26169&amp;sourceID=11","0.26169")</f>
        <v>0.26169</v>
      </c>
      <c r="N206" s="4" t="str">
        <f>HYPERLINK("http://141.218.60.56/~jnz1568/getInfo.php?workbook=05_01.xlsx&amp;sheet=A0&amp;row=206&amp;col=14&amp;number=2881800&amp;sourceID=12","2881800")</f>
        <v>2881800</v>
      </c>
      <c r="O206" s="4" t="str">
        <f>HYPERLINK("http://141.218.60.56/~jnz1568/getInfo.php?workbook=05_01.xlsx&amp;sheet=A0&amp;row=206&amp;col=15&amp;number=&amp;sourceID=12","")</f>
        <v/>
      </c>
      <c r="P206" s="4" t="str">
        <f>HYPERLINK("http://141.218.60.56/~jnz1568/getInfo.php?workbook=05_01.xlsx&amp;sheet=A0&amp;row=206&amp;col=16&amp;number=2881800&amp;sourceID=12","2881800")</f>
        <v>2881800</v>
      </c>
      <c r="Q206" s="4" t="str">
        <f>HYPERLINK("http://141.218.60.56/~jnz1568/getInfo.php?workbook=05_01.xlsx&amp;sheet=A0&amp;row=206&amp;col=17&amp;number=&amp;sourceID=12","")</f>
        <v/>
      </c>
      <c r="R206" s="4" t="str">
        <f>HYPERLINK("http://141.218.60.56/~jnz1568/getInfo.php?workbook=05_01.xlsx&amp;sheet=A0&amp;row=206&amp;col=18&amp;number=&amp;sourceID=12","")</f>
        <v/>
      </c>
      <c r="S206" s="4" t="str">
        <f>HYPERLINK("http://141.218.60.56/~jnz1568/getInfo.php?workbook=05_01.xlsx&amp;sheet=A0&amp;row=206&amp;col=19&amp;number=&amp;sourceID=12","")</f>
        <v/>
      </c>
      <c r="T206" s="4" t="str">
        <f>HYPERLINK("http://141.218.60.56/~jnz1568/getInfo.php?workbook=05_01.xlsx&amp;sheet=A0&amp;row=206&amp;col=20&amp;number=0.26171&amp;sourceID=12","0.26171")</f>
        <v>0.26171</v>
      </c>
    </row>
    <row r="207" spans="1:20">
      <c r="A207" s="3">
        <v>5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HYPERLINK("http://141.218.60.56/~jnz1568/getInfo.php?workbook=05_01.xlsx&amp;sheet=A0&amp;row=207&amp;col=6&amp;number=&amp;sourceID=18","")</f>
        <v/>
      </c>
      <c r="G207" s="4" t="str">
        <f>HYPERLINK("http://141.218.60.56/~jnz1568/getInfo.php?workbook=05_01.xlsx&amp;sheet=A0&amp;row=207&amp;col=7&amp;number==&amp;sourceID=11","=")</f>
        <v>=</v>
      </c>
      <c r="H207" s="4" t="str">
        <f>HYPERLINK("http://141.218.60.56/~jnz1568/getInfo.php?workbook=05_01.xlsx&amp;sheet=A0&amp;row=207&amp;col=8&amp;number=&amp;sourceID=11","")</f>
        <v/>
      </c>
      <c r="I207" s="4" t="str">
        <f>HYPERLINK("http://141.218.60.56/~jnz1568/getInfo.php?workbook=05_01.xlsx&amp;sheet=A0&amp;row=207&amp;col=9&amp;number=&amp;sourceID=11","")</f>
        <v/>
      </c>
      <c r="J207" s="4" t="str">
        <f>HYPERLINK("http://141.218.60.56/~jnz1568/getInfo.php?workbook=05_01.xlsx&amp;sheet=A0&amp;row=207&amp;col=10&amp;number=0.15234&amp;sourceID=11","0.15234")</f>
        <v>0.15234</v>
      </c>
      <c r="K207" s="4" t="str">
        <f>HYPERLINK("http://141.218.60.56/~jnz1568/getInfo.php?workbook=05_01.xlsx&amp;sheet=A0&amp;row=207&amp;col=11&amp;number=&amp;sourceID=11","")</f>
        <v/>
      </c>
      <c r="L207" s="4" t="str">
        <f>HYPERLINK("http://141.218.60.56/~jnz1568/getInfo.php?workbook=05_01.xlsx&amp;sheet=A0&amp;row=207&amp;col=12&amp;number=5.1288&amp;sourceID=11","5.1288")</f>
        <v>5.1288</v>
      </c>
      <c r="M207" s="4" t="str">
        <f>HYPERLINK("http://141.218.60.56/~jnz1568/getInfo.php?workbook=05_01.xlsx&amp;sheet=A0&amp;row=207&amp;col=13&amp;number=&amp;sourceID=11","")</f>
        <v/>
      </c>
      <c r="N207" s="4" t="str">
        <f>HYPERLINK("http://141.218.60.56/~jnz1568/getInfo.php?workbook=05_01.xlsx&amp;sheet=A0&amp;row=207&amp;col=14&amp;number=5.2815&amp;sourceID=12","5.2815")</f>
        <v>5.2815</v>
      </c>
      <c r="O207" s="4" t="str">
        <f>HYPERLINK("http://141.218.60.56/~jnz1568/getInfo.php?workbook=05_01.xlsx&amp;sheet=A0&amp;row=207&amp;col=15&amp;number=&amp;sourceID=12","")</f>
        <v/>
      </c>
      <c r="P207" s="4" t="str">
        <f>HYPERLINK("http://141.218.60.56/~jnz1568/getInfo.php?workbook=05_01.xlsx&amp;sheet=A0&amp;row=207&amp;col=16&amp;number=&amp;sourceID=12","")</f>
        <v/>
      </c>
      <c r="Q207" s="4" t="str">
        <f>HYPERLINK("http://141.218.60.56/~jnz1568/getInfo.php?workbook=05_01.xlsx&amp;sheet=A0&amp;row=207&amp;col=17&amp;number=0.15235&amp;sourceID=12","0.15235")</f>
        <v>0.15235</v>
      </c>
      <c r="R207" s="4" t="str">
        <f>HYPERLINK("http://141.218.60.56/~jnz1568/getInfo.php?workbook=05_01.xlsx&amp;sheet=A0&amp;row=207&amp;col=18&amp;number=&amp;sourceID=12","")</f>
        <v/>
      </c>
      <c r="S207" s="4" t="str">
        <f>HYPERLINK("http://141.218.60.56/~jnz1568/getInfo.php?workbook=05_01.xlsx&amp;sheet=A0&amp;row=207&amp;col=19&amp;number=5.1291&amp;sourceID=12","5.1291")</f>
        <v>5.1291</v>
      </c>
      <c r="T207" s="4" t="str">
        <f>HYPERLINK("http://141.218.60.56/~jnz1568/getInfo.php?workbook=05_01.xlsx&amp;sheet=A0&amp;row=207&amp;col=20&amp;number=&amp;sourceID=12","")</f>
        <v/>
      </c>
    </row>
    <row r="208" spans="1:20">
      <c r="A208" s="3">
        <v>5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HYPERLINK("http://141.218.60.56/~jnz1568/getInfo.php?workbook=05_01.xlsx&amp;sheet=A0&amp;row=208&amp;col=6&amp;number=&amp;sourceID=18","")</f>
        <v/>
      </c>
      <c r="G208" s="4" t="str">
        <f>HYPERLINK("http://141.218.60.56/~jnz1568/getInfo.php?workbook=05_01.xlsx&amp;sheet=A0&amp;row=208&amp;col=7&amp;number==&amp;sourceID=11","=")</f>
        <v>=</v>
      </c>
      <c r="H208" s="4" t="str">
        <f>HYPERLINK("http://141.218.60.56/~jnz1568/getInfo.php?workbook=05_01.xlsx&amp;sheet=A0&amp;row=208&amp;col=8&amp;number=&amp;sourceID=11","")</f>
        <v/>
      </c>
      <c r="I208" s="4" t="str">
        <f>HYPERLINK("http://141.218.60.56/~jnz1568/getInfo.php?workbook=05_01.xlsx&amp;sheet=A0&amp;row=208&amp;col=9&amp;number=15184&amp;sourceID=11","15184")</f>
        <v>15184</v>
      </c>
      <c r="J208" s="4" t="str">
        <f>HYPERLINK("http://141.218.60.56/~jnz1568/getInfo.php?workbook=05_01.xlsx&amp;sheet=A0&amp;row=208&amp;col=10&amp;number=&amp;sourceID=11","")</f>
        <v/>
      </c>
      <c r="K208" s="4" t="str">
        <f>HYPERLINK("http://141.218.60.56/~jnz1568/getInfo.php?workbook=05_01.xlsx&amp;sheet=A0&amp;row=208&amp;col=11&amp;number=&amp;sourceID=11","")</f>
        <v/>
      </c>
      <c r="L208" s="4" t="str">
        <f>HYPERLINK("http://141.218.60.56/~jnz1568/getInfo.php?workbook=05_01.xlsx&amp;sheet=A0&amp;row=208&amp;col=12&amp;number=&amp;sourceID=11","")</f>
        <v/>
      </c>
      <c r="M208" s="4" t="str">
        <f>HYPERLINK("http://141.218.60.56/~jnz1568/getInfo.php?workbook=05_01.xlsx&amp;sheet=A0&amp;row=208&amp;col=13&amp;number=6.5967e-05&amp;sourceID=11","6.5967e-05")</f>
        <v>6.5967e-05</v>
      </c>
      <c r="N208" s="4" t="str">
        <f>HYPERLINK("http://141.218.60.56/~jnz1568/getInfo.php?workbook=05_01.xlsx&amp;sheet=A0&amp;row=208&amp;col=14&amp;number=15185&amp;sourceID=12","15185")</f>
        <v>15185</v>
      </c>
      <c r="O208" s="4" t="str">
        <f>HYPERLINK("http://141.218.60.56/~jnz1568/getInfo.php?workbook=05_01.xlsx&amp;sheet=A0&amp;row=208&amp;col=15&amp;number=&amp;sourceID=12","")</f>
        <v/>
      </c>
      <c r="P208" s="4" t="str">
        <f>HYPERLINK("http://141.218.60.56/~jnz1568/getInfo.php?workbook=05_01.xlsx&amp;sheet=A0&amp;row=208&amp;col=16&amp;number=15185&amp;sourceID=12","15185")</f>
        <v>15185</v>
      </c>
      <c r="Q208" s="4" t="str">
        <f>HYPERLINK("http://141.218.60.56/~jnz1568/getInfo.php?workbook=05_01.xlsx&amp;sheet=A0&amp;row=208&amp;col=17&amp;number=&amp;sourceID=12","")</f>
        <v/>
      </c>
      <c r="R208" s="4" t="str">
        <f>HYPERLINK("http://141.218.60.56/~jnz1568/getInfo.php?workbook=05_01.xlsx&amp;sheet=A0&amp;row=208&amp;col=18&amp;number=&amp;sourceID=12","")</f>
        <v/>
      </c>
      <c r="S208" s="4" t="str">
        <f>HYPERLINK("http://141.218.60.56/~jnz1568/getInfo.php?workbook=05_01.xlsx&amp;sheet=A0&amp;row=208&amp;col=19&amp;number=&amp;sourceID=12","")</f>
        <v/>
      </c>
      <c r="T208" s="4" t="str">
        <f>HYPERLINK("http://141.218.60.56/~jnz1568/getInfo.php?workbook=05_01.xlsx&amp;sheet=A0&amp;row=208&amp;col=20&amp;number=6.597e-05&amp;sourceID=12","6.597e-05")</f>
        <v>6.597e-05</v>
      </c>
    </row>
    <row r="209" spans="1:20">
      <c r="A209" s="3">
        <v>5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HYPERLINK("http://141.218.60.56/~jnz1568/getInfo.php?workbook=05_01.xlsx&amp;sheet=A0&amp;row=209&amp;col=6&amp;number=&amp;sourceID=18","")</f>
        <v/>
      </c>
      <c r="G209" s="4" t="str">
        <f>HYPERLINK("http://141.218.60.56/~jnz1568/getInfo.php?workbook=05_01.xlsx&amp;sheet=A0&amp;row=209&amp;col=7&amp;number==&amp;sourceID=11","=")</f>
        <v>=</v>
      </c>
      <c r="H209" s="4" t="str">
        <f>HYPERLINK("http://141.218.60.56/~jnz1568/getInfo.php?workbook=05_01.xlsx&amp;sheet=A0&amp;row=209&amp;col=8&amp;number=5893800000&amp;sourceID=11","5893800000")</f>
        <v>5893800000</v>
      </c>
      <c r="I209" s="4" t="str">
        <f>HYPERLINK("http://141.218.60.56/~jnz1568/getInfo.php?workbook=05_01.xlsx&amp;sheet=A0&amp;row=209&amp;col=9&amp;number=&amp;sourceID=11","")</f>
        <v/>
      </c>
      <c r="J209" s="4" t="str">
        <f>HYPERLINK("http://141.218.60.56/~jnz1568/getInfo.php?workbook=05_01.xlsx&amp;sheet=A0&amp;row=209&amp;col=10&amp;number=0.12269&amp;sourceID=11","0.12269")</f>
        <v>0.12269</v>
      </c>
      <c r="K209" s="4" t="str">
        <f>HYPERLINK("http://141.218.60.56/~jnz1568/getInfo.php?workbook=05_01.xlsx&amp;sheet=A0&amp;row=209&amp;col=11&amp;number=&amp;sourceID=11","")</f>
        <v/>
      </c>
      <c r="L209" s="4" t="str">
        <f>HYPERLINK("http://141.218.60.56/~jnz1568/getInfo.php?workbook=05_01.xlsx&amp;sheet=A0&amp;row=209&amp;col=12&amp;number=27.989&amp;sourceID=11","27.989")</f>
        <v>27.989</v>
      </c>
      <c r="M209" s="4" t="str">
        <f>HYPERLINK("http://141.218.60.56/~jnz1568/getInfo.php?workbook=05_01.xlsx&amp;sheet=A0&amp;row=209&amp;col=13&amp;number=&amp;sourceID=11","")</f>
        <v/>
      </c>
      <c r="N209" s="4" t="str">
        <f>HYPERLINK("http://141.218.60.56/~jnz1568/getInfo.php?workbook=05_01.xlsx&amp;sheet=A0&amp;row=209&amp;col=14&amp;number=5894100000&amp;sourceID=12","5894100000")</f>
        <v>5894100000</v>
      </c>
      <c r="O209" s="4" t="str">
        <f>HYPERLINK("http://141.218.60.56/~jnz1568/getInfo.php?workbook=05_01.xlsx&amp;sheet=A0&amp;row=209&amp;col=15&amp;number=5894100000&amp;sourceID=12","5894100000")</f>
        <v>5894100000</v>
      </c>
      <c r="P209" s="4" t="str">
        <f>HYPERLINK("http://141.218.60.56/~jnz1568/getInfo.php?workbook=05_01.xlsx&amp;sheet=A0&amp;row=209&amp;col=16&amp;number=&amp;sourceID=12","")</f>
        <v/>
      </c>
      <c r="Q209" s="4" t="str">
        <f>HYPERLINK("http://141.218.60.56/~jnz1568/getInfo.php?workbook=05_01.xlsx&amp;sheet=A0&amp;row=209&amp;col=17&amp;number=0.1227&amp;sourceID=12","0.1227")</f>
        <v>0.1227</v>
      </c>
      <c r="R209" s="4" t="str">
        <f>HYPERLINK("http://141.218.60.56/~jnz1568/getInfo.php?workbook=05_01.xlsx&amp;sheet=A0&amp;row=209&amp;col=18&amp;number=&amp;sourceID=12","")</f>
        <v/>
      </c>
      <c r="S209" s="4" t="str">
        <f>HYPERLINK("http://141.218.60.56/~jnz1568/getInfo.php?workbook=05_01.xlsx&amp;sheet=A0&amp;row=209&amp;col=19&amp;number=27.991&amp;sourceID=12","27.991")</f>
        <v>27.991</v>
      </c>
      <c r="T209" s="4" t="str">
        <f>HYPERLINK("http://141.218.60.56/~jnz1568/getInfo.php?workbook=05_01.xlsx&amp;sheet=A0&amp;row=209&amp;col=20&amp;number=&amp;sourceID=12","")</f>
        <v/>
      </c>
    </row>
    <row r="210" spans="1:20">
      <c r="A210" s="3">
        <v>5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HYPERLINK("http://141.218.60.56/~jnz1568/getInfo.php?workbook=05_01.xlsx&amp;sheet=A0&amp;row=210&amp;col=6&amp;number=&amp;sourceID=18","")</f>
        <v/>
      </c>
      <c r="G210" s="4" t="str">
        <f>HYPERLINK("http://141.218.60.56/~jnz1568/getInfo.php?workbook=05_01.xlsx&amp;sheet=A0&amp;row=210&amp;col=7&amp;number==&amp;sourceID=11","=")</f>
        <v>=</v>
      </c>
      <c r="H210" s="4" t="str">
        <f>HYPERLINK("http://141.218.60.56/~jnz1568/getInfo.php?workbook=05_01.xlsx&amp;sheet=A0&amp;row=210&amp;col=8&amp;number=&amp;sourceID=11","")</f>
        <v/>
      </c>
      <c r="I210" s="4" t="str">
        <f>HYPERLINK("http://141.218.60.56/~jnz1568/getInfo.php?workbook=05_01.xlsx&amp;sheet=A0&amp;row=210&amp;col=9&amp;number=&amp;sourceID=11","")</f>
        <v/>
      </c>
      <c r="J210" s="4" t="str">
        <f>HYPERLINK("http://141.218.60.56/~jnz1568/getInfo.php?workbook=05_01.xlsx&amp;sheet=A0&amp;row=210&amp;col=10&amp;number=0.016466&amp;sourceID=11","0.016466")</f>
        <v>0.016466</v>
      </c>
      <c r="K210" s="4" t="str">
        <f>HYPERLINK("http://141.218.60.56/~jnz1568/getInfo.php?workbook=05_01.xlsx&amp;sheet=A0&amp;row=210&amp;col=11&amp;number=&amp;sourceID=11","")</f>
        <v/>
      </c>
      <c r="L210" s="4" t="str">
        <f>HYPERLINK("http://141.218.60.56/~jnz1568/getInfo.php?workbook=05_01.xlsx&amp;sheet=A0&amp;row=210&amp;col=12&amp;number=0.21145&amp;sourceID=11","0.21145")</f>
        <v>0.21145</v>
      </c>
      <c r="M210" s="4" t="str">
        <f>HYPERLINK("http://141.218.60.56/~jnz1568/getInfo.php?workbook=05_01.xlsx&amp;sheet=A0&amp;row=210&amp;col=13&amp;number=&amp;sourceID=11","")</f>
        <v/>
      </c>
      <c r="N210" s="4" t="str">
        <f>HYPERLINK("http://141.218.60.56/~jnz1568/getInfo.php?workbook=05_01.xlsx&amp;sheet=A0&amp;row=210&amp;col=14&amp;number=0.22794&amp;sourceID=12","0.22794")</f>
        <v>0.22794</v>
      </c>
      <c r="O210" s="4" t="str">
        <f>HYPERLINK("http://141.218.60.56/~jnz1568/getInfo.php?workbook=05_01.xlsx&amp;sheet=A0&amp;row=210&amp;col=15&amp;number=&amp;sourceID=12","")</f>
        <v/>
      </c>
      <c r="P210" s="4" t="str">
        <f>HYPERLINK("http://141.218.60.56/~jnz1568/getInfo.php?workbook=05_01.xlsx&amp;sheet=A0&amp;row=210&amp;col=16&amp;number=&amp;sourceID=12","")</f>
        <v/>
      </c>
      <c r="Q210" s="4" t="str">
        <f>HYPERLINK("http://141.218.60.56/~jnz1568/getInfo.php?workbook=05_01.xlsx&amp;sheet=A0&amp;row=210&amp;col=17&amp;number=0.016467&amp;sourceID=12","0.016467")</f>
        <v>0.016467</v>
      </c>
      <c r="R210" s="4" t="str">
        <f>HYPERLINK("http://141.218.60.56/~jnz1568/getInfo.php?workbook=05_01.xlsx&amp;sheet=A0&amp;row=210&amp;col=18&amp;number=&amp;sourceID=12","")</f>
        <v/>
      </c>
      <c r="S210" s="4" t="str">
        <f>HYPERLINK("http://141.218.60.56/~jnz1568/getInfo.php?workbook=05_01.xlsx&amp;sheet=A0&amp;row=210&amp;col=19&amp;number=0.21147&amp;sourceID=12","0.21147")</f>
        <v>0.21147</v>
      </c>
      <c r="T210" s="4" t="str">
        <f>HYPERLINK("http://141.218.60.56/~jnz1568/getInfo.php?workbook=05_01.xlsx&amp;sheet=A0&amp;row=210&amp;col=20&amp;number=&amp;sourceID=12","")</f>
        <v/>
      </c>
    </row>
    <row r="211" spans="1:20">
      <c r="A211" s="3">
        <v>5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HYPERLINK("http://141.218.60.56/~jnz1568/getInfo.php?workbook=05_01.xlsx&amp;sheet=A0&amp;row=211&amp;col=6&amp;number=&amp;sourceID=18","")</f>
        <v/>
      </c>
      <c r="G211" s="4" t="str">
        <f>HYPERLINK("http://141.218.60.56/~jnz1568/getInfo.php?workbook=05_01.xlsx&amp;sheet=A0&amp;row=211&amp;col=7&amp;number==&amp;sourceID=11","=")</f>
        <v>=</v>
      </c>
      <c r="H211" s="4" t="str">
        <f>HYPERLINK("http://141.218.60.56/~jnz1568/getInfo.php?workbook=05_01.xlsx&amp;sheet=A0&amp;row=211&amp;col=8&amp;number=&amp;sourceID=11","")</f>
        <v/>
      </c>
      <c r="I211" s="4" t="str">
        <f>HYPERLINK("http://141.218.60.56/~jnz1568/getInfo.php?workbook=05_01.xlsx&amp;sheet=A0&amp;row=211&amp;col=9&amp;number=17017&amp;sourceID=11","17017")</f>
        <v>17017</v>
      </c>
      <c r="J211" s="4" t="str">
        <f>HYPERLINK("http://141.218.60.56/~jnz1568/getInfo.php?workbook=05_01.xlsx&amp;sheet=A0&amp;row=211&amp;col=10&amp;number=&amp;sourceID=11","")</f>
        <v/>
      </c>
      <c r="K211" s="4" t="str">
        <f>HYPERLINK("http://141.218.60.56/~jnz1568/getInfo.php?workbook=05_01.xlsx&amp;sheet=A0&amp;row=211&amp;col=11&amp;number=&amp;sourceID=11","")</f>
        <v/>
      </c>
      <c r="L211" s="4" t="str">
        <f>HYPERLINK("http://141.218.60.56/~jnz1568/getInfo.php?workbook=05_01.xlsx&amp;sheet=A0&amp;row=211&amp;col=12&amp;number=&amp;sourceID=11","")</f>
        <v/>
      </c>
      <c r="M211" s="4" t="str">
        <f>HYPERLINK("http://141.218.60.56/~jnz1568/getInfo.php?workbook=05_01.xlsx&amp;sheet=A0&amp;row=211&amp;col=13&amp;number=8.4806e-06&amp;sourceID=11","8.4806e-06")</f>
        <v>8.4806e-06</v>
      </c>
      <c r="N211" s="4" t="str">
        <f>HYPERLINK("http://141.218.60.56/~jnz1568/getInfo.php?workbook=05_01.xlsx&amp;sheet=A0&amp;row=211&amp;col=14&amp;number=17018&amp;sourceID=12","17018")</f>
        <v>17018</v>
      </c>
      <c r="O211" s="4" t="str">
        <f>HYPERLINK("http://141.218.60.56/~jnz1568/getInfo.php?workbook=05_01.xlsx&amp;sheet=A0&amp;row=211&amp;col=15&amp;number=&amp;sourceID=12","")</f>
        <v/>
      </c>
      <c r="P211" s="4" t="str">
        <f>HYPERLINK("http://141.218.60.56/~jnz1568/getInfo.php?workbook=05_01.xlsx&amp;sheet=A0&amp;row=211&amp;col=16&amp;number=17018&amp;sourceID=12","17018")</f>
        <v>17018</v>
      </c>
      <c r="Q211" s="4" t="str">
        <f>HYPERLINK("http://141.218.60.56/~jnz1568/getInfo.php?workbook=05_01.xlsx&amp;sheet=A0&amp;row=211&amp;col=17&amp;number=&amp;sourceID=12","")</f>
        <v/>
      </c>
      <c r="R211" s="4" t="str">
        <f>HYPERLINK("http://141.218.60.56/~jnz1568/getInfo.php?workbook=05_01.xlsx&amp;sheet=A0&amp;row=211&amp;col=18&amp;number=&amp;sourceID=12","")</f>
        <v/>
      </c>
      <c r="S211" s="4" t="str">
        <f>HYPERLINK("http://141.218.60.56/~jnz1568/getInfo.php?workbook=05_01.xlsx&amp;sheet=A0&amp;row=211&amp;col=19&amp;number=&amp;sourceID=12","")</f>
        <v/>
      </c>
      <c r="T211" s="4" t="str">
        <f>HYPERLINK("http://141.218.60.56/~jnz1568/getInfo.php?workbook=05_01.xlsx&amp;sheet=A0&amp;row=211&amp;col=20&amp;number=8.481e-06&amp;sourceID=12","8.481e-06")</f>
        <v>8.481e-06</v>
      </c>
    </row>
    <row r="212" spans="1:20">
      <c r="A212" s="3">
        <v>5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HYPERLINK("http://141.218.60.56/~jnz1568/getInfo.php?workbook=05_01.xlsx&amp;sheet=A0&amp;row=212&amp;col=6&amp;number=&amp;sourceID=18","")</f>
        <v/>
      </c>
      <c r="G212" s="4" t="str">
        <f>HYPERLINK("http://141.218.60.56/~jnz1568/getInfo.php?workbook=05_01.xlsx&amp;sheet=A0&amp;row=212&amp;col=7&amp;number==&amp;sourceID=11","=")</f>
        <v>=</v>
      </c>
      <c r="H212" s="4" t="str">
        <f>HYPERLINK("http://141.218.60.56/~jnz1568/getInfo.php?workbook=05_01.xlsx&amp;sheet=A0&amp;row=212&amp;col=8&amp;number=&amp;sourceID=11","")</f>
        <v/>
      </c>
      <c r="I212" s="4" t="str">
        <f>HYPERLINK("http://141.218.60.56/~jnz1568/getInfo.php?workbook=05_01.xlsx&amp;sheet=A0&amp;row=212&amp;col=9&amp;number=1792.9&amp;sourceID=11","1792.9")</f>
        <v>1792.9</v>
      </c>
      <c r="J212" s="4" t="str">
        <f>HYPERLINK("http://141.218.60.56/~jnz1568/getInfo.php?workbook=05_01.xlsx&amp;sheet=A0&amp;row=212&amp;col=10&amp;number=&amp;sourceID=11","")</f>
        <v/>
      </c>
      <c r="K212" s="4" t="str">
        <f>HYPERLINK("http://141.218.60.56/~jnz1568/getInfo.php?workbook=05_01.xlsx&amp;sheet=A0&amp;row=212&amp;col=11&amp;number=8.3708e-05&amp;sourceID=11","8.3708e-05")</f>
        <v>8.3708e-05</v>
      </c>
      <c r="L212" s="4" t="str">
        <f>HYPERLINK("http://141.218.60.56/~jnz1568/getInfo.php?workbook=05_01.xlsx&amp;sheet=A0&amp;row=212&amp;col=12&amp;number=&amp;sourceID=11","")</f>
        <v/>
      </c>
      <c r="M212" s="4" t="str">
        <f>HYPERLINK("http://141.218.60.56/~jnz1568/getInfo.php?workbook=05_01.xlsx&amp;sheet=A0&amp;row=212&amp;col=13&amp;number=5.1024e-08&amp;sourceID=11","5.1024e-08")</f>
        <v>5.1024e-08</v>
      </c>
      <c r="N212" s="4" t="str">
        <f>HYPERLINK("http://141.218.60.56/~jnz1568/getInfo.php?workbook=05_01.xlsx&amp;sheet=A0&amp;row=212&amp;col=14&amp;number=1793&amp;sourceID=12","1793")</f>
        <v>1793</v>
      </c>
      <c r="O212" s="4" t="str">
        <f>HYPERLINK("http://141.218.60.56/~jnz1568/getInfo.php?workbook=05_01.xlsx&amp;sheet=A0&amp;row=212&amp;col=15&amp;number=&amp;sourceID=12","")</f>
        <v/>
      </c>
      <c r="P212" s="4" t="str">
        <f>HYPERLINK("http://141.218.60.56/~jnz1568/getInfo.php?workbook=05_01.xlsx&amp;sheet=A0&amp;row=212&amp;col=16&amp;number=1793&amp;sourceID=12","1793")</f>
        <v>1793</v>
      </c>
      <c r="Q212" s="4" t="str">
        <f>HYPERLINK("http://141.218.60.56/~jnz1568/getInfo.php?workbook=05_01.xlsx&amp;sheet=A0&amp;row=212&amp;col=17&amp;number=&amp;sourceID=12","")</f>
        <v/>
      </c>
      <c r="R212" s="4" t="str">
        <f>HYPERLINK("http://141.218.60.56/~jnz1568/getInfo.php?workbook=05_01.xlsx&amp;sheet=A0&amp;row=212&amp;col=18&amp;number=8.3708e-05&amp;sourceID=12","8.3708e-05")</f>
        <v>8.3708e-05</v>
      </c>
      <c r="S212" s="4" t="str">
        <f>HYPERLINK("http://141.218.60.56/~jnz1568/getInfo.php?workbook=05_01.xlsx&amp;sheet=A0&amp;row=212&amp;col=19&amp;number=&amp;sourceID=12","")</f>
        <v/>
      </c>
      <c r="T212" s="4" t="str">
        <f>HYPERLINK("http://141.218.60.56/~jnz1568/getInfo.php?workbook=05_01.xlsx&amp;sheet=A0&amp;row=212&amp;col=20&amp;number=5.1027e-08&amp;sourceID=12","5.1027e-08")</f>
        <v>5.1027e-08</v>
      </c>
    </row>
    <row r="213" spans="1:20">
      <c r="A213" s="3">
        <v>5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HYPERLINK("http://141.218.60.56/~jnz1568/getInfo.php?workbook=05_01.xlsx&amp;sheet=A0&amp;row=213&amp;col=6&amp;number=&amp;sourceID=18","")</f>
        <v/>
      </c>
      <c r="G213" s="4" t="str">
        <f>HYPERLINK("http://141.218.60.56/~jnz1568/getInfo.php?workbook=05_01.xlsx&amp;sheet=A0&amp;row=213&amp;col=7&amp;number==&amp;sourceID=11","=")</f>
        <v>=</v>
      </c>
      <c r="H213" s="4" t="str">
        <f>HYPERLINK("http://141.218.60.56/~jnz1568/getInfo.php?workbook=05_01.xlsx&amp;sheet=A0&amp;row=213&amp;col=8&amp;number=2120900000&amp;sourceID=11","2120900000")</f>
        <v>2120900000</v>
      </c>
      <c r="I213" s="4" t="str">
        <f>HYPERLINK("http://141.218.60.56/~jnz1568/getInfo.php?workbook=05_01.xlsx&amp;sheet=A0&amp;row=213&amp;col=9&amp;number=&amp;sourceID=11","")</f>
        <v/>
      </c>
      <c r="J213" s="4" t="str">
        <f>HYPERLINK("http://141.218.60.56/~jnz1568/getInfo.php?workbook=05_01.xlsx&amp;sheet=A0&amp;row=213&amp;col=10&amp;number=0.01306&amp;sourceID=11","0.01306")</f>
        <v>0.01306</v>
      </c>
      <c r="K213" s="4" t="str">
        <f>HYPERLINK("http://141.218.60.56/~jnz1568/getInfo.php?workbook=05_01.xlsx&amp;sheet=A0&amp;row=213&amp;col=11&amp;number=&amp;sourceID=11","")</f>
        <v/>
      </c>
      <c r="L213" s="4" t="str">
        <f>HYPERLINK("http://141.218.60.56/~jnz1568/getInfo.php?workbook=05_01.xlsx&amp;sheet=A0&amp;row=213&amp;col=12&amp;number=1.1553&amp;sourceID=11","1.1553")</f>
        <v>1.1553</v>
      </c>
      <c r="M213" s="4" t="str">
        <f>HYPERLINK("http://141.218.60.56/~jnz1568/getInfo.php?workbook=05_01.xlsx&amp;sheet=A0&amp;row=213&amp;col=13&amp;number=&amp;sourceID=11","")</f>
        <v/>
      </c>
      <c r="N213" s="4" t="str">
        <f>HYPERLINK("http://141.218.60.56/~jnz1568/getInfo.php?workbook=05_01.xlsx&amp;sheet=A0&amp;row=213&amp;col=14&amp;number=2121000000&amp;sourceID=12","2121000000")</f>
        <v>2121000000</v>
      </c>
      <c r="O213" s="4" t="str">
        <f>HYPERLINK("http://141.218.60.56/~jnz1568/getInfo.php?workbook=05_01.xlsx&amp;sheet=A0&amp;row=213&amp;col=15&amp;number=2121000000&amp;sourceID=12","2121000000")</f>
        <v>2121000000</v>
      </c>
      <c r="P213" s="4" t="str">
        <f>HYPERLINK("http://141.218.60.56/~jnz1568/getInfo.php?workbook=05_01.xlsx&amp;sheet=A0&amp;row=213&amp;col=16&amp;number=&amp;sourceID=12","")</f>
        <v/>
      </c>
      <c r="Q213" s="4" t="str">
        <f>HYPERLINK("http://141.218.60.56/~jnz1568/getInfo.php?workbook=05_01.xlsx&amp;sheet=A0&amp;row=213&amp;col=17&amp;number=0.013061&amp;sourceID=12","0.013061")</f>
        <v>0.013061</v>
      </c>
      <c r="R213" s="4" t="str">
        <f>HYPERLINK("http://141.218.60.56/~jnz1568/getInfo.php?workbook=05_01.xlsx&amp;sheet=A0&amp;row=213&amp;col=18&amp;number=&amp;sourceID=12","")</f>
        <v/>
      </c>
      <c r="S213" s="4" t="str">
        <f>HYPERLINK("http://141.218.60.56/~jnz1568/getInfo.php?workbook=05_01.xlsx&amp;sheet=A0&amp;row=213&amp;col=19&amp;number=1.1553&amp;sourceID=12","1.1553")</f>
        <v>1.1553</v>
      </c>
      <c r="T213" s="4" t="str">
        <f>HYPERLINK("http://141.218.60.56/~jnz1568/getInfo.php?workbook=05_01.xlsx&amp;sheet=A0&amp;row=213&amp;col=20&amp;number=&amp;sourceID=12","")</f>
        <v/>
      </c>
    </row>
    <row r="214" spans="1:20">
      <c r="A214" s="3">
        <v>5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HYPERLINK("http://141.218.60.56/~jnz1568/getInfo.php?workbook=05_01.xlsx&amp;sheet=A0&amp;row=214&amp;col=6&amp;number=&amp;sourceID=18","")</f>
        <v/>
      </c>
      <c r="G214" s="4" t="str">
        <f>HYPERLINK("http://141.218.60.56/~jnz1568/getInfo.php?workbook=05_01.xlsx&amp;sheet=A0&amp;row=214&amp;col=7&amp;number==&amp;sourceID=11","=")</f>
        <v>=</v>
      </c>
      <c r="H214" s="4" t="str">
        <f>HYPERLINK("http://141.218.60.56/~jnz1568/getInfo.php?workbook=05_01.xlsx&amp;sheet=A0&amp;row=214&amp;col=8&amp;number=&amp;sourceID=11","")</f>
        <v/>
      </c>
      <c r="I214" s="4" t="str">
        <f>HYPERLINK("http://141.218.60.56/~jnz1568/getInfo.php?workbook=05_01.xlsx&amp;sheet=A0&amp;row=214&amp;col=9&amp;number=7168.8&amp;sourceID=11","7168.8")</f>
        <v>7168.8</v>
      </c>
      <c r="J214" s="4" t="str">
        <f>HYPERLINK("http://141.218.60.56/~jnz1568/getInfo.php?workbook=05_01.xlsx&amp;sheet=A0&amp;row=214&amp;col=10&amp;number=&amp;sourceID=11","")</f>
        <v/>
      </c>
      <c r="K214" s="4" t="str">
        <f>HYPERLINK("http://141.218.60.56/~jnz1568/getInfo.php?workbook=05_01.xlsx&amp;sheet=A0&amp;row=214&amp;col=11&amp;number=0.00061093&amp;sourceID=11","0.00061093")</f>
        <v>0.00061093</v>
      </c>
      <c r="L214" s="4" t="str">
        <f>HYPERLINK("http://141.218.60.56/~jnz1568/getInfo.php?workbook=05_01.xlsx&amp;sheet=A0&amp;row=214&amp;col=12&amp;number=&amp;sourceID=11","")</f>
        <v/>
      </c>
      <c r="M214" s="4" t="str">
        <f>HYPERLINK("http://141.218.60.56/~jnz1568/getInfo.php?workbook=05_01.xlsx&amp;sheet=A0&amp;row=214&amp;col=13&amp;number=6.1956e-06&amp;sourceID=11","6.1956e-06")</f>
        <v>6.1956e-06</v>
      </c>
      <c r="N214" s="4" t="str">
        <f>HYPERLINK("http://141.218.60.56/~jnz1568/getInfo.php?workbook=05_01.xlsx&amp;sheet=A0&amp;row=214&amp;col=14&amp;number=7169.2&amp;sourceID=12","7169.2")</f>
        <v>7169.2</v>
      </c>
      <c r="O214" s="4" t="str">
        <f>HYPERLINK("http://141.218.60.56/~jnz1568/getInfo.php?workbook=05_01.xlsx&amp;sheet=A0&amp;row=214&amp;col=15&amp;number=&amp;sourceID=12","")</f>
        <v/>
      </c>
      <c r="P214" s="4" t="str">
        <f>HYPERLINK("http://141.218.60.56/~jnz1568/getInfo.php?workbook=05_01.xlsx&amp;sheet=A0&amp;row=214&amp;col=16&amp;number=7169.2&amp;sourceID=12","7169.2")</f>
        <v>7169.2</v>
      </c>
      <c r="Q214" s="4" t="str">
        <f>HYPERLINK("http://141.218.60.56/~jnz1568/getInfo.php?workbook=05_01.xlsx&amp;sheet=A0&amp;row=214&amp;col=17&amp;number=&amp;sourceID=12","")</f>
        <v/>
      </c>
      <c r="R214" s="4" t="str">
        <f>HYPERLINK("http://141.218.60.56/~jnz1568/getInfo.php?workbook=05_01.xlsx&amp;sheet=A0&amp;row=214&amp;col=18&amp;number=0.00061099&amp;sourceID=12","0.00061099")</f>
        <v>0.00061099</v>
      </c>
      <c r="S214" s="4" t="str">
        <f>HYPERLINK("http://141.218.60.56/~jnz1568/getInfo.php?workbook=05_01.xlsx&amp;sheet=A0&amp;row=214&amp;col=19&amp;number=&amp;sourceID=12","")</f>
        <v/>
      </c>
      <c r="T214" s="4" t="str">
        <f>HYPERLINK("http://141.218.60.56/~jnz1568/getInfo.php?workbook=05_01.xlsx&amp;sheet=A0&amp;row=214&amp;col=20&amp;number=6.1959e-06&amp;sourceID=12","6.1959e-06")</f>
        <v>6.1959e-06</v>
      </c>
    </row>
    <row r="215" spans="1:20">
      <c r="A215" s="3">
        <v>5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HYPERLINK("http://141.218.60.56/~jnz1568/getInfo.php?workbook=05_01.xlsx&amp;sheet=A0&amp;row=215&amp;col=6&amp;number=&amp;sourceID=18","")</f>
        <v/>
      </c>
      <c r="G215" s="4" t="str">
        <f>HYPERLINK("http://141.218.60.56/~jnz1568/getInfo.php?workbook=05_01.xlsx&amp;sheet=A0&amp;row=215&amp;col=7&amp;number==&amp;sourceID=11","=")</f>
        <v>=</v>
      </c>
      <c r="H215" s="4" t="str">
        <f>HYPERLINK("http://141.218.60.56/~jnz1568/getInfo.php?workbook=05_01.xlsx&amp;sheet=A0&amp;row=215&amp;col=8&amp;number=&amp;sourceID=11","")</f>
        <v/>
      </c>
      <c r="I215" s="4" t="str">
        <f>HYPERLINK("http://141.218.60.56/~jnz1568/getInfo.php?workbook=05_01.xlsx&amp;sheet=A0&amp;row=215&amp;col=9&amp;number=&amp;sourceID=11","")</f>
        <v/>
      </c>
      <c r="J215" s="4" t="str">
        <f>HYPERLINK("http://141.218.60.56/~jnz1568/getInfo.php?workbook=05_01.xlsx&amp;sheet=A0&amp;row=215&amp;col=10&amp;number=0.028463&amp;sourceID=11","0.028463")</f>
        <v>0.028463</v>
      </c>
      <c r="K215" s="4" t="str">
        <f>HYPERLINK("http://141.218.60.56/~jnz1568/getInfo.php?workbook=05_01.xlsx&amp;sheet=A0&amp;row=215&amp;col=11&amp;number=&amp;sourceID=11","")</f>
        <v/>
      </c>
      <c r="L215" s="4" t="str">
        <f>HYPERLINK("http://141.218.60.56/~jnz1568/getInfo.php?workbook=05_01.xlsx&amp;sheet=A0&amp;row=215&amp;col=12&amp;number=0.0092682&amp;sourceID=11","0.0092682")</f>
        <v>0.0092682</v>
      </c>
      <c r="M215" s="4" t="str">
        <f>HYPERLINK("http://141.218.60.56/~jnz1568/getInfo.php?workbook=05_01.xlsx&amp;sheet=A0&amp;row=215&amp;col=13&amp;number=&amp;sourceID=11","")</f>
        <v/>
      </c>
      <c r="N215" s="4" t="str">
        <f>HYPERLINK("http://141.218.60.56/~jnz1568/getInfo.php?workbook=05_01.xlsx&amp;sheet=A0&amp;row=215&amp;col=14&amp;number=0.037733&amp;sourceID=12","0.037733")</f>
        <v>0.037733</v>
      </c>
      <c r="O215" s="4" t="str">
        <f>HYPERLINK("http://141.218.60.56/~jnz1568/getInfo.php?workbook=05_01.xlsx&amp;sheet=A0&amp;row=215&amp;col=15&amp;number=&amp;sourceID=12","")</f>
        <v/>
      </c>
      <c r="P215" s="4" t="str">
        <f>HYPERLINK("http://141.218.60.56/~jnz1568/getInfo.php?workbook=05_01.xlsx&amp;sheet=A0&amp;row=215&amp;col=16&amp;number=&amp;sourceID=12","")</f>
        <v/>
      </c>
      <c r="Q215" s="4" t="str">
        <f>HYPERLINK("http://141.218.60.56/~jnz1568/getInfo.php?workbook=05_01.xlsx&amp;sheet=A0&amp;row=215&amp;col=17&amp;number=0.028464&amp;sourceID=12","0.028464")</f>
        <v>0.028464</v>
      </c>
      <c r="R215" s="4" t="str">
        <f>HYPERLINK("http://141.218.60.56/~jnz1568/getInfo.php?workbook=05_01.xlsx&amp;sheet=A0&amp;row=215&amp;col=18&amp;number=&amp;sourceID=12","")</f>
        <v/>
      </c>
      <c r="S215" s="4" t="str">
        <f>HYPERLINK("http://141.218.60.56/~jnz1568/getInfo.php?workbook=05_01.xlsx&amp;sheet=A0&amp;row=215&amp;col=19&amp;number=0.0092686&amp;sourceID=12","0.0092686")</f>
        <v>0.0092686</v>
      </c>
      <c r="T215" s="4" t="str">
        <f>HYPERLINK("http://141.218.60.56/~jnz1568/getInfo.php?workbook=05_01.xlsx&amp;sheet=A0&amp;row=215&amp;col=20&amp;number=&amp;sourceID=12","")</f>
        <v/>
      </c>
    </row>
    <row r="216" spans="1:20">
      <c r="A216" s="3">
        <v>5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HYPERLINK("http://141.218.60.56/~jnz1568/getInfo.php?workbook=05_01.xlsx&amp;sheet=A0&amp;row=216&amp;col=6&amp;number=&amp;sourceID=18","")</f>
        <v/>
      </c>
      <c r="G216" s="4" t="str">
        <f>HYPERLINK("http://141.218.60.56/~jnz1568/getInfo.php?workbook=05_01.xlsx&amp;sheet=A0&amp;row=216&amp;col=7&amp;number==&amp;sourceID=11","=")</f>
        <v>=</v>
      </c>
      <c r="H216" s="4" t="str">
        <f>HYPERLINK("http://141.218.60.56/~jnz1568/getInfo.php?workbook=05_01.xlsx&amp;sheet=A0&amp;row=216&amp;col=8&amp;number=&amp;sourceID=11","")</f>
        <v/>
      </c>
      <c r="I216" s="4" t="str">
        <f>HYPERLINK("http://141.218.60.56/~jnz1568/getInfo.php?workbook=05_01.xlsx&amp;sheet=A0&amp;row=216&amp;col=9&amp;number=8439&amp;sourceID=11","8439")</f>
        <v>8439</v>
      </c>
      <c r="J216" s="4" t="str">
        <f>HYPERLINK("http://141.218.60.56/~jnz1568/getInfo.php?workbook=05_01.xlsx&amp;sheet=A0&amp;row=216&amp;col=10&amp;number=&amp;sourceID=11","")</f>
        <v/>
      </c>
      <c r="K216" s="4" t="str">
        <f>HYPERLINK("http://141.218.60.56/~jnz1568/getInfo.php?workbook=05_01.xlsx&amp;sheet=A0&amp;row=216&amp;col=11&amp;number=&amp;sourceID=11","")</f>
        <v/>
      </c>
      <c r="L216" s="4" t="str">
        <f>HYPERLINK("http://141.218.60.56/~jnz1568/getInfo.php?workbook=05_01.xlsx&amp;sheet=A0&amp;row=216&amp;col=12&amp;number=&amp;sourceID=11","")</f>
        <v/>
      </c>
      <c r="M216" s="4" t="str">
        <f>HYPERLINK("http://141.218.60.56/~jnz1568/getInfo.php?workbook=05_01.xlsx&amp;sheet=A0&amp;row=216&amp;col=13&amp;number=4.2121e-07&amp;sourceID=11","4.2121e-07")</f>
        <v>4.2121e-07</v>
      </c>
      <c r="N216" s="4" t="str">
        <f>HYPERLINK("http://141.218.60.56/~jnz1568/getInfo.php?workbook=05_01.xlsx&amp;sheet=A0&amp;row=216&amp;col=14&amp;number=8439.5&amp;sourceID=12","8439.5")</f>
        <v>8439.5</v>
      </c>
      <c r="O216" s="4" t="str">
        <f>HYPERLINK("http://141.218.60.56/~jnz1568/getInfo.php?workbook=05_01.xlsx&amp;sheet=A0&amp;row=216&amp;col=15&amp;number=&amp;sourceID=12","")</f>
        <v/>
      </c>
      <c r="P216" s="4" t="str">
        <f>HYPERLINK("http://141.218.60.56/~jnz1568/getInfo.php?workbook=05_01.xlsx&amp;sheet=A0&amp;row=216&amp;col=16&amp;number=8439.5&amp;sourceID=12","8439.5")</f>
        <v>8439.5</v>
      </c>
      <c r="Q216" s="4" t="str">
        <f>HYPERLINK("http://141.218.60.56/~jnz1568/getInfo.php?workbook=05_01.xlsx&amp;sheet=A0&amp;row=216&amp;col=17&amp;number=&amp;sourceID=12","")</f>
        <v/>
      </c>
      <c r="R216" s="4" t="str">
        <f>HYPERLINK("http://141.218.60.56/~jnz1568/getInfo.php?workbook=05_01.xlsx&amp;sheet=A0&amp;row=216&amp;col=18&amp;number=&amp;sourceID=12","")</f>
        <v/>
      </c>
      <c r="S216" s="4" t="str">
        <f>HYPERLINK("http://141.218.60.56/~jnz1568/getInfo.php?workbook=05_01.xlsx&amp;sheet=A0&amp;row=216&amp;col=19&amp;number=&amp;sourceID=12","")</f>
        <v/>
      </c>
      <c r="T216" s="4" t="str">
        <f>HYPERLINK("http://141.218.60.56/~jnz1568/getInfo.php?workbook=05_01.xlsx&amp;sheet=A0&amp;row=216&amp;col=20&amp;number=4.2124e-07&amp;sourceID=12","4.2124e-07")</f>
        <v>4.2124e-07</v>
      </c>
    </row>
    <row r="217" spans="1:20">
      <c r="A217" s="3">
        <v>5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HYPERLINK("http://141.218.60.56/~jnz1568/getInfo.php?workbook=05_01.xlsx&amp;sheet=A0&amp;row=217&amp;col=6&amp;number=&amp;sourceID=18","")</f>
        <v/>
      </c>
      <c r="G217" s="4" t="str">
        <f>HYPERLINK("http://141.218.60.56/~jnz1568/getInfo.php?workbook=05_01.xlsx&amp;sheet=A0&amp;row=217&amp;col=7&amp;number==&amp;sourceID=11","=")</f>
        <v>=</v>
      </c>
      <c r="H217" s="4" t="str">
        <f>HYPERLINK("http://141.218.60.56/~jnz1568/getInfo.php?workbook=05_01.xlsx&amp;sheet=A0&amp;row=217&amp;col=8&amp;number=&amp;sourceID=11","")</f>
        <v/>
      </c>
      <c r="I217" s="4" t="str">
        <f>HYPERLINK("http://141.218.60.56/~jnz1568/getInfo.php?workbook=05_01.xlsx&amp;sheet=A0&amp;row=217&amp;col=9&amp;number=830.61&amp;sourceID=11","830.61")</f>
        <v>830.61</v>
      </c>
      <c r="J217" s="4" t="str">
        <f>HYPERLINK("http://141.218.60.56/~jnz1568/getInfo.php?workbook=05_01.xlsx&amp;sheet=A0&amp;row=217&amp;col=10&amp;number=&amp;sourceID=11","")</f>
        <v/>
      </c>
      <c r="K217" s="4" t="str">
        <f>HYPERLINK("http://141.218.60.56/~jnz1568/getInfo.php?workbook=05_01.xlsx&amp;sheet=A0&amp;row=217&amp;col=11&amp;number=2.0476e-05&amp;sourceID=11","2.0476e-05")</f>
        <v>2.0476e-05</v>
      </c>
      <c r="L217" s="4" t="str">
        <f>HYPERLINK("http://141.218.60.56/~jnz1568/getInfo.php?workbook=05_01.xlsx&amp;sheet=A0&amp;row=217&amp;col=12&amp;number=&amp;sourceID=11","")</f>
        <v/>
      </c>
      <c r="M217" s="4" t="str">
        <f>HYPERLINK("http://141.218.60.56/~jnz1568/getInfo.php?workbook=05_01.xlsx&amp;sheet=A0&amp;row=217&amp;col=13&amp;number=2.3669e-09&amp;sourceID=11","2.3669e-09")</f>
        <v>2.3669e-09</v>
      </c>
      <c r="N217" s="4" t="str">
        <f>HYPERLINK("http://141.218.60.56/~jnz1568/getInfo.php?workbook=05_01.xlsx&amp;sheet=A0&amp;row=217&amp;col=14&amp;number=830.65&amp;sourceID=12","830.65")</f>
        <v>830.65</v>
      </c>
      <c r="O217" s="4" t="str">
        <f>HYPERLINK("http://141.218.60.56/~jnz1568/getInfo.php?workbook=05_01.xlsx&amp;sheet=A0&amp;row=217&amp;col=15&amp;number=&amp;sourceID=12","")</f>
        <v/>
      </c>
      <c r="P217" s="4" t="str">
        <f>HYPERLINK("http://141.218.60.56/~jnz1568/getInfo.php?workbook=05_01.xlsx&amp;sheet=A0&amp;row=217&amp;col=16&amp;number=830.65&amp;sourceID=12","830.65")</f>
        <v>830.65</v>
      </c>
      <c r="Q217" s="4" t="str">
        <f>HYPERLINK("http://141.218.60.56/~jnz1568/getInfo.php?workbook=05_01.xlsx&amp;sheet=A0&amp;row=217&amp;col=17&amp;number=&amp;sourceID=12","")</f>
        <v/>
      </c>
      <c r="R217" s="4" t="str">
        <f>HYPERLINK("http://141.218.60.56/~jnz1568/getInfo.php?workbook=05_01.xlsx&amp;sheet=A0&amp;row=217&amp;col=18&amp;number=2.048e-05&amp;sourceID=12","2.048e-05")</f>
        <v>2.048e-05</v>
      </c>
      <c r="S217" s="4" t="str">
        <f>HYPERLINK("http://141.218.60.56/~jnz1568/getInfo.php?workbook=05_01.xlsx&amp;sheet=A0&amp;row=217&amp;col=19&amp;number=&amp;sourceID=12","")</f>
        <v/>
      </c>
      <c r="T217" s="4" t="str">
        <f>HYPERLINK("http://141.218.60.56/~jnz1568/getInfo.php?workbook=05_01.xlsx&amp;sheet=A0&amp;row=217&amp;col=20&amp;number=2.367e-09&amp;sourceID=12","2.367e-09")</f>
        <v>2.367e-09</v>
      </c>
    </row>
    <row r="218" spans="1:20">
      <c r="A218" s="3">
        <v>5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HYPERLINK("http://141.218.60.56/~jnz1568/getInfo.php?workbook=05_01.xlsx&amp;sheet=A0&amp;row=218&amp;col=6&amp;number=&amp;sourceID=18","")</f>
        <v/>
      </c>
      <c r="G218" s="4" t="str">
        <f>HYPERLINK("http://141.218.60.56/~jnz1568/getInfo.php?workbook=05_01.xlsx&amp;sheet=A0&amp;row=218&amp;col=7&amp;number==&amp;sourceID=11","=")</f>
        <v>=</v>
      </c>
      <c r="H218" s="4" t="str">
        <f>HYPERLINK("http://141.218.60.56/~jnz1568/getInfo.php?workbook=05_01.xlsx&amp;sheet=A0&amp;row=218&amp;col=8&amp;number=928980000&amp;sourceID=11","928980000")</f>
        <v>928980000</v>
      </c>
      <c r="I218" s="4" t="str">
        <f>HYPERLINK("http://141.218.60.56/~jnz1568/getInfo.php?workbook=05_01.xlsx&amp;sheet=A0&amp;row=218&amp;col=9&amp;number=&amp;sourceID=11","")</f>
        <v/>
      </c>
      <c r="J218" s="4" t="str">
        <f>HYPERLINK("http://141.218.60.56/~jnz1568/getInfo.php?workbook=05_01.xlsx&amp;sheet=A0&amp;row=218&amp;col=10&amp;number=0.022731&amp;sourceID=11","0.022731")</f>
        <v>0.022731</v>
      </c>
      <c r="K218" s="4" t="str">
        <f>HYPERLINK("http://141.218.60.56/~jnz1568/getInfo.php?workbook=05_01.xlsx&amp;sheet=A0&amp;row=218&amp;col=11&amp;number=&amp;sourceID=11","")</f>
        <v/>
      </c>
      <c r="L218" s="4" t="str">
        <f>HYPERLINK("http://141.218.60.56/~jnz1568/getInfo.php?workbook=05_01.xlsx&amp;sheet=A0&amp;row=218&amp;col=12&amp;number=0.050668&amp;sourceID=11","0.050668")</f>
        <v>0.050668</v>
      </c>
      <c r="M218" s="4" t="str">
        <f>HYPERLINK("http://141.218.60.56/~jnz1568/getInfo.php?workbook=05_01.xlsx&amp;sheet=A0&amp;row=218&amp;col=13&amp;number=&amp;sourceID=11","")</f>
        <v/>
      </c>
      <c r="N218" s="4" t="str">
        <f>HYPERLINK("http://141.218.60.56/~jnz1568/getInfo.php?workbook=05_01.xlsx&amp;sheet=A0&amp;row=218&amp;col=14&amp;number=929030000&amp;sourceID=12","929030000")</f>
        <v>929030000</v>
      </c>
      <c r="O218" s="4" t="str">
        <f>HYPERLINK("http://141.218.60.56/~jnz1568/getInfo.php?workbook=05_01.xlsx&amp;sheet=A0&amp;row=218&amp;col=15&amp;number=929030000&amp;sourceID=12","929030000")</f>
        <v>929030000</v>
      </c>
      <c r="P218" s="4" t="str">
        <f>HYPERLINK("http://141.218.60.56/~jnz1568/getInfo.php?workbook=05_01.xlsx&amp;sheet=A0&amp;row=218&amp;col=16&amp;number=&amp;sourceID=12","")</f>
        <v/>
      </c>
      <c r="Q218" s="4" t="str">
        <f>HYPERLINK("http://141.218.60.56/~jnz1568/getInfo.php?workbook=05_01.xlsx&amp;sheet=A0&amp;row=218&amp;col=17&amp;number=0.022732&amp;sourceID=12","0.022732")</f>
        <v>0.022732</v>
      </c>
      <c r="R218" s="4" t="str">
        <f>HYPERLINK("http://141.218.60.56/~jnz1568/getInfo.php?workbook=05_01.xlsx&amp;sheet=A0&amp;row=218&amp;col=18&amp;number=&amp;sourceID=12","")</f>
        <v/>
      </c>
      <c r="S218" s="4" t="str">
        <f>HYPERLINK("http://141.218.60.56/~jnz1568/getInfo.php?workbook=05_01.xlsx&amp;sheet=A0&amp;row=218&amp;col=19&amp;number=0.050671&amp;sourceID=12","0.050671")</f>
        <v>0.050671</v>
      </c>
      <c r="T218" s="4" t="str">
        <f>HYPERLINK("http://141.218.60.56/~jnz1568/getInfo.php?workbook=05_01.xlsx&amp;sheet=A0&amp;row=218&amp;col=20&amp;number=&amp;sourceID=12","")</f>
        <v/>
      </c>
    </row>
    <row r="219" spans="1:20">
      <c r="A219" s="3">
        <v>5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HYPERLINK("http://141.218.60.56/~jnz1568/getInfo.php?workbook=05_01.xlsx&amp;sheet=A0&amp;row=219&amp;col=6&amp;number=&amp;sourceID=18","")</f>
        <v/>
      </c>
      <c r="G219" s="4" t="str">
        <f>HYPERLINK("http://141.218.60.56/~jnz1568/getInfo.php?workbook=05_01.xlsx&amp;sheet=A0&amp;row=219&amp;col=7&amp;number==&amp;sourceID=11","=")</f>
        <v>=</v>
      </c>
      <c r="H219" s="4" t="str">
        <f>HYPERLINK("http://141.218.60.56/~jnz1568/getInfo.php?workbook=05_01.xlsx&amp;sheet=A0&amp;row=219&amp;col=8&amp;number=1503200&amp;sourceID=11","1503200")</f>
        <v>1503200</v>
      </c>
      <c r="I219" s="4" t="str">
        <f>HYPERLINK("http://141.218.60.56/~jnz1568/getInfo.php?workbook=05_01.xlsx&amp;sheet=A0&amp;row=219&amp;col=9&amp;number=&amp;sourceID=11","")</f>
        <v/>
      </c>
      <c r="J219" s="4" t="str">
        <f>HYPERLINK("http://141.218.60.56/~jnz1568/getInfo.php?workbook=05_01.xlsx&amp;sheet=A0&amp;row=219&amp;col=10&amp;number=0.002046&amp;sourceID=11","0.002046")</f>
        <v>0.002046</v>
      </c>
      <c r="K219" s="4" t="str">
        <f>HYPERLINK("http://141.218.60.56/~jnz1568/getInfo.php?workbook=05_01.xlsx&amp;sheet=A0&amp;row=219&amp;col=11&amp;number=&amp;sourceID=11","")</f>
        <v/>
      </c>
      <c r="L219" s="4" t="str">
        <f>HYPERLINK("http://141.218.60.56/~jnz1568/getInfo.php?workbook=05_01.xlsx&amp;sheet=A0&amp;row=219&amp;col=12&amp;number=&amp;sourceID=11","")</f>
        <v/>
      </c>
      <c r="M219" s="4" t="str">
        <f>HYPERLINK("http://141.218.60.56/~jnz1568/getInfo.php?workbook=05_01.xlsx&amp;sheet=A0&amp;row=219&amp;col=13&amp;number=&amp;sourceID=11","")</f>
        <v/>
      </c>
      <c r="N219" s="4" t="str">
        <f>HYPERLINK("http://141.218.60.56/~jnz1568/getInfo.php?workbook=05_01.xlsx&amp;sheet=A0&amp;row=219&amp;col=14&amp;number=1503300&amp;sourceID=12","1503300")</f>
        <v>1503300</v>
      </c>
      <c r="O219" s="4" t="str">
        <f>HYPERLINK("http://141.218.60.56/~jnz1568/getInfo.php?workbook=05_01.xlsx&amp;sheet=A0&amp;row=219&amp;col=15&amp;number=1503300&amp;sourceID=12","1503300")</f>
        <v>1503300</v>
      </c>
      <c r="P219" s="4" t="str">
        <f>HYPERLINK("http://141.218.60.56/~jnz1568/getInfo.php?workbook=05_01.xlsx&amp;sheet=A0&amp;row=219&amp;col=16&amp;number=&amp;sourceID=12","")</f>
        <v/>
      </c>
      <c r="Q219" s="4" t="str">
        <f>HYPERLINK("http://141.218.60.56/~jnz1568/getInfo.php?workbook=05_01.xlsx&amp;sheet=A0&amp;row=219&amp;col=17&amp;number=0.0020461&amp;sourceID=12","0.0020461")</f>
        <v>0.0020461</v>
      </c>
      <c r="R219" s="4" t="str">
        <f>HYPERLINK("http://141.218.60.56/~jnz1568/getInfo.php?workbook=05_01.xlsx&amp;sheet=A0&amp;row=219&amp;col=18&amp;number=&amp;sourceID=12","")</f>
        <v/>
      </c>
      <c r="S219" s="4" t="str">
        <f>HYPERLINK("http://141.218.60.56/~jnz1568/getInfo.php?workbook=05_01.xlsx&amp;sheet=A0&amp;row=219&amp;col=19&amp;number=&amp;sourceID=12","")</f>
        <v/>
      </c>
      <c r="T219" s="4" t="str">
        <f>HYPERLINK("http://141.218.60.56/~jnz1568/getInfo.php?workbook=05_01.xlsx&amp;sheet=A0&amp;row=219&amp;col=20&amp;number=&amp;sourceID=12","")</f>
        <v/>
      </c>
    </row>
    <row r="220" spans="1:20">
      <c r="A220" s="3">
        <v>5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HYPERLINK("http://141.218.60.56/~jnz1568/getInfo.php?workbook=05_01.xlsx&amp;sheet=A0&amp;row=220&amp;col=6&amp;number=&amp;sourceID=18","")</f>
        <v/>
      </c>
      <c r="G220" s="4" t="str">
        <f>HYPERLINK("http://141.218.60.56/~jnz1568/getInfo.php?workbook=05_01.xlsx&amp;sheet=A0&amp;row=220&amp;col=7&amp;number==&amp;sourceID=11","=")</f>
        <v>=</v>
      </c>
      <c r="H220" s="4" t="str">
        <f>HYPERLINK("http://141.218.60.56/~jnz1568/getInfo.php?workbook=05_01.xlsx&amp;sheet=A0&amp;row=220&amp;col=8&amp;number=&amp;sourceID=11","")</f>
        <v/>
      </c>
      <c r="I220" s="4" t="str">
        <f>HYPERLINK("http://141.218.60.56/~jnz1568/getInfo.php?workbook=05_01.xlsx&amp;sheet=A0&amp;row=220&amp;col=9&amp;number=3322&amp;sourceID=11","3322")</f>
        <v>3322</v>
      </c>
      <c r="J220" s="4" t="str">
        <f>HYPERLINK("http://141.218.60.56/~jnz1568/getInfo.php?workbook=05_01.xlsx&amp;sheet=A0&amp;row=220&amp;col=10&amp;number=&amp;sourceID=11","")</f>
        <v/>
      </c>
      <c r="K220" s="4" t="str">
        <f>HYPERLINK("http://141.218.60.56/~jnz1568/getInfo.php?workbook=05_01.xlsx&amp;sheet=A0&amp;row=220&amp;col=11&amp;number=2.8339e-05&amp;sourceID=11","2.8339e-05")</f>
        <v>2.8339e-05</v>
      </c>
      <c r="L220" s="4" t="str">
        <f>HYPERLINK("http://141.218.60.56/~jnz1568/getInfo.php?workbook=05_01.xlsx&amp;sheet=A0&amp;row=220&amp;col=12&amp;number=&amp;sourceID=11","")</f>
        <v/>
      </c>
      <c r="M220" s="4" t="str">
        <f>HYPERLINK("http://141.218.60.56/~jnz1568/getInfo.php?workbook=05_01.xlsx&amp;sheet=A0&amp;row=220&amp;col=13&amp;number=2.8745e-07&amp;sourceID=11","2.8745e-07")</f>
        <v>2.8745e-07</v>
      </c>
      <c r="N220" s="4" t="str">
        <f>HYPERLINK("http://141.218.60.56/~jnz1568/getInfo.php?workbook=05_01.xlsx&amp;sheet=A0&amp;row=220&amp;col=14&amp;number=3322.2&amp;sourceID=12","3322.2")</f>
        <v>3322.2</v>
      </c>
      <c r="O220" s="4" t="str">
        <f>HYPERLINK("http://141.218.60.56/~jnz1568/getInfo.php?workbook=05_01.xlsx&amp;sheet=A0&amp;row=220&amp;col=15&amp;number=&amp;sourceID=12","")</f>
        <v/>
      </c>
      <c r="P220" s="4" t="str">
        <f>HYPERLINK("http://141.218.60.56/~jnz1568/getInfo.php?workbook=05_01.xlsx&amp;sheet=A0&amp;row=220&amp;col=16&amp;number=3322.2&amp;sourceID=12","3322.2")</f>
        <v>3322.2</v>
      </c>
      <c r="Q220" s="4" t="str">
        <f>HYPERLINK("http://141.218.60.56/~jnz1568/getInfo.php?workbook=05_01.xlsx&amp;sheet=A0&amp;row=220&amp;col=17&amp;number=&amp;sourceID=12","")</f>
        <v/>
      </c>
      <c r="R220" s="4" t="str">
        <f>HYPERLINK("http://141.218.60.56/~jnz1568/getInfo.php?workbook=05_01.xlsx&amp;sheet=A0&amp;row=220&amp;col=18&amp;number=2.834e-05&amp;sourceID=12","2.834e-05")</f>
        <v>2.834e-05</v>
      </c>
      <c r="S220" s="4" t="str">
        <f>HYPERLINK("http://141.218.60.56/~jnz1568/getInfo.php?workbook=05_01.xlsx&amp;sheet=A0&amp;row=220&amp;col=19&amp;number=&amp;sourceID=12","")</f>
        <v/>
      </c>
      <c r="T220" s="4" t="str">
        <f>HYPERLINK("http://141.218.60.56/~jnz1568/getInfo.php?workbook=05_01.xlsx&amp;sheet=A0&amp;row=220&amp;col=20&amp;number=2.8746e-07&amp;sourceID=12","2.8746e-07")</f>
        <v>2.8746e-07</v>
      </c>
    </row>
    <row r="221" spans="1:20">
      <c r="A221" s="3">
        <v>5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HYPERLINK("http://141.218.60.56/~jnz1568/getInfo.php?workbook=05_01.xlsx&amp;sheet=A0&amp;row=221&amp;col=6&amp;number=&amp;sourceID=18","")</f>
        <v/>
      </c>
      <c r="G221" s="4" t="str">
        <f>HYPERLINK("http://141.218.60.56/~jnz1568/getInfo.php?workbook=05_01.xlsx&amp;sheet=A0&amp;row=221&amp;col=7&amp;number==&amp;sourceID=11","=")</f>
        <v>=</v>
      </c>
      <c r="H221" s="4" t="str">
        <f>HYPERLINK("http://141.218.60.56/~jnz1568/getInfo.php?workbook=05_01.xlsx&amp;sheet=A0&amp;row=221&amp;col=8&amp;number=30083000&amp;sourceID=11","30083000")</f>
        <v>30083000</v>
      </c>
      <c r="I221" s="4" t="str">
        <f>HYPERLINK("http://141.218.60.56/~jnz1568/getInfo.php?workbook=05_01.xlsx&amp;sheet=A0&amp;row=221&amp;col=9&amp;number=&amp;sourceID=11","")</f>
        <v/>
      </c>
      <c r="J221" s="4" t="str">
        <f>HYPERLINK("http://141.218.60.56/~jnz1568/getInfo.php?workbook=05_01.xlsx&amp;sheet=A0&amp;row=221&amp;col=10&amp;number=0.0051139&amp;sourceID=11","0.0051139")</f>
        <v>0.0051139</v>
      </c>
      <c r="K221" s="4" t="str">
        <f>HYPERLINK("http://141.218.60.56/~jnz1568/getInfo.php?workbook=05_01.xlsx&amp;sheet=A0&amp;row=221&amp;col=11&amp;number=&amp;sourceID=11","")</f>
        <v/>
      </c>
      <c r="L221" s="4" t="str">
        <f>HYPERLINK("http://141.218.60.56/~jnz1568/getInfo.php?workbook=05_01.xlsx&amp;sheet=A0&amp;row=221&amp;col=12&amp;number=0.00248&amp;sourceID=11","0.00248")</f>
        <v>0.00248</v>
      </c>
      <c r="M221" s="4" t="str">
        <f>HYPERLINK("http://141.218.60.56/~jnz1568/getInfo.php?workbook=05_01.xlsx&amp;sheet=A0&amp;row=221&amp;col=13&amp;number=&amp;sourceID=11","")</f>
        <v/>
      </c>
      <c r="N221" s="4" t="str">
        <f>HYPERLINK("http://141.218.60.56/~jnz1568/getInfo.php?workbook=05_01.xlsx&amp;sheet=A0&amp;row=221&amp;col=14&amp;number=30085000&amp;sourceID=12","30085000")</f>
        <v>30085000</v>
      </c>
      <c r="O221" s="4" t="str">
        <f>HYPERLINK("http://141.218.60.56/~jnz1568/getInfo.php?workbook=05_01.xlsx&amp;sheet=A0&amp;row=221&amp;col=15&amp;number=30085000&amp;sourceID=12","30085000")</f>
        <v>30085000</v>
      </c>
      <c r="P221" s="4" t="str">
        <f>HYPERLINK("http://141.218.60.56/~jnz1568/getInfo.php?workbook=05_01.xlsx&amp;sheet=A0&amp;row=221&amp;col=16&amp;number=&amp;sourceID=12","")</f>
        <v/>
      </c>
      <c r="Q221" s="4" t="str">
        <f>HYPERLINK("http://141.218.60.56/~jnz1568/getInfo.php?workbook=05_01.xlsx&amp;sheet=A0&amp;row=221&amp;col=17&amp;number=0.0051141&amp;sourceID=12","0.0051141")</f>
        <v>0.0051141</v>
      </c>
      <c r="R221" s="4" t="str">
        <f>HYPERLINK("http://141.218.60.56/~jnz1568/getInfo.php?workbook=05_01.xlsx&amp;sheet=A0&amp;row=221&amp;col=18&amp;number=&amp;sourceID=12","")</f>
        <v/>
      </c>
      <c r="S221" s="4" t="str">
        <f>HYPERLINK("http://141.218.60.56/~jnz1568/getInfo.php?workbook=05_01.xlsx&amp;sheet=A0&amp;row=221&amp;col=19&amp;number=0.0024801&amp;sourceID=12","0.0024801")</f>
        <v>0.0024801</v>
      </c>
      <c r="T221" s="4" t="str">
        <f>HYPERLINK("http://141.218.60.56/~jnz1568/getInfo.php?workbook=05_01.xlsx&amp;sheet=A0&amp;row=221&amp;col=20&amp;number=&amp;sourceID=12","")</f>
        <v/>
      </c>
    </row>
    <row r="222" spans="1:20">
      <c r="A222" s="3">
        <v>5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HYPERLINK("http://141.218.60.56/~jnz1568/getInfo.php?workbook=05_01.xlsx&amp;sheet=A0&amp;row=222&amp;col=6&amp;number=&amp;sourceID=18","")</f>
        <v/>
      </c>
      <c r="G222" s="4" t="str">
        <f>HYPERLINK("http://141.218.60.56/~jnz1568/getInfo.php?workbook=05_01.xlsx&amp;sheet=A0&amp;row=222&amp;col=7&amp;number==&amp;sourceID=11","=")</f>
        <v>=</v>
      </c>
      <c r="H222" s="4" t="str">
        <f>HYPERLINK("http://141.218.60.56/~jnz1568/getInfo.php?workbook=05_01.xlsx&amp;sheet=A0&amp;row=222&amp;col=8&amp;number=&amp;sourceID=11","")</f>
        <v/>
      </c>
      <c r="I222" s="4" t="str">
        <f>HYPERLINK("http://141.218.60.56/~jnz1568/getInfo.php?workbook=05_01.xlsx&amp;sheet=A0&amp;row=222&amp;col=9&amp;number=&amp;sourceID=11","")</f>
        <v/>
      </c>
      <c r="J222" s="4" t="str">
        <f>HYPERLINK("http://141.218.60.56/~jnz1568/getInfo.php?workbook=05_01.xlsx&amp;sheet=A0&amp;row=222&amp;col=10&amp;number=0&amp;sourceID=11","0")</f>
        <v>0</v>
      </c>
      <c r="K222" s="4" t="str">
        <f>HYPERLINK("http://141.218.60.56/~jnz1568/getInfo.php?workbook=05_01.xlsx&amp;sheet=A0&amp;row=222&amp;col=11&amp;number=&amp;sourceID=11","")</f>
        <v/>
      </c>
      <c r="L222" s="4" t="str">
        <f>HYPERLINK("http://141.218.60.56/~jnz1568/getInfo.php?workbook=05_01.xlsx&amp;sheet=A0&amp;row=222&amp;col=12&amp;number=0&amp;sourceID=11","0")</f>
        <v>0</v>
      </c>
      <c r="M222" s="4" t="str">
        <f>HYPERLINK("http://141.218.60.56/~jnz1568/getInfo.php?workbook=05_01.xlsx&amp;sheet=A0&amp;row=222&amp;col=13&amp;number=&amp;sourceID=11","")</f>
        <v/>
      </c>
      <c r="N222" s="4" t="str">
        <f>HYPERLINK("http://141.218.60.56/~jnz1568/getInfo.php?workbook=05_01.xlsx&amp;sheet=A0&amp;row=222&amp;col=14&amp;number=0&amp;sourceID=12","0")</f>
        <v>0</v>
      </c>
      <c r="O222" s="4" t="str">
        <f>HYPERLINK("http://141.218.60.56/~jnz1568/getInfo.php?workbook=05_01.xlsx&amp;sheet=A0&amp;row=222&amp;col=15&amp;number=&amp;sourceID=12","")</f>
        <v/>
      </c>
      <c r="P222" s="4" t="str">
        <f>HYPERLINK("http://141.218.60.56/~jnz1568/getInfo.php?workbook=05_01.xlsx&amp;sheet=A0&amp;row=222&amp;col=16&amp;number=&amp;sourceID=12","")</f>
        <v/>
      </c>
      <c r="Q222" s="4" t="str">
        <f>HYPERLINK("http://141.218.60.56/~jnz1568/getInfo.php?workbook=05_01.xlsx&amp;sheet=A0&amp;row=222&amp;col=17&amp;number=0&amp;sourceID=12","0")</f>
        <v>0</v>
      </c>
      <c r="R222" s="4" t="str">
        <f>HYPERLINK("http://141.218.60.56/~jnz1568/getInfo.php?workbook=05_01.xlsx&amp;sheet=A0&amp;row=222&amp;col=18&amp;number=&amp;sourceID=12","")</f>
        <v/>
      </c>
      <c r="S222" s="4" t="str">
        <f>HYPERLINK("http://141.218.60.56/~jnz1568/getInfo.php?workbook=05_01.xlsx&amp;sheet=A0&amp;row=222&amp;col=19&amp;number=0&amp;sourceID=12","0")</f>
        <v>0</v>
      </c>
      <c r="T222" s="4" t="str">
        <f>HYPERLINK("http://141.218.60.56/~jnz1568/getInfo.php?workbook=05_01.xlsx&amp;sheet=A0&amp;row=222&amp;col=20&amp;number=&amp;sourceID=12","")</f>
        <v/>
      </c>
    </row>
    <row r="223" spans="1:20">
      <c r="A223" s="3">
        <v>5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HYPERLINK("http://141.218.60.56/~jnz1568/getInfo.php?workbook=05_01.xlsx&amp;sheet=A0&amp;row=223&amp;col=6&amp;number=&amp;sourceID=18","")</f>
        <v/>
      </c>
      <c r="G223" s="4" t="str">
        <f>HYPERLINK("http://141.218.60.56/~jnz1568/getInfo.php?workbook=05_01.xlsx&amp;sheet=A0&amp;row=223&amp;col=7&amp;number==&amp;sourceID=11","=")</f>
        <v>=</v>
      </c>
      <c r="H223" s="4" t="str">
        <f>HYPERLINK("http://141.218.60.56/~jnz1568/getInfo.php?workbook=05_01.xlsx&amp;sheet=A0&amp;row=223&amp;col=8&amp;number=&amp;sourceID=11","")</f>
        <v/>
      </c>
      <c r="I223" s="4" t="str">
        <f>HYPERLINK("http://141.218.60.56/~jnz1568/getInfo.php?workbook=05_01.xlsx&amp;sheet=A0&amp;row=223&amp;col=9&amp;number=1.98e-13&amp;sourceID=11","1.98e-13")</f>
        <v>1.98e-13</v>
      </c>
      <c r="J223" s="4" t="str">
        <f>HYPERLINK("http://141.218.60.56/~jnz1568/getInfo.php?workbook=05_01.xlsx&amp;sheet=A0&amp;row=223&amp;col=10&amp;number=&amp;sourceID=11","")</f>
        <v/>
      </c>
      <c r="K223" s="4" t="str">
        <f>HYPERLINK("http://141.218.60.56/~jnz1568/getInfo.php?workbook=05_01.xlsx&amp;sheet=A0&amp;row=223&amp;col=11&amp;number=&amp;sourceID=11","")</f>
        <v/>
      </c>
      <c r="L223" s="4" t="str">
        <f>HYPERLINK("http://141.218.60.56/~jnz1568/getInfo.php?workbook=05_01.xlsx&amp;sheet=A0&amp;row=223&amp;col=12&amp;number=&amp;sourceID=11","")</f>
        <v/>
      </c>
      <c r="M223" s="4" t="str">
        <f>HYPERLINK("http://141.218.60.56/~jnz1568/getInfo.php?workbook=05_01.xlsx&amp;sheet=A0&amp;row=223&amp;col=13&amp;number=0&amp;sourceID=11","0")</f>
        <v>0</v>
      </c>
      <c r="N223" s="4" t="str">
        <f>HYPERLINK("http://141.218.60.56/~jnz1568/getInfo.php?workbook=05_01.xlsx&amp;sheet=A0&amp;row=223&amp;col=14&amp;number=1.99e-13&amp;sourceID=12","1.99e-13")</f>
        <v>1.99e-13</v>
      </c>
      <c r="O223" s="4" t="str">
        <f>HYPERLINK("http://141.218.60.56/~jnz1568/getInfo.php?workbook=05_01.xlsx&amp;sheet=A0&amp;row=223&amp;col=15&amp;number=&amp;sourceID=12","")</f>
        <v/>
      </c>
      <c r="P223" s="4" t="str">
        <f>HYPERLINK("http://141.218.60.56/~jnz1568/getInfo.php?workbook=05_01.xlsx&amp;sheet=A0&amp;row=223&amp;col=16&amp;number=1.99e-13&amp;sourceID=12","1.99e-13")</f>
        <v>1.99e-13</v>
      </c>
      <c r="Q223" s="4" t="str">
        <f>HYPERLINK("http://141.218.60.56/~jnz1568/getInfo.php?workbook=05_01.xlsx&amp;sheet=A0&amp;row=223&amp;col=17&amp;number=&amp;sourceID=12","")</f>
        <v/>
      </c>
      <c r="R223" s="4" t="str">
        <f>HYPERLINK("http://141.218.60.56/~jnz1568/getInfo.php?workbook=05_01.xlsx&amp;sheet=A0&amp;row=223&amp;col=18&amp;number=&amp;sourceID=12","")</f>
        <v/>
      </c>
      <c r="S223" s="4" t="str">
        <f>HYPERLINK("http://141.218.60.56/~jnz1568/getInfo.php?workbook=05_01.xlsx&amp;sheet=A0&amp;row=223&amp;col=19&amp;number=&amp;sourceID=12","")</f>
        <v/>
      </c>
      <c r="T223" s="4" t="str">
        <f>HYPERLINK("http://141.218.60.56/~jnz1568/getInfo.php?workbook=05_01.xlsx&amp;sheet=A0&amp;row=223&amp;col=20&amp;number=0&amp;sourceID=12","0")</f>
        <v>0</v>
      </c>
    </row>
    <row r="224" spans="1:20">
      <c r="A224" s="3">
        <v>5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HYPERLINK("http://141.218.60.56/~jnz1568/getInfo.php?workbook=05_01.xlsx&amp;sheet=A0&amp;row=224&amp;col=6&amp;number=&amp;sourceID=18","")</f>
        <v/>
      </c>
      <c r="G224" s="4" t="str">
        <f>HYPERLINK("http://141.218.60.56/~jnz1568/getInfo.php?workbook=05_01.xlsx&amp;sheet=A0&amp;row=224&amp;col=7&amp;number==&amp;sourceID=11","=")</f>
        <v>=</v>
      </c>
      <c r="H224" s="4" t="str">
        <f>HYPERLINK("http://141.218.60.56/~jnz1568/getInfo.php?workbook=05_01.xlsx&amp;sheet=A0&amp;row=224&amp;col=8&amp;number=&amp;sourceID=11","")</f>
        <v/>
      </c>
      <c r="I224" s="4" t="str">
        <f>HYPERLINK("http://141.218.60.56/~jnz1568/getInfo.php?workbook=05_01.xlsx&amp;sheet=A0&amp;row=224&amp;col=9&amp;number=0&amp;sourceID=11","0")</f>
        <v>0</v>
      </c>
      <c r="J224" s="4" t="str">
        <f>HYPERLINK("http://141.218.60.56/~jnz1568/getInfo.php?workbook=05_01.xlsx&amp;sheet=A0&amp;row=224&amp;col=10&amp;number=&amp;sourceID=11","")</f>
        <v/>
      </c>
      <c r="K224" s="4" t="str">
        <f>HYPERLINK("http://141.218.60.56/~jnz1568/getInfo.php?workbook=05_01.xlsx&amp;sheet=A0&amp;row=224&amp;col=11&amp;number=1.2469e-09&amp;sourceID=11","1.2469e-09")</f>
        <v>1.2469e-09</v>
      </c>
      <c r="L224" s="4" t="str">
        <f>HYPERLINK("http://141.218.60.56/~jnz1568/getInfo.php?workbook=05_01.xlsx&amp;sheet=A0&amp;row=224&amp;col=12&amp;number=&amp;sourceID=11","")</f>
        <v/>
      </c>
      <c r="M224" s="4" t="str">
        <f>HYPERLINK("http://141.218.60.56/~jnz1568/getInfo.php?workbook=05_01.xlsx&amp;sheet=A0&amp;row=224&amp;col=13&amp;number=0&amp;sourceID=11","0")</f>
        <v>0</v>
      </c>
      <c r="N224" s="4" t="str">
        <f>HYPERLINK("http://141.218.60.56/~jnz1568/getInfo.php?workbook=05_01.xlsx&amp;sheet=A0&amp;row=224&amp;col=14&amp;number=1.2475e-09&amp;sourceID=12","1.2475e-09")</f>
        <v>1.2475e-09</v>
      </c>
      <c r="O224" s="4" t="str">
        <f>HYPERLINK("http://141.218.60.56/~jnz1568/getInfo.php?workbook=05_01.xlsx&amp;sheet=A0&amp;row=224&amp;col=15&amp;number=&amp;sourceID=12","")</f>
        <v/>
      </c>
      <c r="P224" s="4" t="str">
        <f>HYPERLINK("http://141.218.60.56/~jnz1568/getInfo.php?workbook=05_01.xlsx&amp;sheet=A0&amp;row=224&amp;col=16&amp;number=0&amp;sourceID=12","0")</f>
        <v>0</v>
      </c>
      <c r="Q224" s="4" t="str">
        <f>HYPERLINK("http://141.218.60.56/~jnz1568/getInfo.php?workbook=05_01.xlsx&amp;sheet=A0&amp;row=224&amp;col=17&amp;number=&amp;sourceID=12","")</f>
        <v/>
      </c>
      <c r="R224" s="4" t="str">
        <f>HYPERLINK("http://141.218.60.56/~jnz1568/getInfo.php?workbook=05_01.xlsx&amp;sheet=A0&amp;row=224&amp;col=18&amp;number=1.2475e-09&amp;sourceID=12","1.2475e-09")</f>
        <v>1.2475e-09</v>
      </c>
      <c r="S224" s="4" t="str">
        <f>HYPERLINK("http://141.218.60.56/~jnz1568/getInfo.php?workbook=05_01.xlsx&amp;sheet=A0&amp;row=224&amp;col=19&amp;number=&amp;sourceID=12","")</f>
        <v/>
      </c>
      <c r="T224" s="4" t="str">
        <f>HYPERLINK("http://141.218.60.56/~jnz1568/getInfo.php?workbook=05_01.xlsx&amp;sheet=A0&amp;row=224&amp;col=20&amp;number=0&amp;sourceID=12","0")</f>
        <v>0</v>
      </c>
    </row>
    <row r="225" spans="1:20">
      <c r="A225" s="3">
        <v>5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HYPERLINK("http://141.218.60.56/~jnz1568/getInfo.php?workbook=05_01.xlsx&amp;sheet=A0&amp;row=225&amp;col=6&amp;number=&amp;sourceID=18","")</f>
        <v/>
      </c>
      <c r="G225" s="4" t="str">
        <f>HYPERLINK("http://141.218.60.56/~jnz1568/getInfo.php?workbook=05_01.xlsx&amp;sheet=A0&amp;row=225&amp;col=7&amp;number==&amp;sourceID=11","=")</f>
        <v>=</v>
      </c>
      <c r="H225" s="4" t="str">
        <f>HYPERLINK("http://141.218.60.56/~jnz1568/getInfo.php?workbook=05_01.xlsx&amp;sheet=A0&amp;row=225&amp;col=8&amp;number=0.004425&amp;sourceID=11","0.004425")</f>
        <v>0.004425</v>
      </c>
      <c r="I225" s="4" t="str">
        <f>HYPERLINK("http://141.218.60.56/~jnz1568/getInfo.php?workbook=05_01.xlsx&amp;sheet=A0&amp;row=225&amp;col=9&amp;number=&amp;sourceID=11","")</f>
        <v/>
      </c>
      <c r="J225" s="4" t="str">
        <f>HYPERLINK("http://141.218.60.56/~jnz1568/getInfo.php?workbook=05_01.xlsx&amp;sheet=A0&amp;row=225&amp;col=10&amp;number=0&amp;sourceID=11","0")</f>
        <v>0</v>
      </c>
      <c r="K225" s="4" t="str">
        <f>HYPERLINK("http://141.218.60.56/~jnz1568/getInfo.php?workbook=05_01.xlsx&amp;sheet=A0&amp;row=225&amp;col=11&amp;number=&amp;sourceID=11","")</f>
        <v/>
      </c>
      <c r="L225" s="4" t="str">
        <f>HYPERLINK("http://141.218.60.56/~jnz1568/getInfo.php?workbook=05_01.xlsx&amp;sheet=A0&amp;row=225&amp;col=12&amp;number=0&amp;sourceID=11","0")</f>
        <v>0</v>
      </c>
      <c r="M225" s="4" t="str">
        <f>HYPERLINK("http://141.218.60.56/~jnz1568/getInfo.php?workbook=05_01.xlsx&amp;sheet=A0&amp;row=225&amp;col=13&amp;number=&amp;sourceID=11","")</f>
        <v/>
      </c>
      <c r="N225" s="4" t="str">
        <f>HYPERLINK("http://141.218.60.56/~jnz1568/getInfo.php?workbook=05_01.xlsx&amp;sheet=A0&amp;row=225&amp;col=14&amp;number=0.0044274&amp;sourceID=12","0.0044274")</f>
        <v>0.0044274</v>
      </c>
      <c r="O225" s="4" t="str">
        <f>HYPERLINK("http://141.218.60.56/~jnz1568/getInfo.php?workbook=05_01.xlsx&amp;sheet=A0&amp;row=225&amp;col=15&amp;number=0.0044274&amp;sourceID=12","0.0044274")</f>
        <v>0.0044274</v>
      </c>
      <c r="P225" s="4" t="str">
        <f>HYPERLINK("http://141.218.60.56/~jnz1568/getInfo.php?workbook=05_01.xlsx&amp;sheet=A0&amp;row=225&amp;col=16&amp;number=&amp;sourceID=12","")</f>
        <v/>
      </c>
      <c r="Q225" s="4" t="str">
        <f>HYPERLINK("http://141.218.60.56/~jnz1568/getInfo.php?workbook=05_01.xlsx&amp;sheet=A0&amp;row=225&amp;col=17&amp;number=0&amp;sourceID=12","0")</f>
        <v>0</v>
      </c>
      <c r="R225" s="4" t="str">
        <f>HYPERLINK("http://141.218.60.56/~jnz1568/getInfo.php?workbook=05_01.xlsx&amp;sheet=A0&amp;row=225&amp;col=18&amp;number=&amp;sourceID=12","")</f>
        <v/>
      </c>
      <c r="S225" s="4" t="str">
        <f>HYPERLINK("http://141.218.60.56/~jnz1568/getInfo.php?workbook=05_01.xlsx&amp;sheet=A0&amp;row=225&amp;col=19&amp;number=0&amp;sourceID=12","0")</f>
        <v>0</v>
      </c>
      <c r="T225" s="4" t="str">
        <f>HYPERLINK("http://141.218.60.56/~jnz1568/getInfo.php?workbook=05_01.xlsx&amp;sheet=A0&amp;row=225&amp;col=20&amp;number=&amp;sourceID=12","")</f>
        <v/>
      </c>
    </row>
    <row r="226" spans="1:20">
      <c r="A226" s="3">
        <v>5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HYPERLINK("http://141.218.60.56/~jnz1568/getInfo.php?workbook=05_01.xlsx&amp;sheet=A0&amp;row=226&amp;col=6&amp;number=&amp;sourceID=18","")</f>
        <v/>
      </c>
      <c r="G226" s="4" t="str">
        <f>HYPERLINK("http://141.218.60.56/~jnz1568/getInfo.php?workbook=05_01.xlsx&amp;sheet=A0&amp;row=226&amp;col=7&amp;number==&amp;sourceID=11","=")</f>
        <v>=</v>
      </c>
      <c r="H226" s="4" t="str">
        <f>HYPERLINK("http://141.218.60.56/~jnz1568/getInfo.php?workbook=05_01.xlsx&amp;sheet=A0&amp;row=226&amp;col=8&amp;number=&amp;sourceID=11","")</f>
        <v/>
      </c>
      <c r="I226" s="4" t="str">
        <f>HYPERLINK("http://141.218.60.56/~jnz1568/getInfo.php?workbook=05_01.xlsx&amp;sheet=A0&amp;row=226&amp;col=9&amp;number=&amp;sourceID=11","")</f>
        <v/>
      </c>
      <c r="J226" s="4" t="str">
        <f>HYPERLINK("http://141.218.60.56/~jnz1568/getInfo.php?workbook=05_01.xlsx&amp;sheet=A0&amp;row=226&amp;col=10&amp;number=&amp;sourceID=11","")</f>
        <v/>
      </c>
      <c r="K226" s="4" t="str">
        <f>HYPERLINK("http://141.218.60.56/~jnz1568/getInfo.php?workbook=05_01.xlsx&amp;sheet=A0&amp;row=226&amp;col=11&amp;number=&amp;sourceID=11","")</f>
        <v/>
      </c>
      <c r="L226" s="4" t="str">
        <f>HYPERLINK("http://141.218.60.56/~jnz1568/getInfo.php?workbook=05_01.xlsx&amp;sheet=A0&amp;row=226&amp;col=12&amp;number=&amp;sourceID=11","")</f>
        <v/>
      </c>
      <c r="M226" s="4" t="str">
        <f>HYPERLINK("http://141.218.60.56/~jnz1568/getInfo.php?workbook=05_01.xlsx&amp;sheet=A0&amp;row=226&amp;col=13&amp;number=1.789e-12&amp;sourceID=11","1.789e-12")</f>
        <v>1.789e-12</v>
      </c>
      <c r="N226" s="4" t="str">
        <f>HYPERLINK("http://141.218.60.56/~jnz1568/getInfo.php?workbook=05_01.xlsx&amp;sheet=A0&amp;row=226&amp;col=14&amp;number=1.73e-13&amp;sourceID=12","1.73e-13")</f>
        <v>1.73e-13</v>
      </c>
      <c r="O226" s="4" t="str">
        <f>HYPERLINK("http://141.218.60.56/~jnz1568/getInfo.php?workbook=05_01.xlsx&amp;sheet=A0&amp;row=226&amp;col=15&amp;number=&amp;sourceID=12","")</f>
        <v/>
      </c>
      <c r="P226" s="4" t="str">
        <f>HYPERLINK("http://141.218.60.56/~jnz1568/getInfo.php?workbook=05_01.xlsx&amp;sheet=A0&amp;row=226&amp;col=16&amp;number=&amp;sourceID=12","")</f>
        <v/>
      </c>
      <c r="Q226" s="4" t="str">
        <f>HYPERLINK("http://141.218.60.56/~jnz1568/getInfo.php?workbook=05_01.xlsx&amp;sheet=A0&amp;row=226&amp;col=17&amp;number=&amp;sourceID=12","")</f>
        <v/>
      </c>
      <c r="R226" s="4" t="str">
        <f>HYPERLINK("http://141.218.60.56/~jnz1568/getInfo.php?workbook=05_01.xlsx&amp;sheet=A0&amp;row=226&amp;col=18&amp;number=&amp;sourceID=12","")</f>
        <v/>
      </c>
      <c r="S226" s="4" t="str">
        <f>HYPERLINK("http://141.218.60.56/~jnz1568/getInfo.php?workbook=05_01.xlsx&amp;sheet=A0&amp;row=226&amp;col=19&amp;number=&amp;sourceID=12","")</f>
        <v/>
      </c>
      <c r="T226" s="4" t="str">
        <f>HYPERLINK("http://141.218.60.56/~jnz1568/getInfo.php?workbook=05_01.xlsx&amp;sheet=A0&amp;row=226&amp;col=20&amp;number=1.73e-13&amp;sourceID=12","1.73e-13")</f>
        <v>1.73e-13</v>
      </c>
    </row>
    <row r="227" spans="1:20">
      <c r="A227" s="3">
        <v>5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HYPERLINK("http://141.218.60.56/~jnz1568/getInfo.php?workbook=05_01.xlsx&amp;sheet=A0&amp;row=227&amp;col=6&amp;number=&amp;sourceID=18","")</f>
        <v/>
      </c>
      <c r="G227" s="4" t="str">
        <f>HYPERLINK("http://141.218.60.56/~jnz1568/getInfo.php?workbook=05_01.xlsx&amp;sheet=A0&amp;row=227&amp;col=7&amp;number==&amp;sourceID=11","=")</f>
        <v>=</v>
      </c>
      <c r="H227" s="4" t="str">
        <f>HYPERLINK("http://141.218.60.56/~jnz1568/getInfo.php?workbook=05_01.xlsx&amp;sheet=A0&amp;row=227&amp;col=8&amp;number=&amp;sourceID=11","")</f>
        <v/>
      </c>
      <c r="I227" s="4" t="str">
        <f>HYPERLINK("http://141.218.60.56/~jnz1568/getInfo.php?workbook=05_01.xlsx&amp;sheet=A0&amp;row=227&amp;col=9&amp;number=&amp;sourceID=11","")</f>
        <v/>
      </c>
      <c r="J227" s="4" t="str">
        <f>HYPERLINK("http://141.218.60.56/~jnz1568/getInfo.php?workbook=05_01.xlsx&amp;sheet=A0&amp;row=227&amp;col=10&amp;number=9.8182&amp;sourceID=11","9.8182")</f>
        <v>9.8182</v>
      </c>
      <c r="K227" s="4" t="str">
        <f>HYPERLINK("http://141.218.60.56/~jnz1568/getInfo.php?workbook=05_01.xlsx&amp;sheet=A0&amp;row=227&amp;col=11&amp;number=&amp;sourceID=11","")</f>
        <v/>
      </c>
      <c r="L227" s="4" t="str">
        <f>HYPERLINK("http://141.218.60.56/~jnz1568/getInfo.php?workbook=05_01.xlsx&amp;sheet=A0&amp;row=227&amp;col=12&amp;number=&amp;sourceID=11","")</f>
        <v/>
      </c>
      <c r="M227" s="4" t="str">
        <f>HYPERLINK("http://141.218.60.56/~jnz1568/getInfo.php?workbook=05_01.xlsx&amp;sheet=A0&amp;row=227&amp;col=13&amp;number=&amp;sourceID=11","")</f>
        <v/>
      </c>
      <c r="N227" s="4" t="str">
        <f>HYPERLINK("http://141.218.60.56/~jnz1568/getInfo.php?workbook=05_01.xlsx&amp;sheet=A0&amp;row=227&amp;col=14&amp;number=9.8187&amp;sourceID=12","9.8187")</f>
        <v>9.8187</v>
      </c>
      <c r="O227" s="4" t="str">
        <f>HYPERLINK("http://141.218.60.56/~jnz1568/getInfo.php?workbook=05_01.xlsx&amp;sheet=A0&amp;row=227&amp;col=15&amp;number=&amp;sourceID=12","")</f>
        <v/>
      </c>
      <c r="P227" s="4" t="str">
        <f>HYPERLINK("http://141.218.60.56/~jnz1568/getInfo.php?workbook=05_01.xlsx&amp;sheet=A0&amp;row=227&amp;col=16&amp;number=&amp;sourceID=12","")</f>
        <v/>
      </c>
      <c r="Q227" s="4" t="str">
        <f>HYPERLINK("http://141.218.60.56/~jnz1568/getInfo.php?workbook=05_01.xlsx&amp;sheet=A0&amp;row=227&amp;col=17&amp;number=9.8187&amp;sourceID=12","9.8187")</f>
        <v>9.8187</v>
      </c>
      <c r="R227" s="4" t="str">
        <f>HYPERLINK("http://141.218.60.56/~jnz1568/getInfo.php?workbook=05_01.xlsx&amp;sheet=A0&amp;row=227&amp;col=18&amp;number=&amp;sourceID=12","")</f>
        <v/>
      </c>
      <c r="S227" s="4" t="str">
        <f>HYPERLINK("http://141.218.60.56/~jnz1568/getInfo.php?workbook=05_01.xlsx&amp;sheet=A0&amp;row=227&amp;col=19&amp;number=&amp;sourceID=12","")</f>
        <v/>
      </c>
      <c r="T227" s="4" t="str">
        <f>HYPERLINK("http://141.218.60.56/~jnz1568/getInfo.php?workbook=05_01.xlsx&amp;sheet=A0&amp;row=227&amp;col=20&amp;number=&amp;sourceID=12","")</f>
        <v/>
      </c>
    </row>
    <row r="228" spans="1:20">
      <c r="A228" s="3">
        <v>5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HYPERLINK("http://141.218.60.56/~jnz1568/getInfo.php?workbook=05_01.xlsx&amp;sheet=A0&amp;row=228&amp;col=6&amp;number=&amp;sourceID=18","")</f>
        <v/>
      </c>
      <c r="G228" s="4" t="str">
        <f>HYPERLINK("http://141.218.60.56/~jnz1568/getInfo.php?workbook=05_01.xlsx&amp;sheet=A0&amp;row=228&amp;col=7&amp;number==&amp;sourceID=11","=")</f>
        <v>=</v>
      </c>
      <c r="H228" s="4" t="str">
        <f>HYPERLINK("http://141.218.60.56/~jnz1568/getInfo.php?workbook=05_01.xlsx&amp;sheet=A0&amp;row=228&amp;col=8&amp;number=&amp;sourceID=11","")</f>
        <v/>
      </c>
      <c r="I228" s="4" t="str">
        <f>HYPERLINK("http://141.218.60.56/~jnz1568/getInfo.php?workbook=05_01.xlsx&amp;sheet=A0&amp;row=228&amp;col=9&amp;number=&amp;sourceID=11","")</f>
        <v/>
      </c>
      <c r="J228" s="4" t="str">
        <f>HYPERLINK("http://141.218.60.56/~jnz1568/getInfo.php?workbook=05_01.xlsx&amp;sheet=A0&amp;row=228&amp;col=10&amp;number=&amp;sourceID=11","")</f>
        <v/>
      </c>
      <c r="K228" s="4" t="str">
        <f>HYPERLINK("http://141.218.60.56/~jnz1568/getInfo.php?workbook=05_01.xlsx&amp;sheet=A0&amp;row=228&amp;col=11&amp;number=&amp;sourceID=11","")</f>
        <v/>
      </c>
      <c r="L228" s="4" t="str">
        <f>HYPERLINK("http://141.218.60.56/~jnz1568/getInfo.php?workbook=05_01.xlsx&amp;sheet=A0&amp;row=228&amp;col=12&amp;number=&amp;sourceID=11","")</f>
        <v/>
      </c>
      <c r="M228" s="4" t="str">
        <f>HYPERLINK("http://141.218.60.56/~jnz1568/getInfo.php?workbook=05_01.xlsx&amp;sheet=A0&amp;row=228&amp;col=13&amp;number=1.85e-13&amp;sourceID=11","1.85e-13")</f>
        <v>1.85e-13</v>
      </c>
      <c r="N228" s="4" t="str">
        <f>HYPERLINK("http://141.218.60.56/~jnz1568/getInfo.php?workbook=05_01.xlsx&amp;sheet=A0&amp;row=228&amp;col=14&amp;number=1.82e-13&amp;sourceID=12","1.82e-13")</f>
        <v>1.82e-13</v>
      </c>
      <c r="O228" s="4" t="str">
        <f>HYPERLINK("http://141.218.60.56/~jnz1568/getInfo.php?workbook=05_01.xlsx&amp;sheet=A0&amp;row=228&amp;col=15&amp;number=&amp;sourceID=12","")</f>
        <v/>
      </c>
      <c r="P228" s="4" t="str">
        <f>HYPERLINK("http://141.218.60.56/~jnz1568/getInfo.php?workbook=05_01.xlsx&amp;sheet=A0&amp;row=228&amp;col=16&amp;number=&amp;sourceID=12","")</f>
        <v/>
      </c>
      <c r="Q228" s="4" t="str">
        <f>HYPERLINK("http://141.218.60.56/~jnz1568/getInfo.php?workbook=05_01.xlsx&amp;sheet=A0&amp;row=228&amp;col=17&amp;number=&amp;sourceID=12","")</f>
        <v/>
      </c>
      <c r="R228" s="4" t="str">
        <f>HYPERLINK("http://141.218.60.56/~jnz1568/getInfo.php?workbook=05_01.xlsx&amp;sheet=A0&amp;row=228&amp;col=18&amp;number=&amp;sourceID=12","")</f>
        <v/>
      </c>
      <c r="S228" s="4" t="str">
        <f>HYPERLINK("http://141.218.60.56/~jnz1568/getInfo.php?workbook=05_01.xlsx&amp;sheet=A0&amp;row=228&amp;col=19&amp;number=&amp;sourceID=12","")</f>
        <v/>
      </c>
      <c r="T228" s="4" t="str">
        <f>HYPERLINK("http://141.218.60.56/~jnz1568/getInfo.php?workbook=05_01.xlsx&amp;sheet=A0&amp;row=228&amp;col=20&amp;number=1.82e-13&amp;sourceID=12","1.82e-13")</f>
        <v>1.82e-13</v>
      </c>
    </row>
    <row r="229" spans="1:20">
      <c r="A229" s="3">
        <v>5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HYPERLINK("http://141.218.60.56/~jnz1568/getInfo.php?workbook=05_01.xlsx&amp;sheet=A0&amp;row=229&amp;col=6&amp;number=&amp;sourceID=18","")</f>
        <v/>
      </c>
      <c r="G229" s="4" t="str">
        <f>HYPERLINK("http://141.218.60.56/~jnz1568/getInfo.php?workbook=05_01.xlsx&amp;sheet=A0&amp;row=229&amp;col=7&amp;number==&amp;sourceID=11","=")</f>
        <v>=</v>
      </c>
      <c r="H229" s="4" t="str">
        <f>HYPERLINK("http://141.218.60.56/~jnz1568/getInfo.php?workbook=05_01.xlsx&amp;sheet=A0&amp;row=229&amp;col=8&amp;number=&amp;sourceID=11","")</f>
        <v/>
      </c>
      <c r="I229" s="4" t="str">
        <f>HYPERLINK("http://141.218.60.56/~jnz1568/getInfo.php?workbook=05_01.xlsx&amp;sheet=A0&amp;row=229&amp;col=9&amp;number=&amp;sourceID=11","")</f>
        <v/>
      </c>
      <c r="J229" s="4" t="str">
        <f>HYPERLINK("http://141.218.60.56/~jnz1568/getInfo.php?workbook=05_01.xlsx&amp;sheet=A0&amp;row=229&amp;col=10&amp;number=3.2734&amp;sourceID=11","3.2734")</f>
        <v>3.2734</v>
      </c>
      <c r="K229" s="4" t="str">
        <f>HYPERLINK("http://141.218.60.56/~jnz1568/getInfo.php?workbook=05_01.xlsx&amp;sheet=A0&amp;row=229&amp;col=11&amp;number=&amp;sourceID=11","")</f>
        <v/>
      </c>
      <c r="L229" s="4" t="str">
        <f>HYPERLINK("http://141.218.60.56/~jnz1568/getInfo.php?workbook=05_01.xlsx&amp;sheet=A0&amp;row=229&amp;col=12&amp;number=3.1177e-09&amp;sourceID=11","3.1177e-09")</f>
        <v>3.1177e-09</v>
      </c>
      <c r="M229" s="4" t="str">
        <f>HYPERLINK("http://141.218.60.56/~jnz1568/getInfo.php?workbook=05_01.xlsx&amp;sheet=A0&amp;row=229&amp;col=13&amp;number=&amp;sourceID=11","")</f>
        <v/>
      </c>
      <c r="N229" s="4" t="str">
        <f>HYPERLINK("http://141.218.60.56/~jnz1568/getInfo.php?workbook=05_01.xlsx&amp;sheet=A0&amp;row=229&amp;col=14&amp;number=3.2736&amp;sourceID=12","3.2736")</f>
        <v>3.2736</v>
      </c>
      <c r="O229" s="4" t="str">
        <f>HYPERLINK("http://141.218.60.56/~jnz1568/getInfo.php?workbook=05_01.xlsx&amp;sheet=A0&amp;row=229&amp;col=15&amp;number=&amp;sourceID=12","")</f>
        <v/>
      </c>
      <c r="P229" s="4" t="str">
        <f>HYPERLINK("http://141.218.60.56/~jnz1568/getInfo.php?workbook=05_01.xlsx&amp;sheet=A0&amp;row=229&amp;col=16&amp;number=&amp;sourceID=12","")</f>
        <v/>
      </c>
      <c r="Q229" s="4" t="str">
        <f>HYPERLINK("http://141.218.60.56/~jnz1568/getInfo.php?workbook=05_01.xlsx&amp;sheet=A0&amp;row=229&amp;col=17&amp;number=3.2736&amp;sourceID=12","3.2736")</f>
        <v>3.2736</v>
      </c>
      <c r="R229" s="4" t="str">
        <f>HYPERLINK("http://141.218.60.56/~jnz1568/getInfo.php?workbook=05_01.xlsx&amp;sheet=A0&amp;row=229&amp;col=18&amp;number=&amp;sourceID=12","")</f>
        <v/>
      </c>
      <c r="S229" s="4" t="str">
        <f>HYPERLINK("http://141.218.60.56/~jnz1568/getInfo.php?workbook=05_01.xlsx&amp;sheet=A0&amp;row=229&amp;col=19&amp;number=3.024e-09&amp;sourceID=12","3.024e-09")</f>
        <v>3.024e-09</v>
      </c>
      <c r="T229" s="4" t="str">
        <f>HYPERLINK("http://141.218.60.56/~jnz1568/getInfo.php?workbook=05_01.xlsx&amp;sheet=A0&amp;row=229&amp;col=20&amp;number=&amp;sourceID=12","")</f>
        <v/>
      </c>
    </row>
    <row r="230" spans="1:20">
      <c r="A230" s="3">
        <v>5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HYPERLINK("http://141.218.60.56/~jnz1568/getInfo.php?workbook=05_01.xlsx&amp;sheet=A0&amp;row=230&amp;col=6&amp;number=&amp;sourceID=18","")</f>
        <v/>
      </c>
      <c r="G230" s="4" t="str">
        <f>HYPERLINK("http://141.218.60.56/~jnz1568/getInfo.php?workbook=05_01.xlsx&amp;sheet=A0&amp;row=230&amp;col=7&amp;number==&amp;sourceID=11","=")</f>
        <v>=</v>
      </c>
      <c r="H230" s="4" t="str">
        <f>HYPERLINK("http://141.218.60.56/~jnz1568/getInfo.php?workbook=05_01.xlsx&amp;sheet=A0&amp;row=230&amp;col=8&amp;number=&amp;sourceID=11","")</f>
        <v/>
      </c>
      <c r="I230" s="4" t="str">
        <f>HYPERLINK("http://141.218.60.56/~jnz1568/getInfo.php?workbook=05_01.xlsx&amp;sheet=A0&amp;row=230&amp;col=9&amp;number=&amp;sourceID=11","")</f>
        <v/>
      </c>
      <c r="J230" s="4" t="str">
        <f>HYPERLINK("http://141.218.60.56/~jnz1568/getInfo.php?workbook=05_01.xlsx&amp;sheet=A0&amp;row=230&amp;col=10&amp;number=4.1527&amp;sourceID=11","4.1527")</f>
        <v>4.1527</v>
      </c>
      <c r="K230" s="4" t="str">
        <f>HYPERLINK("http://141.218.60.56/~jnz1568/getInfo.php?workbook=05_01.xlsx&amp;sheet=A0&amp;row=230&amp;col=11&amp;number=&amp;sourceID=11","")</f>
        <v/>
      </c>
      <c r="L230" s="4" t="str">
        <f>HYPERLINK("http://141.218.60.56/~jnz1568/getInfo.php?workbook=05_01.xlsx&amp;sheet=A0&amp;row=230&amp;col=12&amp;number=&amp;sourceID=11","")</f>
        <v/>
      </c>
      <c r="M230" s="4" t="str">
        <f>HYPERLINK("http://141.218.60.56/~jnz1568/getInfo.php?workbook=05_01.xlsx&amp;sheet=A0&amp;row=230&amp;col=13&amp;number=&amp;sourceID=11","")</f>
        <v/>
      </c>
      <c r="N230" s="4" t="str">
        <f>HYPERLINK("http://141.218.60.56/~jnz1568/getInfo.php?workbook=05_01.xlsx&amp;sheet=A0&amp;row=230&amp;col=14&amp;number=4.1529&amp;sourceID=12","4.1529")</f>
        <v>4.1529</v>
      </c>
      <c r="O230" s="4" t="str">
        <f>HYPERLINK("http://141.218.60.56/~jnz1568/getInfo.php?workbook=05_01.xlsx&amp;sheet=A0&amp;row=230&amp;col=15&amp;number=&amp;sourceID=12","")</f>
        <v/>
      </c>
      <c r="P230" s="4" t="str">
        <f>HYPERLINK("http://141.218.60.56/~jnz1568/getInfo.php?workbook=05_01.xlsx&amp;sheet=A0&amp;row=230&amp;col=16&amp;number=&amp;sourceID=12","")</f>
        <v/>
      </c>
      <c r="Q230" s="4" t="str">
        <f>HYPERLINK("http://141.218.60.56/~jnz1568/getInfo.php?workbook=05_01.xlsx&amp;sheet=A0&amp;row=230&amp;col=17&amp;number=4.1529&amp;sourceID=12","4.1529")</f>
        <v>4.1529</v>
      </c>
      <c r="R230" s="4" t="str">
        <f>HYPERLINK("http://141.218.60.56/~jnz1568/getInfo.php?workbook=05_01.xlsx&amp;sheet=A0&amp;row=230&amp;col=18&amp;number=&amp;sourceID=12","")</f>
        <v/>
      </c>
      <c r="S230" s="4" t="str">
        <f>HYPERLINK("http://141.218.60.56/~jnz1568/getInfo.php?workbook=05_01.xlsx&amp;sheet=A0&amp;row=230&amp;col=19&amp;number=&amp;sourceID=12","")</f>
        <v/>
      </c>
      <c r="T230" s="4" t="str">
        <f>HYPERLINK("http://141.218.60.56/~jnz1568/getInfo.php?workbook=05_01.xlsx&amp;sheet=A0&amp;row=230&amp;col=20&amp;number=&amp;sourceID=12","")</f>
        <v/>
      </c>
    </row>
    <row r="231" spans="1:20">
      <c r="A231" s="3">
        <v>5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HYPERLINK("http://141.218.60.56/~jnz1568/getInfo.php?workbook=05_01.xlsx&amp;sheet=A0&amp;row=231&amp;col=6&amp;number=&amp;sourceID=18","")</f>
        <v/>
      </c>
      <c r="G231" s="4" t="str">
        <f>HYPERLINK("http://141.218.60.56/~jnz1568/getInfo.php?workbook=05_01.xlsx&amp;sheet=A0&amp;row=231&amp;col=7&amp;number==&amp;sourceID=11","=")</f>
        <v>=</v>
      </c>
      <c r="H231" s="4" t="str">
        <f>HYPERLINK("http://141.218.60.56/~jnz1568/getInfo.php?workbook=05_01.xlsx&amp;sheet=A0&amp;row=231&amp;col=8&amp;number=&amp;sourceID=11","")</f>
        <v/>
      </c>
      <c r="I231" s="4" t="str">
        <f>HYPERLINK("http://141.218.60.56/~jnz1568/getInfo.php?workbook=05_01.xlsx&amp;sheet=A0&amp;row=231&amp;col=9&amp;number=&amp;sourceID=11","")</f>
        <v/>
      </c>
      <c r="J231" s="4" t="str">
        <f>HYPERLINK("http://141.218.60.56/~jnz1568/getInfo.php?workbook=05_01.xlsx&amp;sheet=A0&amp;row=231&amp;col=10&amp;number=&amp;sourceID=11","")</f>
        <v/>
      </c>
      <c r="K231" s="4" t="str">
        <f>HYPERLINK("http://141.218.60.56/~jnz1568/getInfo.php?workbook=05_01.xlsx&amp;sheet=A0&amp;row=231&amp;col=11&amp;number=&amp;sourceID=11","")</f>
        <v/>
      </c>
      <c r="L231" s="4" t="str">
        <f>HYPERLINK("http://141.218.60.56/~jnz1568/getInfo.php?workbook=05_01.xlsx&amp;sheet=A0&amp;row=231&amp;col=12&amp;number=&amp;sourceID=11","")</f>
        <v/>
      </c>
      <c r="M231" s="4" t="str">
        <f>HYPERLINK("http://141.218.60.56/~jnz1568/getInfo.php?workbook=05_01.xlsx&amp;sheet=A0&amp;row=231&amp;col=13&amp;number=5e-15&amp;sourceID=11","5e-15")</f>
        <v>5e-15</v>
      </c>
      <c r="N231" s="4" t="str">
        <f>HYPERLINK("http://141.218.60.56/~jnz1568/getInfo.php?workbook=05_01.xlsx&amp;sheet=A0&amp;row=231&amp;col=14&amp;number=5e-15&amp;sourceID=12","5e-15")</f>
        <v>5e-15</v>
      </c>
      <c r="O231" s="4" t="str">
        <f>HYPERLINK("http://141.218.60.56/~jnz1568/getInfo.php?workbook=05_01.xlsx&amp;sheet=A0&amp;row=231&amp;col=15&amp;number=&amp;sourceID=12","")</f>
        <v/>
      </c>
      <c r="P231" s="4" t="str">
        <f>HYPERLINK("http://141.218.60.56/~jnz1568/getInfo.php?workbook=05_01.xlsx&amp;sheet=A0&amp;row=231&amp;col=16&amp;number=&amp;sourceID=12","")</f>
        <v/>
      </c>
      <c r="Q231" s="4" t="str">
        <f>HYPERLINK("http://141.218.60.56/~jnz1568/getInfo.php?workbook=05_01.xlsx&amp;sheet=A0&amp;row=231&amp;col=17&amp;number=&amp;sourceID=12","")</f>
        <v/>
      </c>
      <c r="R231" s="4" t="str">
        <f>HYPERLINK("http://141.218.60.56/~jnz1568/getInfo.php?workbook=05_01.xlsx&amp;sheet=A0&amp;row=231&amp;col=18&amp;number=&amp;sourceID=12","")</f>
        <v/>
      </c>
      <c r="S231" s="4" t="str">
        <f>HYPERLINK("http://141.218.60.56/~jnz1568/getInfo.php?workbook=05_01.xlsx&amp;sheet=A0&amp;row=231&amp;col=19&amp;number=&amp;sourceID=12","")</f>
        <v/>
      </c>
      <c r="T231" s="4" t="str">
        <f>HYPERLINK("http://141.218.60.56/~jnz1568/getInfo.php?workbook=05_01.xlsx&amp;sheet=A0&amp;row=231&amp;col=20&amp;number=5e-15&amp;sourceID=12","5e-15")</f>
        <v>5e-15</v>
      </c>
    </row>
    <row r="232" spans="1:20">
      <c r="A232" s="3">
        <v>5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HYPERLINK("http://141.218.60.56/~jnz1568/getInfo.php?workbook=05_01.xlsx&amp;sheet=A0&amp;row=232&amp;col=6&amp;number=&amp;sourceID=18","")</f>
        <v/>
      </c>
      <c r="G232" s="4" t="str">
        <f>HYPERLINK("http://141.218.60.56/~jnz1568/getInfo.php?workbook=05_01.xlsx&amp;sheet=A0&amp;row=232&amp;col=7&amp;number==&amp;sourceID=11","=")</f>
        <v>=</v>
      </c>
      <c r="H232" s="4" t="str">
        <f>HYPERLINK("http://141.218.60.56/~jnz1568/getInfo.php?workbook=05_01.xlsx&amp;sheet=A0&amp;row=232&amp;col=8&amp;number=&amp;sourceID=11","")</f>
        <v/>
      </c>
      <c r="I232" s="4" t="str">
        <f>HYPERLINK("http://141.218.60.56/~jnz1568/getInfo.php?workbook=05_01.xlsx&amp;sheet=A0&amp;row=232&amp;col=9&amp;number=163340&amp;sourceID=11","163340")</f>
        <v>163340</v>
      </c>
      <c r="J232" s="4" t="str">
        <f>HYPERLINK("http://141.218.60.56/~jnz1568/getInfo.php?workbook=05_01.xlsx&amp;sheet=A0&amp;row=232&amp;col=10&amp;number=&amp;sourceID=11","")</f>
        <v/>
      </c>
      <c r="K232" s="4" t="str">
        <f>HYPERLINK("http://141.218.60.56/~jnz1568/getInfo.php?workbook=05_01.xlsx&amp;sheet=A0&amp;row=232&amp;col=11&amp;number=&amp;sourceID=11","")</f>
        <v/>
      </c>
      <c r="L232" s="4" t="str">
        <f>HYPERLINK("http://141.218.60.56/~jnz1568/getInfo.php?workbook=05_01.xlsx&amp;sheet=A0&amp;row=232&amp;col=12&amp;number=&amp;sourceID=11","")</f>
        <v/>
      </c>
      <c r="M232" s="4" t="str">
        <f>HYPERLINK("http://141.218.60.56/~jnz1568/getInfo.php?workbook=05_01.xlsx&amp;sheet=A0&amp;row=232&amp;col=13&amp;number=8.7162e-06&amp;sourceID=11","8.7162e-06")</f>
        <v>8.7162e-06</v>
      </c>
      <c r="N232" s="4" t="str">
        <f>HYPERLINK("http://141.218.60.56/~jnz1568/getInfo.php?workbook=05_01.xlsx&amp;sheet=A0&amp;row=232&amp;col=14&amp;number=163350&amp;sourceID=12","163350")</f>
        <v>163350</v>
      </c>
      <c r="O232" s="4" t="str">
        <f>HYPERLINK("http://141.218.60.56/~jnz1568/getInfo.php?workbook=05_01.xlsx&amp;sheet=A0&amp;row=232&amp;col=15&amp;number=&amp;sourceID=12","")</f>
        <v/>
      </c>
      <c r="P232" s="4" t="str">
        <f>HYPERLINK("http://141.218.60.56/~jnz1568/getInfo.php?workbook=05_01.xlsx&amp;sheet=A0&amp;row=232&amp;col=16&amp;number=163350&amp;sourceID=12","163350")</f>
        <v>163350</v>
      </c>
      <c r="Q232" s="4" t="str">
        <f>HYPERLINK("http://141.218.60.56/~jnz1568/getInfo.php?workbook=05_01.xlsx&amp;sheet=A0&amp;row=232&amp;col=17&amp;number=&amp;sourceID=12","")</f>
        <v/>
      </c>
      <c r="R232" s="4" t="str">
        <f>HYPERLINK("http://141.218.60.56/~jnz1568/getInfo.php?workbook=05_01.xlsx&amp;sheet=A0&amp;row=232&amp;col=18&amp;number=&amp;sourceID=12","")</f>
        <v/>
      </c>
      <c r="S232" s="4" t="str">
        <f>HYPERLINK("http://141.218.60.56/~jnz1568/getInfo.php?workbook=05_01.xlsx&amp;sheet=A0&amp;row=232&amp;col=19&amp;number=&amp;sourceID=12","")</f>
        <v/>
      </c>
      <c r="T232" s="4" t="str">
        <f>HYPERLINK("http://141.218.60.56/~jnz1568/getInfo.php?workbook=05_01.xlsx&amp;sheet=A0&amp;row=232&amp;col=20&amp;number=8.7166e-06&amp;sourceID=12","8.7166e-06")</f>
        <v>8.7166e-06</v>
      </c>
    </row>
    <row r="233" spans="1:20">
      <c r="A233" s="3">
        <v>5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HYPERLINK("http://141.218.60.56/~jnz1568/getInfo.php?workbook=05_01.xlsx&amp;sheet=A0&amp;row=233&amp;col=6&amp;number=&amp;sourceID=18","")</f>
        <v/>
      </c>
      <c r="G233" s="4" t="str">
        <f>HYPERLINK("http://141.218.60.56/~jnz1568/getInfo.php?workbook=05_01.xlsx&amp;sheet=A0&amp;row=233&amp;col=7&amp;number==&amp;sourceID=11","=")</f>
        <v>=</v>
      </c>
      <c r="H233" s="4" t="str">
        <f>HYPERLINK("http://141.218.60.56/~jnz1568/getInfo.php?workbook=05_01.xlsx&amp;sheet=A0&amp;row=233&amp;col=8&amp;number=&amp;sourceID=11","")</f>
        <v/>
      </c>
      <c r="I233" s="4" t="str">
        <f>HYPERLINK("http://141.218.60.56/~jnz1568/getInfo.php?workbook=05_01.xlsx&amp;sheet=A0&amp;row=233&amp;col=9&amp;number=&amp;sourceID=11","")</f>
        <v/>
      </c>
      <c r="J233" s="4" t="str">
        <f>HYPERLINK("http://141.218.60.56/~jnz1568/getInfo.php?workbook=05_01.xlsx&amp;sheet=A0&amp;row=233&amp;col=10&amp;number=1.3831&amp;sourceID=11","1.3831")</f>
        <v>1.3831</v>
      </c>
      <c r="K233" s="4" t="str">
        <f>HYPERLINK("http://141.218.60.56/~jnz1568/getInfo.php?workbook=05_01.xlsx&amp;sheet=A0&amp;row=233&amp;col=11&amp;number=&amp;sourceID=11","")</f>
        <v/>
      </c>
      <c r="L233" s="4" t="str">
        <f>HYPERLINK("http://141.218.60.56/~jnz1568/getInfo.php?workbook=05_01.xlsx&amp;sheet=A0&amp;row=233&amp;col=12&amp;number=4.1299e-10&amp;sourceID=11","4.1299e-10")</f>
        <v>4.1299e-10</v>
      </c>
      <c r="M233" s="4" t="str">
        <f>HYPERLINK("http://141.218.60.56/~jnz1568/getInfo.php?workbook=05_01.xlsx&amp;sheet=A0&amp;row=233&amp;col=13&amp;number=&amp;sourceID=11","")</f>
        <v/>
      </c>
      <c r="N233" s="4" t="str">
        <f>HYPERLINK("http://141.218.60.56/~jnz1568/getInfo.php?workbook=05_01.xlsx&amp;sheet=A0&amp;row=233&amp;col=14&amp;number=1.3831&amp;sourceID=12","1.3831")</f>
        <v>1.3831</v>
      </c>
      <c r="O233" s="4" t="str">
        <f>HYPERLINK("http://141.218.60.56/~jnz1568/getInfo.php?workbook=05_01.xlsx&amp;sheet=A0&amp;row=233&amp;col=15&amp;number=&amp;sourceID=12","")</f>
        <v/>
      </c>
      <c r="P233" s="4" t="str">
        <f>HYPERLINK("http://141.218.60.56/~jnz1568/getInfo.php?workbook=05_01.xlsx&amp;sheet=A0&amp;row=233&amp;col=16&amp;number=&amp;sourceID=12","")</f>
        <v/>
      </c>
      <c r="Q233" s="4" t="str">
        <f>HYPERLINK("http://141.218.60.56/~jnz1568/getInfo.php?workbook=05_01.xlsx&amp;sheet=A0&amp;row=233&amp;col=17&amp;number=1.3831&amp;sourceID=12","1.3831")</f>
        <v>1.3831</v>
      </c>
      <c r="R233" s="4" t="str">
        <f>HYPERLINK("http://141.218.60.56/~jnz1568/getInfo.php?workbook=05_01.xlsx&amp;sheet=A0&amp;row=233&amp;col=18&amp;number=&amp;sourceID=12","")</f>
        <v/>
      </c>
      <c r="S233" s="4" t="str">
        <f>HYPERLINK("http://141.218.60.56/~jnz1568/getInfo.php?workbook=05_01.xlsx&amp;sheet=A0&amp;row=233&amp;col=19&amp;number=4.1291e-10&amp;sourceID=12","4.1291e-10")</f>
        <v>4.1291e-10</v>
      </c>
      <c r="T233" s="4" t="str">
        <f>HYPERLINK("http://141.218.60.56/~jnz1568/getInfo.php?workbook=05_01.xlsx&amp;sheet=A0&amp;row=233&amp;col=20&amp;number=&amp;sourceID=12","")</f>
        <v/>
      </c>
    </row>
    <row r="234" spans="1:20">
      <c r="A234" s="3">
        <v>5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HYPERLINK("http://141.218.60.56/~jnz1568/getInfo.php?workbook=05_01.xlsx&amp;sheet=A0&amp;row=234&amp;col=6&amp;number=&amp;sourceID=18","")</f>
        <v/>
      </c>
      <c r="G234" s="4" t="str">
        <f>HYPERLINK("http://141.218.60.56/~jnz1568/getInfo.php?workbook=05_01.xlsx&amp;sheet=A0&amp;row=234&amp;col=7&amp;number==&amp;sourceID=11","=")</f>
        <v>=</v>
      </c>
      <c r="H234" s="4" t="str">
        <f>HYPERLINK("http://141.218.60.56/~jnz1568/getInfo.php?workbook=05_01.xlsx&amp;sheet=A0&amp;row=234&amp;col=8&amp;number=&amp;sourceID=11","")</f>
        <v/>
      </c>
      <c r="I234" s="4" t="str">
        <f>HYPERLINK("http://141.218.60.56/~jnz1568/getInfo.php?workbook=05_01.xlsx&amp;sheet=A0&amp;row=234&amp;col=9&amp;number=18148&amp;sourceID=11","18148")</f>
        <v>18148</v>
      </c>
      <c r="J234" s="4" t="str">
        <f>HYPERLINK("http://141.218.60.56/~jnz1568/getInfo.php?workbook=05_01.xlsx&amp;sheet=A0&amp;row=234&amp;col=10&amp;number=&amp;sourceID=11","")</f>
        <v/>
      </c>
      <c r="K234" s="4" t="str">
        <f>HYPERLINK("http://141.218.60.56/~jnz1568/getInfo.php?workbook=05_01.xlsx&amp;sheet=A0&amp;row=234&amp;col=11&amp;number=1.3559e-05&amp;sourceID=11","1.3559e-05")</f>
        <v>1.3559e-05</v>
      </c>
      <c r="L234" s="4" t="str">
        <f>HYPERLINK("http://141.218.60.56/~jnz1568/getInfo.php?workbook=05_01.xlsx&amp;sheet=A0&amp;row=234&amp;col=12&amp;number=&amp;sourceID=11","")</f>
        <v/>
      </c>
      <c r="M234" s="4" t="str">
        <f>HYPERLINK("http://141.218.60.56/~jnz1568/getInfo.php?workbook=05_01.xlsx&amp;sheet=A0&amp;row=234&amp;col=13&amp;number=3.2276e-07&amp;sourceID=11","3.2276e-07")</f>
        <v>3.2276e-07</v>
      </c>
      <c r="N234" s="4" t="str">
        <f>HYPERLINK("http://141.218.60.56/~jnz1568/getInfo.php?workbook=05_01.xlsx&amp;sheet=A0&amp;row=234&amp;col=14&amp;number=18149&amp;sourceID=12","18149")</f>
        <v>18149</v>
      </c>
      <c r="O234" s="4" t="str">
        <f>HYPERLINK("http://141.218.60.56/~jnz1568/getInfo.php?workbook=05_01.xlsx&amp;sheet=A0&amp;row=234&amp;col=15&amp;number=&amp;sourceID=12","")</f>
        <v/>
      </c>
      <c r="P234" s="4" t="str">
        <f>HYPERLINK("http://141.218.60.56/~jnz1568/getInfo.php?workbook=05_01.xlsx&amp;sheet=A0&amp;row=234&amp;col=16&amp;number=18149&amp;sourceID=12","18149")</f>
        <v>18149</v>
      </c>
      <c r="Q234" s="4" t="str">
        <f>HYPERLINK("http://141.218.60.56/~jnz1568/getInfo.php?workbook=05_01.xlsx&amp;sheet=A0&amp;row=234&amp;col=17&amp;number=&amp;sourceID=12","")</f>
        <v/>
      </c>
      <c r="R234" s="4" t="str">
        <f>HYPERLINK("http://141.218.60.56/~jnz1568/getInfo.php?workbook=05_01.xlsx&amp;sheet=A0&amp;row=234&amp;col=18&amp;number=1.3556e-05&amp;sourceID=12","1.3556e-05")</f>
        <v>1.3556e-05</v>
      </c>
      <c r="S234" s="4" t="str">
        <f>HYPERLINK("http://141.218.60.56/~jnz1568/getInfo.php?workbook=05_01.xlsx&amp;sheet=A0&amp;row=234&amp;col=19&amp;number=&amp;sourceID=12","")</f>
        <v/>
      </c>
      <c r="T234" s="4" t="str">
        <f>HYPERLINK("http://141.218.60.56/~jnz1568/getInfo.php?workbook=05_01.xlsx&amp;sheet=A0&amp;row=234&amp;col=20&amp;number=3.2277e-07&amp;sourceID=12","3.2277e-07")</f>
        <v>3.2277e-07</v>
      </c>
    </row>
    <row r="235" spans="1:20">
      <c r="A235" s="3">
        <v>5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HYPERLINK("http://141.218.60.56/~jnz1568/getInfo.php?workbook=05_01.xlsx&amp;sheet=A0&amp;row=235&amp;col=6&amp;number=&amp;sourceID=18","")</f>
        <v/>
      </c>
      <c r="G235" s="4" t="str">
        <f>HYPERLINK("http://141.218.60.56/~jnz1568/getInfo.php?workbook=05_01.xlsx&amp;sheet=A0&amp;row=235&amp;col=7&amp;number==&amp;sourceID=11","=")</f>
        <v>=</v>
      </c>
      <c r="H235" s="4" t="str">
        <f>HYPERLINK("http://141.218.60.56/~jnz1568/getInfo.php?workbook=05_01.xlsx&amp;sheet=A0&amp;row=235&amp;col=8&amp;number=&amp;sourceID=11","")</f>
        <v/>
      </c>
      <c r="I235" s="4" t="str">
        <f>HYPERLINK("http://141.218.60.56/~jnz1568/getInfo.php?workbook=05_01.xlsx&amp;sheet=A0&amp;row=235&amp;col=9&amp;number=&amp;sourceID=11","")</f>
        <v/>
      </c>
      <c r="J235" s="4" t="str">
        <f>HYPERLINK("http://141.218.60.56/~jnz1568/getInfo.php?workbook=05_01.xlsx&amp;sheet=A0&amp;row=235&amp;col=10&amp;number=0.038352&amp;sourceID=11","0.038352")</f>
        <v>0.038352</v>
      </c>
      <c r="K235" s="4" t="str">
        <f>HYPERLINK("http://141.218.60.56/~jnz1568/getInfo.php?workbook=05_01.xlsx&amp;sheet=A0&amp;row=235&amp;col=11&amp;number=&amp;sourceID=11","")</f>
        <v/>
      </c>
      <c r="L235" s="4" t="str">
        <f>HYPERLINK("http://141.218.60.56/~jnz1568/getInfo.php?workbook=05_01.xlsx&amp;sheet=A0&amp;row=235&amp;col=12&amp;number=&amp;sourceID=11","")</f>
        <v/>
      </c>
      <c r="M235" s="4" t="str">
        <f>HYPERLINK("http://141.218.60.56/~jnz1568/getInfo.php?workbook=05_01.xlsx&amp;sheet=A0&amp;row=235&amp;col=13&amp;number=&amp;sourceID=11","")</f>
        <v/>
      </c>
      <c r="N235" s="4" t="str">
        <f>HYPERLINK("http://141.218.60.56/~jnz1568/getInfo.php?workbook=05_01.xlsx&amp;sheet=A0&amp;row=235&amp;col=14&amp;number=0.038354&amp;sourceID=12","0.038354")</f>
        <v>0.038354</v>
      </c>
      <c r="O235" s="4" t="str">
        <f>HYPERLINK("http://141.218.60.56/~jnz1568/getInfo.php?workbook=05_01.xlsx&amp;sheet=A0&amp;row=235&amp;col=15&amp;number=&amp;sourceID=12","")</f>
        <v/>
      </c>
      <c r="P235" s="4" t="str">
        <f>HYPERLINK("http://141.218.60.56/~jnz1568/getInfo.php?workbook=05_01.xlsx&amp;sheet=A0&amp;row=235&amp;col=16&amp;number=&amp;sourceID=12","")</f>
        <v/>
      </c>
      <c r="Q235" s="4" t="str">
        <f>HYPERLINK("http://141.218.60.56/~jnz1568/getInfo.php?workbook=05_01.xlsx&amp;sheet=A0&amp;row=235&amp;col=17&amp;number=0.038354&amp;sourceID=12","0.038354")</f>
        <v>0.038354</v>
      </c>
      <c r="R235" s="4" t="str">
        <f>HYPERLINK("http://141.218.60.56/~jnz1568/getInfo.php?workbook=05_01.xlsx&amp;sheet=A0&amp;row=235&amp;col=18&amp;number=&amp;sourceID=12","")</f>
        <v/>
      </c>
      <c r="S235" s="4" t="str">
        <f>HYPERLINK("http://141.218.60.56/~jnz1568/getInfo.php?workbook=05_01.xlsx&amp;sheet=A0&amp;row=235&amp;col=19&amp;number=&amp;sourceID=12","")</f>
        <v/>
      </c>
      <c r="T235" s="4" t="str">
        <f>HYPERLINK("http://141.218.60.56/~jnz1568/getInfo.php?workbook=05_01.xlsx&amp;sheet=A0&amp;row=235&amp;col=20&amp;number=&amp;sourceID=12","")</f>
        <v/>
      </c>
    </row>
    <row r="236" spans="1:20">
      <c r="A236" s="3">
        <v>5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HYPERLINK("http://141.218.60.56/~jnz1568/getInfo.php?workbook=05_01.xlsx&amp;sheet=A0&amp;row=236&amp;col=6&amp;number=&amp;sourceID=18","")</f>
        <v/>
      </c>
      <c r="G236" s="4" t="str">
        <f>HYPERLINK("http://141.218.60.56/~jnz1568/getInfo.php?workbook=05_01.xlsx&amp;sheet=A0&amp;row=236&amp;col=7&amp;number==&amp;sourceID=11","=")</f>
        <v>=</v>
      </c>
      <c r="H236" s="4" t="str">
        <f>HYPERLINK("http://141.218.60.56/~jnz1568/getInfo.php?workbook=05_01.xlsx&amp;sheet=A0&amp;row=236&amp;col=8&amp;number=&amp;sourceID=11","")</f>
        <v/>
      </c>
      <c r="I236" s="4" t="str">
        <f>HYPERLINK("http://141.218.60.56/~jnz1568/getInfo.php?workbook=05_01.xlsx&amp;sheet=A0&amp;row=236&amp;col=9&amp;number=&amp;sourceID=11","")</f>
        <v/>
      </c>
      <c r="J236" s="4" t="str">
        <f>HYPERLINK("http://141.218.60.56/~jnz1568/getInfo.php?workbook=05_01.xlsx&amp;sheet=A0&amp;row=236&amp;col=10&amp;number=&amp;sourceID=11","")</f>
        <v/>
      </c>
      <c r="K236" s="4" t="str">
        <f>HYPERLINK("http://141.218.60.56/~jnz1568/getInfo.php?workbook=05_01.xlsx&amp;sheet=A0&amp;row=236&amp;col=11&amp;number=&amp;sourceID=11","")</f>
        <v/>
      </c>
      <c r="L236" s="4" t="str">
        <f>HYPERLINK("http://141.218.60.56/~jnz1568/getInfo.php?workbook=05_01.xlsx&amp;sheet=A0&amp;row=236&amp;col=12&amp;number=&amp;sourceID=11","")</f>
        <v/>
      </c>
      <c r="M236" s="4" t="str">
        <f>HYPERLINK("http://141.218.60.56/~jnz1568/getInfo.php?workbook=05_01.xlsx&amp;sheet=A0&amp;row=236&amp;col=13&amp;number=0&amp;sourceID=11","0")</f>
        <v>0</v>
      </c>
      <c r="N236" s="4" t="str">
        <f>HYPERLINK("http://141.218.60.56/~jnz1568/getInfo.php?workbook=05_01.xlsx&amp;sheet=A0&amp;row=236&amp;col=14&amp;number=0&amp;sourceID=12","0")</f>
        <v>0</v>
      </c>
      <c r="O236" s="4" t="str">
        <f>HYPERLINK("http://141.218.60.56/~jnz1568/getInfo.php?workbook=05_01.xlsx&amp;sheet=A0&amp;row=236&amp;col=15&amp;number=&amp;sourceID=12","")</f>
        <v/>
      </c>
      <c r="P236" s="4" t="str">
        <f>HYPERLINK("http://141.218.60.56/~jnz1568/getInfo.php?workbook=05_01.xlsx&amp;sheet=A0&amp;row=236&amp;col=16&amp;number=&amp;sourceID=12","")</f>
        <v/>
      </c>
      <c r="Q236" s="4" t="str">
        <f>HYPERLINK("http://141.218.60.56/~jnz1568/getInfo.php?workbook=05_01.xlsx&amp;sheet=A0&amp;row=236&amp;col=17&amp;number=&amp;sourceID=12","")</f>
        <v/>
      </c>
      <c r="R236" s="4" t="str">
        <f>HYPERLINK("http://141.218.60.56/~jnz1568/getInfo.php?workbook=05_01.xlsx&amp;sheet=A0&amp;row=236&amp;col=18&amp;number=&amp;sourceID=12","")</f>
        <v/>
      </c>
      <c r="S236" s="4" t="str">
        <f>HYPERLINK("http://141.218.60.56/~jnz1568/getInfo.php?workbook=05_01.xlsx&amp;sheet=A0&amp;row=236&amp;col=19&amp;number=&amp;sourceID=12","")</f>
        <v/>
      </c>
      <c r="T236" s="4" t="str">
        <f>HYPERLINK("http://141.218.60.56/~jnz1568/getInfo.php?workbook=05_01.xlsx&amp;sheet=A0&amp;row=236&amp;col=20&amp;number=0&amp;sourceID=12","0")</f>
        <v>0</v>
      </c>
    </row>
    <row r="237" spans="1:20">
      <c r="A237" s="3">
        <v>5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HYPERLINK("http://141.218.60.56/~jnz1568/getInfo.php?workbook=05_01.xlsx&amp;sheet=A0&amp;row=237&amp;col=6&amp;number=&amp;sourceID=18","")</f>
        <v/>
      </c>
      <c r="G237" s="4" t="str">
        <f>HYPERLINK("http://141.218.60.56/~jnz1568/getInfo.php?workbook=05_01.xlsx&amp;sheet=A0&amp;row=237&amp;col=7&amp;number==&amp;sourceID=11","=")</f>
        <v>=</v>
      </c>
      <c r="H237" s="4" t="str">
        <f>HYPERLINK("http://141.218.60.56/~jnz1568/getInfo.php?workbook=05_01.xlsx&amp;sheet=A0&amp;row=237&amp;col=8&amp;number=&amp;sourceID=11","")</f>
        <v/>
      </c>
      <c r="I237" s="4" t="str">
        <f>HYPERLINK("http://141.218.60.56/~jnz1568/getInfo.php?workbook=05_01.xlsx&amp;sheet=A0&amp;row=237&amp;col=9&amp;number=14066&amp;sourceID=11","14066")</f>
        <v>14066</v>
      </c>
      <c r="J237" s="4" t="str">
        <f>HYPERLINK("http://141.218.60.56/~jnz1568/getInfo.php?workbook=05_01.xlsx&amp;sheet=A0&amp;row=237&amp;col=10&amp;number=&amp;sourceID=11","")</f>
        <v/>
      </c>
      <c r="K237" s="4" t="str">
        <f>HYPERLINK("http://141.218.60.56/~jnz1568/getInfo.php?workbook=05_01.xlsx&amp;sheet=A0&amp;row=237&amp;col=11&amp;number=&amp;sourceID=11","")</f>
        <v/>
      </c>
      <c r="L237" s="4" t="str">
        <f>HYPERLINK("http://141.218.60.56/~jnz1568/getInfo.php?workbook=05_01.xlsx&amp;sheet=A0&amp;row=237&amp;col=12&amp;number=&amp;sourceID=11","")</f>
        <v/>
      </c>
      <c r="M237" s="4" t="str">
        <f>HYPERLINK("http://141.218.60.56/~jnz1568/getInfo.php?workbook=05_01.xlsx&amp;sheet=A0&amp;row=237&amp;col=13&amp;number=7.5158e-08&amp;sourceID=11","7.5158e-08")</f>
        <v>7.5158e-08</v>
      </c>
      <c r="N237" s="4" t="str">
        <f>HYPERLINK("http://141.218.60.56/~jnz1568/getInfo.php?workbook=05_01.xlsx&amp;sheet=A0&amp;row=237&amp;col=14&amp;number=14067&amp;sourceID=12","14067")</f>
        <v>14067</v>
      </c>
      <c r="O237" s="4" t="str">
        <f>HYPERLINK("http://141.218.60.56/~jnz1568/getInfo.php?workbook=05_01.xlsx&amp;sheet=A0&amp;row=237&amp;col=15&amp;number=&amp;sourceID=12","")</f>
        <v/>
      </c>
      <c r="P237" s="4" t="str">
        <f>HYPERLINK("http://141.218.60.56/~jnz1568/getInfo.php?workbook=05_01.xlsx&amp;sheet=A0&amp;row=237&amp;col=16&amp;number=14067&amp;sourceID=12","14067")</f>
        <v>14067</v>
      </c>
      <c r="Q237" s="4" t="str">
        <f>HYPERLINK("http://141.218.60.56/~jnz1568/getInfo.php?workbook=05_01.xlsx&amp;sheet=A0&amp;row=237&amp;col=17&amp;number=&amp;sourceID=12","")</f>
        <v/>
      </c>
      <c r="R237" s="4" t="str">
        <f>HYPERLINK("http://141.218.60.56/~jnz1568/getInfo.php?workbook=05_01.xlsx&amp;sheet=A0&amp;row=237&amp;col=18&amp;number=&amp;sourceID=12","")</f>
        <v/>
      </c>
      <c r="S237" s="4" t="str">
        <f>HYPERLINK("http://141.218.60.56/~jnz1568/getInfo.php?workbook=05_01.xlsx&amp;sheet=A0&amp;row=237&amp;col=19&amp;number=&amp;sourceID=12","")</f>
        <v/>
      </c>
      <c r="T237" s="4" t="str">
        <f>HYPERLINK("http://141.218.60.56/~jnz1568/getInfo.php?workbook=05_01.xlsx&amp;sheet=A0&amp;row=237&amp;col=20&amp;number=7.5162e-08&amp;sourceID=12","7.5162e-08")</f>
        <v>7.5162e-08</v>
      </c>
    </row>
    <row r="238" spans="1:20">
      <c r="A238" s="3">
        <v>5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HYPERLINK("http://141.218.60.56/~jnz1568/getInfo.php?workbook=05_01.xlsx&amp;sheet=A0&amp;row=238&amp;col=6&amp;number=&amp;sourceID=18","")</f>
        <v/>
      </c>
      <c r="G238" s="4" t="str">
        <f>HYPERLINK("http://141.218.60.56/~jnz1568/getInfo.php?workbook=05_01.xlsx&amp;sheet=A0&amp;row=238&amp;col=7&amp;number==&amp;sourceID=11","=")</f>
        <v>=</v>
      </c>
      <c r="H238" s="4" t="str">
        <f>HYPERLINK("http://141.218.60.56/~jnz1568/getInfo.php?workbook=05_01.xlsx&amp;sheet=A0&amp;row=238&amp;col=8&amp;number=&amp;sourceID=11","")</f>
        <v/>
      </c>
      <c r="I238" s="4" t="str">
        <f>HYPERLINK("http://141.218.60.56/~jnz1568/getInfo.php?workbook=05_01.xlsx&amp;sheet=A0&amp;row=238&amp;col=9&amp;number=&amp;sourceID=11","")</f>
        <v/>
      </c>
      <c r="J238" s="4" t="str">
        <f>HYPERLINK("http://141.218.60.56/~jnz1568/getInfo.php?workbook=05_01.xlsx&amp;sheet=A0&amp;row=238&amp;col=10&amp;number=0.012752&amp;sourceID=11","0.012752")</f>
        <v>0.012752</v>
      </c>
      <c r="K238" s="4" t="str">
        <f>HYPERLINK("http://141.218.60.56/~jnz1568/getInfo.php?workbook=05_01.xlsx&amp;sheet=A0&amp;row=238&amp;col=11&amp;number=&amp;sourceID=11","")</f>
        <v/>
      </c>
      <c r="L238" s="4" t="str">
        <f>HYPERLINK("http://141.218.60.56/~jnz1568/getInfo.php?workbook=05_01.xlsx&amp;sheet=A0&amp;row=238&amp;col=12&amp;number=2.4e-12&amp;sourceID=11","2.4e-12")</f>
        <v>2.4e-12</v>
      </c>
      <c r="M238" s="4" t="str">
        <f>HYPERLINK("http://141.218.60.56/~jnz1568/getInfo.php?workbook=05_01.xlsx&amp;sheet=A0&amp;row=238&amp;col=13&amp;number=&amp;sourceID=11","")</f>
        <v/>
      </c>
      <c r="N238" s="4" t="str">
        <f>HYPERLINK("http://141.218.60.56/~jnz1568/getInfo.php?workbook=05_01.xlsx&amp;sheet=A0&amp;row=238&amp;col=14&amp;number=0.012752&amp;sourceID=12","0.012752")</f>
        <v>0.012752</v>
      </c>
      <c r="O238" s="4" t="str">
        <f>HYPERLINK("http://141.218.60.56/~jnz1568/getInfo.php?workbook=05_01.xlsx&amp;sheet=A0&amp;row=238&amp;col=15&amp;number=&amp;sourceID=12","")</f>
        <v/>
      </c>
      <c r="P238" s="4" t="str">
        <f>HYPERLINK("http://141.218.60.56/~jnz1568/getInfo.php?workbook=05_01.xlsx&amp;sheet=A0&amp;row=238&amp;col=16&amp;number=&amp;sourceID=12","")</f>
        <v/>
      </c>
      <c r="Q238" s="4" t="str">
        <f>HYPERLINK("http://141.218.60.56/~jnz1568/getInfo.php?workbook=05_01.xlsx&amp;sheet=A0&amp;row=238&amp;col=17&amp;number=0.012752&amp;sourceID=12","0.012752")</f>
        <v>0.012752</v>
      </c>
      <c r="R238" s="4" t="str">
        <f>HYPERLINK("http://141.218.60.56/~jnz1568/getInfo.php?workbook=05_01.xlsx&amp;sheet=A0&amp;row=238&amp;col=18&amp;number=&amp;sourceID=12","")</f>
        <v/>
      </c>
      <c r="S238" s="4" t="str">
        <f>HYPERLINK("http://141.218.60.56/~jnz1568/getInfo.php?workbook=05_01.xlsx&amp;sheet=A0&amp;row=238&amp;col=19&amp;number=2.4e-12&amp;sourceID=12","2.4e-12")</f>
        <v>2.4e-12</v>
      </c>
      <c r="T238" s="4" t="str">
        <f>HYPERLINK("http://141.218.60.56/~jnz1568/getInfo.php?workbook=05_01.xlsx&amp;sheet=A0&amp;row=238&amp;col=20&amp;number=&amp;sourceID=12","")</f>
        <v/>
      </c>
    </row>
    <row r="239" spans="1:20">
      <c r="A239" s="3">
        <v>5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HYPERLINK("http://141.218.60.56/~jnz1568/getInfo.php?workbook=05_01.xlsx&amp;sheet=A0&amp;row=239&amp;col=6&amp;number=&amp;sourceID=18","")</f>
        <v/>
      </c>
      <c r="G239" s="4" t="str">
        <f>HYPERLINK("http://141.218.60.56/~jnz1568/getInfo.php?workbook=05_01.xlsx&amp;sheet=A0&amp;row=239&amp;col=7&amp;number==&amp;sourceID=11","=")</f>
        <v>=</v>
      </c>
      <c r="H239" s="4" t="str">
        <f>HYPERLINK("http://141.218.60.56/~jnz1568/getInfo.php?workbook=05_01.xlsx&amp;sheet=A0&amp;row=239&amp;col=8&amp;number=2565300000&amp;sourceID=11","2565300000")</f>
        <v>2565300000</v>
      </c>
      <c r="I239" s="4" t="str">
        <f>HYPERLINK("http://141.218.60.56/~jnz1568/getInfo.php?workbook=05_01.xlsx&amp;sheet=A0&amp;row=239&amp;col=9&amp;number=&amp;sourceID=11","")</f>
        <v/>
      </c>
      <c r="J239" s="4" t="str">
        <f>HYPERLINK("http://141.218.60.56/~jnz1568/getInfo.php?workbook=05_01.xlsx&amp;sheet=A0&amp;row=239&amp;col=10&amp;number=0.0131&amp;sourceID=11","0.0131")</f>
        <v>0.0131</v>
      </c>
      <c r="K239" s="4" t="str">
        <f>HYPERLINK("http://141.218.60.56/~jnz1568/getInfo.php?workbook=05_01.xlsx&amp;sheet=A0&amp;row=239&amp;col=11&amp;number=&amp;sourceID=11","")</f>
        <v/>
      </c>
      <c r="L239" s="4" t="str">
        <f>HYPERLINK("http://141.218.60.56/~jnz1568/getInfo.php?workbook=05_01.xlsx&amp;sheet=A0&amp;row=239&amp;col=12&amp;number=0.065277&amp;sourceID=11","0.065277")</f>
        <v>0.065277</v>
      </c>
      <c r="M239" s="4" t="str">
        <f>HYPERLINK("http://141.218.60.56/~jnz1568/getInfo.php?workbook=05_01.xlsx&amp;sheet=A0&amp;row=239&amp;col=13&amp;number=&amp;sourceID=11","")</f>
        <v/>
      </c>
      <c r="N239" s="4" t="str">
        <f>HYPERLINK("http://141.218.60.56/~jnz1568/getInfo.php?workbook=05_01.xlsx&amp;sheet=A0&amp;row=239&amp;col=14&amp;number=2565500000&amp;sourceID=12","2565500000")</f>
        <v>2565500000</v>
      </c>
      <c r="O239" s="4" t="str">
        <f>HYPERLINK("http://141.218.60.56/~jnz1568/getInfo.php?workbook=05_01.xlsx&amp;sheet=A0&amp;row=239&amp;col=15&amp;number=2565500000&amp;sourceID=12","2565500000")</f>
        <v>2565500000</v>
      </c>
      <c r="P239" s="4" t="str">
        <f>HYPERLINK("http://141.218.60.56/~jnz1568/getInfo.php?workbook=05_01.xlsx&amp;sheet=A0&amp;row=239&amp;col=16&amp;number=&amp;sourceID=12","")</f>
        <v/>
      </c>
      <c r="Q239" s="4" t="str">
        <f>HYPERLINK("http://141.218.60.56/~jnz1568/getInfo.php?workbook=05_01.xlsx&amp;sheet=A0&amp;row=239&amp;col=17&amp;number=0.013101&amp;sourceID=12","0.013101")</f>
        <v>0.013101</v>
      </c>
      <c r="R239" s="4" t="str">
        <f>HYPERLINK("http://141.218.60.56/~jnz1568/getInfo.php?workbook=05_01.xlsx&amp;sheet=A0&amp;row=239&amp;col=18&amp;number=&amp;sourceID=12","")</f>
        <v/>
      </c>
      <c r="S239" s="4" t="str">
        <f>HYPERLINK("http://141.218.60.56/~jnz1568/getInfo.php?workbook=05_01.xlsx&amp;sheet=A0&amp;row=239&amp;col=19&amp;number=0.06528&amp;sourceID=12","0.06528")</f>
        <v>0.06528</v>
      </c>
      <c r="T239" s="4" t="str">
        <f>HYPERLINK("http://141.218.60.56/~jnz1568/getInfo.php?workbook=05_01.xlsx&amp;sheet=A0&amp;row=239&amp;col=20&amp;number=&amp;sourceID=12","")</f>
        <v/>
      </c>
    </row>
    <row r="240" spans="1:20">
      <c r="A240" s="3">
        <v>5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HYPERLINK("http://141.218.60.56/~jnz1568/getInfo.php?workbook=05_01.xlsx&amp;sheet=A0&amp;row=240&amp;col=6&amp;number=&amp;sourceID=18","")</f>
        <v/>
      </c>
      <c r="G240" s="4" t="str">
        <f>HYPERLINK("http://141.218.60.56/~jnz1568/getInfo.php?workbook=05_01.xlsx&amp;sheet=A0&amp;row=240&amp;col=7&amp;number==&amp;sourceID=11","=")</f>
        <v>=</v>
      </c>
      <c r="H240" s="4" t="str">
        <f>HYPERLINK("http://141.218.60.56/~jnz1568/getInfo.php?workbook=05_01.xlsx&amp;sheet=A0&amp;row=240&amp;col=8&amp;number=&amp;sourceID=11","")</f>
        <v/>
      </c>
      <c r="I240" s="4" t="str">
        <f>HYPERLINK("http://141.218.60.56/~jnz1568/getInfo.php?workbook=05_01.xlsx&amp;sheet=A0&amp;row=240&amp;col=9&amp;number=1562.1&amp;sourceID=11","1562.1")</f>
        <v>1562.1</v>
      </c>
      <c r="J240" s="4" t="str">
        <f>HYPERLINK("http://141.218.60.56/~jnz1568/getInfo.php?workbook=05_01.xlsx&amp;sheet=A0&amp;row=240&amp;col=10&amp;number=&amp;sourceID=11","")</f>
        <v/>
      </c>
      <c r="K240" s="4" t="str">
        <f>HYPERLINK("http://141.218.60.56/~jnz1568/getInfo.php?workbook=05_01.xlsx&amp;sheet=A0&amp;row=240&amp;col=11&amp;number=5.2313e-07&amp;sourceID=11","5.2313e-07")</f>
        <v>5.2313e-07</v>
      </c>
      <c r="L240" s="4" t="str">
        <f>HYPERLINK("http://141.218.60.56/~jnz1568/getInfo.php?workbook=05_01.xlsx&amp;sheet=A0&amp;row=240&amp;col=12&amp;number=&amp;sourceID=11","")</f>
        <v/>
      </c>
      <c r="M240" s="4" t="str">
        <f>HYPERLINK("http://141.218.60.56/~jnz1568/getInfo.php?workbook=05_01.xlsx&amp;sheet=A0&amp;row=240&amp;col=13&amp;number=2.7813e-09&amp;sourceID=11","2.7813e-09")</f>
        <v>2.7813e-09</v>
      </c>
      <c r="N240" s="4" t="str">
        <f>HYPERLINK("http://141.218.60.56/~jnz1568/getInfo.php?workbook=05_01.xlsx&amp;sheet=A0&amp;row=240&amp;col=14&amp;number=1562.1&amp;sourceID=12","1562.1")</f>
        <v>1562.1</v>
      </c>
      <c r="O240" s="4" t="str">
        <f>HYPERLINK("http://141.218.60.56/~jnz1568/getInfo.php?workbook=05_01.xlsx&amp;sheet=A0&amp;row=240&amp;col=15&amp;number=&amp;sourceID=12","")</f>
        <v/>
      </c>
      <c r="P240" s="4" t="str">
        <f>HYPERLINK("http://141.218.60.56/~jnz1568/getInfo.php?workbook=05_01.xlsx&amp;sheet=A0&amp;row=240&amp;col=16&amp;number=1562.1&amp;sourceID=12","1562.1")</f>
        <v>1562.1</v>
      </c>
      <c r="Q240" s="4" t="str">
        <f>HYPERLINK("http://141.218.60.56/~jnz1568/getInfo.php?workbook=05_01.xlsx&amp;sheet=A0&amp;row=240&amp;col=17&amp;number=&amp;sourceID=12","")</f>
        <v/>
      </c>
      <c r="R240" s="4" t="str">
        <f>HYPERLINK("http://141.218.60.56/~jnz1568/getInfo.php?workbook=05_01.xlsx&amp;sheet=A0&amp;row=240&amp;col=18&amp;number=5.2307e-07&amp;sourceID=12","5.2307e-07")</f>
        <v>5.2307e-07</v>
      </c>
      <c r="S240" s="4" t="str">
        <f>HYPERLINK("http://141.218.60.56/~jnz1568/getInfo.php?workbook=05_01.xlsx&amp;sheet=A0&amp;row=240&amp;col=19&amp;number=&amp;sourceID=12","")</f>
        <v/>
      </c>
      <c r="T240" s="4" t="str">
        <f>HYPERLINK("http://141.218.60.56/~jnz1568/getInfo.php?workbook=05_01.xlsx&amp;sheet=A0&amp;row=240&amp;col=20&amp;number=2.7815e-09&amp;sourceID=12","2.7815e-09")</f>
        <v>2.7815e-09</v>
      </c>
    </row>
    <row r="241" spans="1:20">
      <c r="A241" s="3">
        <v>5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HYPERLINK("http://141.218.60.56/~jnz1568/getInfo.php?workbook=05_01.xlsx&amp;sheet=A0&amp;row=241&amp;col=6&amp;number=&amp;sourceID=18","")</f>
        <v/>
      </c>
      <c r="G241" s="4" t="str">
        <f>HYPERLINK("http://141.218.60.56/~jnz1568/getInfo.php?workbook=05_01.xlsx&amp;sheet=A0&amp;row=241&amp;col=7&amp;number==&amp;sourceID=11","=")</f>
        <v>=</v>
      </c>
      <c r="H241" s="4" t="str">
        <f>HYPERLINK("http://141.218.60.56/~jnz1568/getInfo.php?workbook=05_01.xlsx&amp;sheet=A0&amp;row=241&amp;col=8&amp;number=95001000&amp;sourceID=11","95001000")</f>
        <v>95001000</v>
      </c>
      <c r="I241" s="4" t="str">
        <f>HYPERLINK("http://141.218.60.56/~jnz1568/getInfo.php?workbook=05_01.xlsx&amp;sheet=A0&amp;row=241&amp;col=9&amp;number=&amp;sourceID=11","")</f>
        <v/>
      </c>
      <c r="J241" s="4" t="str">
        <f>HYPERLINK("http://141.218.60.56/~jnz1568/getInfo.php?workbook=05_01.xlsx&amp;sheet=A0&amp;row=241&amp;col=10&amp;number=0.0035715&amp;sourceID=11","0.0035715")</f>
        <v>0.0035715</v>
      </c>
      <c r="K241" s="4" t="str">
        <f>HYPERLINK("http://141.218.60.56/~jnz1568/getInfo.php?workbook=05_01.xlsx&amp;sheet=A0&amp;row=241&amp;col=11&amp;number=&amp;sourceID=11","")</f>
        <v/>
      </c>
      <c r="L241" s="4" t="str">
        <f>HYPERLINK("http://141.218.60.56/~jnz1568/getInfo.php?workbook=05_01.xlsx&amp;sheet=A0&amp;row=241&amp;col=12&amp;number=&amp;sourceID=11","")</f>
        <v/>
      </c>
      <c r="M241" s="4" t="str">
        <f>HYPERLINK("http://141.218.60.56/~jnz1568/getInfo.php?workbook=05_01.xlsx&amp;sheet=A0&amp;row=241&amp;col=13&amp;number=&amp;sourceID=11","")</f>
        <v/>
      </c>
      <c r="N241" s="4" t="str">
        <f>HYPERLINK("http://141.218.60.56/~jnz1568/getInfo.php?workbook=05_01.xlsx&amp;sheet=A0&amp;row=241&amp;col=14&amp;number=95006000&amp;sourceID=12","95006000")</f>
        <v>95006000</v>
      </c>
      <c r="O241" s="4" t="str">
        <f>HYPERLINK("http://141.218.60.56/~jnz1568/getInfo.php?workbook=05_01.xlsx&amp;sheet=A0&amp;row=241&amp;col=15&amp;number=95006000&amp;sourceID=12","95006000")</f>
        <v>95006000</v>
      </c>
      <c r="P241" s="4" t="str">
        <f>HYPERLINK("http://141.218.60.56/~jnz1568/getInfo.php?workbook=05_01.xlsx&amp;sheet=A0&amp;row=241&amp;col=16&amp;number=&amp;sourceID=12","")</f>
        <v/>
      </c>
      <c r="Q241" s="4" t="str">
        <f>HYPERLINK("http://141.218.60.56/~jnz1568/getInfo.php?workbook=05_01.xlsx&amp;sheet=A0&amp;row=241&amp;col=17&amp;number=0.0035717&amp;sourceID=12","0.0035717")</f>
        <v>0.0035717</v>
      </c>
      <c r="R241" s="4" t="str">
        <f>HYPERLINK("http://141.218.60.56/~jnz1568/getInfo.php?workbook=05_01.xlsx&amp;sheet=A0&amp;row=241&amp;col=18&amp;number=&amp;sourceID=12","")</f>
        <v/>
      </c>
      <c r="S241" s="4" t="str">
        <f>HYPERLINK("http://141.218.60.56/~jnz1568/getInfo.php?workbook=05_01.xlsx&amp;sheet=A0&amp;row=241&amp;col=19&amp;number=&amp;sourceID=12","")</f>
        <v/>
      </c>
      <c r="T241" s="4" t="str">
        <f>HYPERLINK("http://141.218.60.56/~jnz1568/getInfo.php?workbook=05_01.xlsx&amp;sheet=A0&amp;row=241&amp;col=20&amp;number=&amp;sourceID=12","")</f>
        <v/>
      </c>
    </row>
    <row r="242" spans="1:20">
      <c r="A242" s="3">
        <v>5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HYPERLINK("http://141.218.60.56/~jnz1568/getInfo.php?workbook=05_01.xlsx&amp;sheet=A0&amp;row=242&amp;col=6&amp;number=&amp;sourceID=18","")</f>
        <v/>
      </c>
      <c r="G242" s="4" t="str">
        <f>HYPERLINK("http://141.218.60.56/~jnz1568/getInfo.php?workbook=05_01.xlsx&amp;sheet=A0&amp;row=242&amp;col=7&amp;number==&amp;sourceID=11","=")</f>
        <v>=</v>
      </c>
      <c r="H242" s="4" t="str">
        <f>HYPERLINK("http://141.218.60.56/~jnz1568/getInfo.php?workbook=05_01.xlsx&amp;sheet=A0&amp;row=242&amp;col=8&amp;number=&amp;sourceID=11","")</f>
        <v/>
      </c>
      <c r="I242" s="4" t="str">
        <f>HYPERLINK("http://141.218.60.56/~jnz1568/getInfo.php?workbook=05_01.xlsx&amp;sheet=A0&amp;row=242&amp;col=9&amp;number=&amp;sourceID=11","")</f>
        <v/>
      </c>
      <c r="J242" s="4" t="str">
        <f>HYPERLINK("http://141.218.60.56/~jnz1568/getInfo.php?workbook=05_01.xlsx&amp;sheet=A0&amp;row=242&amp;col=10&amp;number=0&amp;sourceID=11","0")</f>
        <v>0</v>
      </c>
      <c r="K242" s="4" t="str">
        <f>HYPERLINK("http://141.218.60.56/~jnz1568/getInfo.php?workbook=05_01.xlsx&amp;sheet=A0&amp;row=242&amp;col=11&amp;number=&amp;sourceID=11","")</f>
        <v/>
      </c>
      <c r="L242" s="4" t="str">
        <f>HYPERLINK("http://141.218.60.56/~jnz1568/getInfo.php?workbook=05_01.xlsx&amp;sheet=A0&amp;row=242&amp;col=12&amp;number=&amp;sourceID=11","")</f>
        <v/>
      </c>
      <c r="M242" s="4" t="str">
        <f>HYPERLINK("http://141.218.60.56/~jnz1568/getInfo.php?workbook=05_01.xlsx&amp;sheet=A0&amp;row=242&amp;col=13&amp;number=&amp;sourceID=11","")</f>
        <v/>
      </c>
      <c r="N242" s="4" t="str">
        <f>HYPERLINK("http://141.218.60.56/~jnz1568/getInfo.php?workbook=05_01.xlsx&amp;sheet=A0&amp;row=242&amp;col=14&amp;number=0&amp;sourceID=12","0")</f>
        <v>0</v>
      </c>
      <c r="O242" s="4" t="str">
        <f>HYPERLINK("http://141.218.60.56/~jnz1568/getInfo.php?workbook=05_01.xlsx&amp;sheet=A0&amp;row=242&amp;col=15&amp;number=&amp;sourceID=12","")</f>
        <v/>
      </c>
      <c r="P242" s="4" t="str">
        <f>HYPERLINK("http://141.218.60.56/~jnz1568/getInfo.php?workbook=05_01.xlsx&amp;sheet=A0&amp;row=242&amp;col=16&amp;number=&amp;sourceID=12","")</f>
        <v/>
      </c>
      <c r="Q242" s="4" t="str">
        <f>HYPERLINK("http://141.218.60.56/~jnz1568/getInfo.php?workbook=05_01.xlsx&amp;sheet=A0&amp;row=242&amp;col=17&amp;number=0&amp;sourceID=12","0")</f>
        <v>0</v>
      </c>
      <c r="R242" s="4" t="str">
        <f>HYPERLINK("http://141.218.60.56/~jnz1568/getInfo.php?workbook=05_01.xlsx&amp;sheet=A0&amp;row=242&amp;col=18&amp;number=&amp;sourceID=12","")</f>
        <v/>
      </c>
      <c r="S242" s="4" t="str">
        <f>HYPERLINK("http://141.218.60.56/~jnz1568/getInfo.php?workbook=05_01.xlsx&amp;sheet=A0&amp;row=242&amp;col=19&amp;number=&amp;sourceID=12","")</f>
        <v/>
      </c>
      <c r="T242" s="4" t="str">
        <f>HYPERLINK("http://141.218.60.56/~jnz1568/getInfo.php?workbook=05_01.xlsx&amp;sheet=A0&amp;row=242&amp;col=20&amp;number=&amp;sourceID=12","")</f>
        <v/>
      </c>
    </row>
    <row r="243" spans="1:20">
      <c r="A243" s="3">
        <v>5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HYPERLINK("http://141.218.60.56/~jnz1568/getInfo.php?workbook=05_01.xlsx&amp;sheet=A0&amp;row=243&amp;col=6&amp;number=&amp;sourceID=18","")</f>
        <v/>
      </c>
      <c r="G243" s="4" t="str">
        <f>HYPERLINK("http://141.218.60.56/~jnz1568/getInfo.php?workbook=05_01.xlsx&amp;sheet=A0&amp;row=243&amp;col=7&amp;number==&amp;sourceID=11","=")</f>
        <v>=</v>
      </c>
      <c r="H243" s="4" t="str">
        <f>HYPERLINK("http://141.218.60.56/~jnz1568/getInfo.php?workbook=05_01.xlsx&amp;sheet=A0&amp;row=243&amp;col=8&amp;number=&amp;sourceID=11","")</f>
        <v/>
      </c>
      <c r="I243" s="4" t="str">
        <f>HYPERLINK("http://141.218.60.56/~jnz1568/getInfo.php?workbook=05_01.xlsx&amp;sheet=A0&amp;row=243&amp;col=9&amp;number=&amp;sourceID=11","")</f>
        <v/>
      </c>
      <c r="J243" s="4" t="str">
        <f>HYPERLINK("http://141.218.60.56/~jnz1568/getInfo.php?workbook=05_01.xlsx&amp;sheet=A0&amp;row=243&amp;col=10&amp;number=&amp;sourceID=11","")</f>
        <v/>
      </c>
      <c r="K243" s="4" t="str">
        <f>HYPERLINK("http://141.218.60.56/~jnz1568/getInfo.php?workbook=05_01.xlsx&amp;sheet=A0&amp;row=243&amp;col=11&amp;number=&amp;sourceID=11","")</f>
        <v/>
      </c>
      <c r="L243" s="4" t="str">
        <f>HYPERLINK("http://141.218.60.56/~jnz1568/getInfo.php?workbook=05_01.xlsx&amp;sheet=A0&amp;row=243&amp;col=12&amp;number=&amp;sourceID=11","")</f>
        <v/>
      </c>
      <c r="M243" s="4" t="str">
        <f>HYPERLINK("http://141.218.60.56/~jnz1568/getInfo.php?workbook=05_01.xlsx&amp;sheet=A0&amp;row=243&amp;col=13&amp;number=0&amp;sourceID=11","0")</f>
        <v>0</v>
      </c>
      <c r="N243" s="4" t="str">
        <f>HYPERLINK("http://141.218.60.56/~jnz1568/getInfo.php?workbook=05_01.xlsx&amp;sheet=A0&amp;row=243&amp;col=14&amp;number=0&amp;sourceID=12","0")</f>
        <v>0</v>
      </c>
      <c r="O243" s="4" t="str">
        <f>HYPERLINK("http://141.218.60.56/~jnz1568/getInfo.php?workbook=05_01.xlsx&amp;sheet=A0&amp;row=243&amp;col=15&amp;number=&amp;sourceID=12","")</f>
        <v/>
      </c>
      <c r="P243" s="4" t="str">
        <f>HYPERLINK("http://141.218.60.56/~jnz1568/getInfo.php?workbook=05_01.xlsx&amp;sheet=A0&amp;row=243&amp;col=16&amp;number=&amp;sourceID=12","")</f>
        <v/>
      </c>
      <c r="Q243" s="4" t="str">
        <f>HYPERLINK("http://141.218.60.56/~jnz1568/getInfo.php?workbook=05_01.xlsx&amp;sheet=A0&amp;row=243&amp;col=17&amp;number=&amp;sourceID=12","")</f>
        <v/>
      </c>
      <c r="R243" s="4" t="str">
        <f>HYPERLINK("http://141.218.60.56/~jnz1568/getInfo.php?workbook=05_01.xlsx&amp;sheet=A0&amp;row=243&amp;col=18&amp;number=&amp;sourceID=12","")</f>
        <v/>
      </c>
      <c r="S243" s="4" t="str">
        <f>HYPERLINK("http://141.218.60.56/~jnz1568/getInfo.php?workbook=05_01.xlsx&amp;sheet=A0&amp;row=243&amp;col=19&amp;number=&amp;sourceID=12","")</f>
        <v/>
      </c>
      <c r="T243" s="4" t="str">
        <f>HYPERLINK("http://141.218.60.56/~jnz1568/getInfo.php?workbook=05_01.xlsx&amp;sheet=A0&amp;row=243&amp;col=20&amp;number=0&amp;sourceID=12","0")</f>
        <v>0</v>
      </c>
    </row>
    <row r="244" spans="1:20">
      <c r="A244" s="3">
        <v>5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HYPERLINK("http://141.218.60.56/~jnz1568/getInfo.php?workbook=05_01.xlsx&amp;sheet=A0&amp;row=244&amp;col=6&amp;number=&amp;sourceID=18","")</f>
        <v/>
      </c>
      <c r="G244" s="4" t="str">
        <f>HYPERLINK("http://141.218.60.56/~jnz1568/getInfo.php?workbook=05_01.xlsx&amp;sheet=A0&amp;row=244&amp;col=7&amp;number==&amp;sourceID=11","=")</f>
        <v>=</v>
      </c>
      <c r="H244" s="4" t="str">
        <f>HYPERLINK("http://141.218.60.56/~jnz1568/getInfo.php?workbook=05_01.xlsx&amp;sheet=A0&amp;row=244&amp;col=8&amp;number=&amp;sourceID=11","")</f>
        <v/>
      </c>
      <c r="I244" s="4" t="str">
        <f>HYPERLINK("http://141.218.60.56/~jnz1568/getInfo.php?workbook=05_01.xlsx&amp;sheet=A0&amp;row=244&amp;col=9&amp;number=1e-15&amp;sourceID=11","1e-15")</f>
        <v>1e-15</v>
      </c>
      <c r="J244" s="4" t="str">
        <f>HYPERLINK("http://141.218.60.56/~jnz1568/getInfo.php?workbook=05_01.xlsx&amp;sheet=A0&amp;row=244&amp;col=10&amp;number=&amp;sourceID=11","")</f>
        <v/>
      </c>
      <c r="K244" s="4" t="str">
        <f>HYPERLINK("http://141.218.60.56/~jnz1568/getInfo.php?workbook=05_01.xlsx&amp;sheet=A0&amp;row=244&amp;col=11&amp;number=&amp;sourceID=11","")</f>
        <v/>
      </c>
      <c r="L244" s="4" t="str">
        <f>HYPERLINK("http://141.218.60.56/~jnz1568/getInfo.php?workbook=05_01.xlsx&amp;sheet=A0&amp;row=244&amp;col=12&amp;number=&amp;sourceID=11","")</f>
        <v/>
      </c>
      <c r="M244" s="4" t="str">
        <f>HYPERLINK("http://141.218.60.56/~jnz1568/getInfo.php?workbook=05_01.xlsx&amp;sheet=A0&amp;row=244&amp;col=13&amp;number=0&amp;sourceID=11","0")</f>
        <v>0</v>
      </c>
      <c r="N244" s="4" t="str">
        <f>HYPERLINK("http://141.218.60.56/~jnz1568/getInfo.php?workbook=05_01.xlsx&amp;sheet=A0&amp;row=244&amp;col=14&amp;number=1e-15&amp;sourceID=12","1e-15")</f>
        <v>1e-15</v>
      </c>
      <c r="O244" s="4" t="str">
        <f>HYPERLINK("http://141.218.60.56/~jnz1568/getInfo.php?workbook=05_01.xlsx&amp;sheet=A0&amp;row=244&amp;col=15&amp;number=&amp;sourceID=12","")</f>
        <v/>
      </c>
      <c r="P244" s="4" t="str">
        <f>HYPERLINK("http://141.218.60.56/~jnz1568/getInfo.php?workbook=05_01.xlsx&amp;sheet=A0&amp;row=244&amp;col=16&amp;number=1e-15&amp;sourceID=12","1e-15")</f>
        <v>1e-15</v>
      </c>
      <c r="Q244" s="4" t="str">
        <f>HYPERLINK("http://141.218.60.56/~jnz1568/getInfo.php?workbook=05_01.xlsx&amp;sheet=A0&amp;row=244&amp;col=17&amp;number=&amp;sourceID=12","")</f>
        <v/>
      </c>
      <c r="R244" s="4" t="str">
        <f>HYPERLINK("http://141.218.60.56/~jnz1568/getInfo.php?workbook=05_01.xlsx&amp;sheet=A0&amp;row=244&amp;col=18&amp;number=&amp;sourceID=12","")</f>
        <v/>
      </c>
      <c r="S244" s="4" t="str">
        <f>HYPERLINK("http://141.218.60.56/~jnz1568/getInfo.php?workbook=05_01.xlsx&amp;sheet=A0&amp;row=244&amp;col=19&amp;number=&amp;sourceID=12","")</f>
        <v/>
      </c>
      <c r="T244" s="4" t="str">
        <f>HYPERLINK("http://141.218.60.56/~jnz1568/getInfo.php?workbook=05_01.xlsx&amp;sheet=A0&amp;row=244&amp;col=20&amp;number=0&amp;sourceID=12","0")</f>
        <v>0</v>
      </c>
    </row>
    <row r="245" spans="1:20">
      <c r="A245" s="3">
        <v>5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HYPERLINK("http://141.218.60.56/~jnz1568/getInfo.php?workbook=05_01.xlsx&amp;sheet=A0&amp;row=245&amp;col=6&amp;number=&amp;sourceID=18","")</f>
        <v/>
      </c>
      <c r="G245" s="4" t="str">
        <f>HYPERLINK("http://141.218.60.56/~jnz1568/getInfo.php?workbook=05_01.xlsx&amp;sheet=A0&amp;row=245&amp;col=7&amp;number==&amp;sourceID=11","=")</f>
        <v>=</v>
      </c>
      <c r="H245" s="4" t="str">
        <f>HYPERLINK("http://141.218.60.56/~jnz1568/getInfo.php?workbook=05_01.xlsx&amp;sheet=A0&amp;row=245&amp;col=8&amp;number=&amp;sourceID=11","")</f>
        <v/>
      </c>
      <c r="I245" s="4" t="str">
        <f>HYPERLINK("http://141.218.60.56/~jnz1568/getInfo.php?workbook=05_01.xlsx&amp;sheet=A0&amp;row=245&amp;col=9&amp;number=&amp;sourceID=11","")</f>
        <v/>
      </c>
      <c r="J245" s="4" t="str">
        <f>HYPERLINK("http://141.218.60.56/~jnz1568/getInfo.php?workbook=05_01.xlsx&amp;sheet=A0&amp;row=245&amp;col=10&amp;number=0&amp;sourceID=11","0")</f>
        <v>0</v>
      </c>
      <c r="K245" s="4" t="str">
        <f>HYPERLINK("http://141.218.60.56/~jnz1568/getInfo.php?workbook=05_01.xlsx&amp;sheet=A0&amp;row=245&amp;col=11&amp;number=&amp;sourceID=11","")</f>
        <v/>
      </c>
      <c r="L245" s="4" t="str">
        <f>HYPERLINK("http://141.218.60.56/~jnz1568/getInfo.php?workbook=05_01.xlsx&amp;sheet=A0&amp;row=245&amp;col=12&amp;number=0&amp;sourceID=11","0")</f>
        <v>0</v>
      </c>
      <c r="M245" s="4" t="str">
        <f>HYPERLINK("http://141.218.60.56/~jnz1568/getInfo.php?workbook=05_01.xlsx&amp;sheet=A0&amp;row=245&amp;col=13&amp;number=&amp;sourceID=11","")</f>
        <v/>
      </c>
      <c r="N245" s="4" t="str">
        <f>HYPERLINK("http://141.218.60.56/~jnz1568/getInfo.php?workbook=05_01.xlsx&amp;sheet=A0&amp;row=245&amp;col=14&amp;number=0&amp;sourceID=12","0")</f>
        <v>0</v>
      </c>
      <c r="O245" s="4" t="str">
        <f>HYPERLINK("http://141.218.60.56/~jnz1568/getInfo.php?workbook=05_01.xlsx&amp;sheet=A0&amp;row=245&amp;col=15&amp;number=&amp;sourceID=12","")</f>
        <v/>
      </c>
      <c r="P245" s="4" t="str">
        <f>HYPERLINK("http://141.218.60.56/~jnz1568/getInfo.php?workbook=05_01.xlsx&amp;sheet=A0&amp;row=245&amp;col=16&amp;number=&amp;sourceID=12","")</f>
        <v/>
      </c>
      <c r="Q245" s="4" t="str">
        <f>HYPERLINK("http://141.218.60.56/~jnz1568/getInfo.php?workbook=05_01.xlsx&amp;sheet=A0&amp;row=245&amp;col=17&amp;number=0&amp;sourceID=12","0")</f>
        <v>0</v>
      </c>
      <c r="R245" s="4" t="str">
        <f>HYPERLINK("http://141.218.60.56/~jnz1568/getInfo.php?workbook=05_01.xlsx&amp;sheet=A0&amp;row=245&amp;col=18&amp;number=&amp;sourceID=12","")</f>
        <v/>
      </c>
      <c r="S245" s="4" t="str">
        <f>HYPERLINK("http://141.218.60.56/~jnz1568/getInfo.php?workbook=05_01.xlsx&amp;sheet=A0&amp;row=245&amp;col=19&amp;number=0&amp;sourceID=12","0")</f>
        <v>0</v>
      </c>
      <c r="T245" s="4" t="str">
        <f>HYPERLINK("http://141.218.60.56/~jnz1568/getInfo.php?workbook=05_01.xlsx&amp;sheet=A0&amp;row=245&amp;col=20&amp;number=&amp;sourceID=12","")</f>
        <v/>
      </c>
    </row>
    <row r="246" spans="1:20">
      <c r="A246" s="3">
        <v>5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HYPERLINK("http://141.218.60.56/~jnz1568/getInfo.php?workbook=05_01.xlsx&amp;sheet=A0&amp;row=246&amp;col=6&amp;number=&amp;sourceID=18","")</f>
        <v/>
      </c>
      <c r="G246" s="4" t="str">
        <f>HYPERLINK("http://141.218.60.56/~jnz1568/getInfo.php?workbook=05_01.xlsx&amp;sheet=A0&amp;row=246&amp;col=7&amp;number==&amp;sourceID=11","=")</f>
        <v>=</v>
      </c>
      <c r="H246" s="4" t="str">
        <f>HYPERLINK("http://141.218.60.56/~jnz1568/getInfo.php?workbook=05_01.xlsx&amp;sheet=A0&amp;row=246&amp;col=8&amp;number=0.00025389&amp;sourceID=11","0.00025389")</f>
        <v>0.00025389</v>
      </c>
      <c r="I246" s="4" t="str">
        <f>HYPERLINK("http://141.218.60.56/~jnz1568/getInfo.php?workbook=05_01.xlsx&amp;sheet=A0&amp;row=246&amp;col=9&amp;number=&amp;sourceID=11","")</f>
        <v/>
      </c>
      <c r="J246" s="4" t="str">
        <f>HYPERLINK("http://141.218.60.56/~jnz1568/getInfo.php?workbook=05_01.xlsx&amp;sheet=A0&amp;row=246&amp;col=10&amp;number=0&amp;sourceID=11","0")</f>
        <v>0</v>
      </c>
      <c r="K246" s="4" t="str">
        <f>HYPERLINK("http://141.218.60.56/~jnz1568/getInfo.php?workbook=05_01.xlsx&amp;sheet=A0&amp;row=246&amp;col=11&amp;number=&amp;sourceID=11","")</f>
        <v/>
      </c>
      <c r="L246" s="4" t="str">
        <f>HYPERLINK("http://141.218.60.56/~jnz1568/getInfo.php?workbook=05_01.xlsx&amp;sheet=A0&amp;row=246&amp;col=12&amp;number=0&amp;sourceID=11","0")</f>
        <v>0</v>
      </c>
      <c r="M246" s="4" t="str">
        <f>HYPERLINK("http://141.218.60.56/~jnz1568/getInfo.php?workbook=05_01.xlsx&amp;sheet=A0&amp;row=246&amp;col=13&amp;number=&amp;sourceID=11","")</f>
        <v/>
      </c>
      <c r="N246" s="4" t="str">
        <f>HYPERLINK("http://141.218.60.56/~jnz1568/getInfo.php?workbook=05_01.xlsx&amp;sheet=A0&amp;row=246&amp;col=14&amp;number=0.00025403&amp;sourceID=12","0.00025403")</f>
        <v>0.00025403</v>
      </c>
      <c r="O246" s="4" t="str">
        <f>HYPERLINK("http://141.218.60.56/~jnz1568/getInfo.php?workbook=05_01.xlsx&amp;sheet=A0&amp;row=246&amp;col=15&amp;number=0.00025403&amp;sourceID=12","0.00025403")</f>
        <v>0.00025403</v>
      </c>
      <c r="P246" s="4" t="str">
        <f>HYPERLINK("http://141.218.60.56/~jnz1568/getInfo.php?workbook=05_01.xlsx&amp;sheet=A0&amp;row=246&amp;col=16&amp;number=&amp;sourceID=12","")</f>
        <v/>
      </c>
      <c r="Q246" s="4" t="str">
        <f>HYPERLINK("http://141.218.60.56/~jnz1568/getInfo.php?workbook=05_01.xlsx&amp;sheet=A0&amp;row=246&amp;col=17&amp;number=0&amp;sourceID=12","0")</f>
        <v>0</v>
      </c>
      <c r="R246" s="4" t="str">
        <f>HYPERLINK("http://141.218.60.56/~jnz1568/getInfo.php?workbook=05_01.xlsx&amp;sheet=A0&amp;row=246&amp;col=18&amp;number=&amp;sourceID=12","")</f>
        <v/>
      </c>
      <c r="S246" s="4" t="str">
        <f>HYPERLINK("http://141.218.60.56/~jnz1568/getInfo.php?workbook=05_01.xlsx&amp;sheet=A0&amp;row=246&amp;col=19&amp;number=0&amp;sourceID=12","0")</f>
        <v>0</v>
      </c>
      <c r="T246" s="4" t="str">
        <f>HYPERLINK("http://141.218.60.56/~jnz1568/getInfo.php?workbook=05_01.xlsx&amp;sheet=A0&amp;row=246&amp;col=20&amp;number=&amp;sourceID=12","")</f>
        <v/>
      </c>
    </row>
    <row r="247" spans="1:20">
      <c r="A247" s="3">
        <v>5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HYPERLINK("http://141.218.60.56/~jnz1568/getInfo.php?workbook=05_01.xlsx&amp;sheet=A0&amp;row=247&amp;col=6&amp;number=&amp;sourceID=18","")</f>
        <v/>
      </c>
      <c r="G247" s="4" t="str">
        <f>HYPERLINK("http://141.218.60.56/~jnz1568/getInfo.php?workbook=05_01.xlsx&amp;sheet=A0&amp;row=247&amp;col=7&amp;number==&amp;sourceID=11","=")</f>
        <v>=</v>
      </c>
      <c r="H247" s="4" t="str">
        <f>HYPERLINK("http://141.218.60.56/~jnz1568/getInfo.php?workbook=05_01.xlsx&amp;sheet=A0&amp;row=247&amp;col=8&amp;number=&amp;sourceID=11","")</f>
        <v/>
      </c>
      <c r="I247" s="4" t="str">
        <f>HYPERLINK("http://141.218.60.56/~jnz1568/getInfo.php?workbook=05_01.xlsx&amp;sheet=A0&amp;row=247&amp;col=9&amp;number=0&amp;sourceID=11","0")</f>
        <v>0</v>
      </c>
      <c r="J247" s="4" t="str">
        <f>HYPERLINK("http://141.218.60.56/~jnz1568/getInfo.php?workbook=05_01.xlsx&amp;sheet=A0&amp;row=247&amp;col=10&amp;number=&amp;sourceID=11","")</f>
        <v/>
      </c>
      <c r="K247" s="4" t="str">
        <f>HYPERLINK("http://141.218.60.56/~jnz1568/getInfo.php?workbook=05_01.xlsx&amp;sheet=A0&amp;row=247&amp;col=11&amp;number=0&amp;sourceID=11","0")</f>
        <v>0</v>
      </c>
      <c r="L247" s="4" t="str">
        <f>HYPERLINK("http://141.218.60.56/~jnz1568/getInfo.php?workbook=05_01.xlsx&amp;sheet=A0&amp;row=247&amp;col=12&amp;number=&amp;sourceID=11","")</f>
        <v/>
      </c>
      <c r="M247" s="4" t="str">
        <f>HYPERLINK("http://141.218.60.56/~jnz1568/getInfo.php?workbook=05_01.xlsx&amp;sheet=A0&amp;row=247&amp;col=13&amp;number=0&amp;sourceID=11","0")</f>
        <v>0</v>
      </c>
      <c r="N247" s="4" t="str">
        <f>HYPERLINK("http://141.218.60.56/~jnz1568/getInfo.php?workbook=05_01.xlsx&amp;sheet=A0&amp;row=247&amp;col=14&amp;number=0&amp;sourceID=12","0")</f>
        <v>0</v>
      </c>
      <c r="O247" s="4" t="str">
        <f>HYPERLINK("http://141.218.60.56/~jnz1568/getInfo.php?workbook=05_01.xlsx&amp;sheet=A0&amp;row=247&amp;col=15&amp;number=&amp;sourceID=12","")</f>
        <v/>
      </c>
      <c r="P247" s="4" t="str">
        <f>HYPERLINK("http://141.218.60.56/~jnz1568/getInfo.php?workbook=05_01.xlsx&amp;sheet=A0&amp;row=247&amp;col=16&amp;number=0&amp;sourceID=12","0")</f>
        <v>0</v>
      </c>
      <c r="Q247" s="4" t="str">
        <f>HYPERLINK("http://141.218.60.56/~jnz1568/getInfo.php?workbook=05_01.xlsx&amp;sheet=A0&amp;row=247&amp;col=17&amp;number=&amp;sourceID=12","")</f>
        <v/>
      </c>
      <c r="R247" s="4" t="str">
        <f>HYPERLINK("http://141.218.60.56/~jnz1568/getInfo.php?workbook=05_01.xlsx&amp;sheet=A0&amp;row=247&amp;col=18&amp;number=0&amp;sourceID=12","0")</f>
        <v>0</v>
      </c>
      <c r="S247" s="4" t="str">
        <f>HYPERLINK("http://141.218.60.56/~jnz1568/getInfo.php?workbook=05_01.xlsx&amp;sheet=A0&amp;row=247&amp;col=19&amp;number=&amp;sourceID=12","")</f>
        <v/>
      </c>
      <c r="T247" s="4" t="str">
        <f>HYPERLINK("http://141.218.60.56/~jnz1568/getInfo.php?workbook=05_01.xlsx&amp;sheet=A0&amp;row=247&amp;col=20&amp;number=0&amp;sourceID=12","0")</f>
        <v>0</v>
      </c>
    </row>
    <row r="248" spans="1:20">
      <c r="A248" s="3">
        <v>5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HYPERLINK("http://141.218.60.56/~jnz1568/getInfo.php?workbook=05_01.xlsx&amp;sheet=A0&amp;row=248&amp;col=6&amp;number=&amp;sourceID=18","")</f>
        <v/>
      </c>
      <c r="G248" s="4" t="str">
        <f>HYPERLINK("http://141.218.60.56/~jnz1568/getInfo.php?workbook=05_01.xlsx&amp;sheet=A0&amp;row=248&amp;col=7&amp;number==&amp;sourceID=11","=")</f>
        <v>=</v>
      </c>
      <c r="H248" s="4" t="str">
        <f>HYPERLINK("http://141.218.60.56/~jnz1568/getInfo.php?workbook=05_01.xlsx&amp;sheet=A0&amp;row=248&amp;col=8&amp;number=&amp;sourceID=11","")</f>
        <v/>
      </c>
      <c r="I248" s="4" t="str">
        <f>HYPERLINK("http://141.218.60.56/~jnz1568/getInfo.php?workbook=05_01.xlsx&amp;sheet=A0&amp;row=248&amp;col=9&amp;number=&amp;sourceID=11","")</f>
        <v/>
      </c>
      <c r="J248" s="4" t="str">
        <f>HYPERLINK("http://141.218.60.56/~jnz1568/getInfo.php?workbook=05_01.xlsx&amp;sheet=A0&amp;row=248&amp;col=10&amp;number=100.15&amp;sourceID=11","100.15")</f>
        <v>100.15</v>
      </c>
      <c r="K248" s="4" t="str">
        <f>HYPERLINK("http://141.218.60.56/~jnz1568/getInfo.php?workbook=05_01.xlsx&amp;sheet=A0&amp;row=248&amp;col=11&amp;number=&amp;sourceID=11","")</f>
        <v/>
      </c>
      <c r="L248" s="4" t="str">
        <f>HYPERLINK("http://141.218.60.56/~jnz1568/getInfo.php?workbook=05_01.xlsx&amp;sheet=A0&amp;row=248&amp;col=12&amp;number=&amp;sourceID=11","")</f>
        <v/>
      </c>
      <c r="M248" s="4" t="str">
        <f>HYPERLINK("http://141.218.60.56/~jnz1568/getInfo.php?workbook=05_01.xlsx&amp;sheet=A0&amp;row=248&amp;col=13&amp;number=&amp;sourceID=11","")</f>
        <v/>
      </c>
      <c r="N248" s="4" t="str">
        <f>HYPERLINK("http://141.218.60.56/~jnz1568/getInfo.php?workbook=05_01.xlsx&amp;sheet=A0&amp;row=248&amp;col=14&amp;number=100.16&amp;sourceID=12","100.16")</f>
        <v>100.16</v>
      </c>
      <c r="O248" s="4" t="str">
        <f>HYPERLINK("http://141.218.60.56/~jnz1568/getInfo.php?workbook=05_01.xlsx&amp;sheet=A0&amp;row=248&amp;col=15&amp;number=&amp;sourceID=12","")</f>
        <v/>
      </c>
      <c r="P248" s="4" t="str">
        <f>HYPERLINK("http://141.218.60.56/~jnz1568/getInfo.php?workbook=05_01.xlsx&amp;sheet=A0&amp;row=248&amp;col=16&amp;number=&amp;sourceID=12","")</f>
        <v/>
      </c>
      <c r="Q248" s="4" t="str">
        <f>HYPERLINK("http://141.218.60.56/~jnz1568/getInfo.php?workbook=05_01.xlsx&amp;sheet=A0&amp;row=248&amp;col=17&amp;number=100.16&amp;sourceID=12","100.16")</f>
        <v>100.16</v>
      </c>
      <c r="R248" s="4" t="str">
        <f>HYPERLINK("http://141.218.60.56/~jnz1568/getInfo.php?workbook=05_01.xlsx&amp;sheet=A0&amp;row=248&amp;col=18&amp;number=&amp;sourceID=12","")</f>
        <v/>
      </c>
      <c r="S248" s="4" t="str">
        <f>HYPERLINK("http://141.218.60.56/~jnz1568/getInfo.php?workbook=05_01.xlsx&amp;sheet=A0&amp;row=248&amp;col=19&amp;number=&amp;sourceID=12","")</f>
        <v/>
      </c>
      <c r="T248" s="4" t="str">
        <f>HYPERLINK("http://141.218.60.56/~jnz1568/getInfo.php?workbook=05_01.xlsx&amp;sheet=A0&amp;row=248&amp;col=20&amp;number=&amp;sourceID=12","")</f>
        <v/>
      </c>
    </row>
    <row r="249" spans="1:20">
      <c r="A249" s="3">
        <v>5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HYPERLINK("http://141.218.60.56/~jnz1568/getInfo.php?workbook=05_01.xlsx&amp;sheet=A0&amp;row=249&amp;col=6&amp;number=&amp;sourceID=18","")</f>
        <v/>
      </c>
      <c r="G249" s="4" t="str">
        <f>HYPERLINK("http://141.218.60.56/~jnz1568/getInfo.php?workbook=05_01.xlsx&amp;sheet=A0&amp;row=249&amp;col=7&amp;number==&amp;sourceID=11","=")</f>
        <v>=</v>
      </c>
      <c r="H249" s="4" t="str">
        <f>HYPERLINK("http://141.218.60.56/~jnz1568/getInfo.php?workbook=05_01.xlsx&amp;sheet=A0&amp;row=249&amp;col=8&amp;number=&amp;sourceID=11","")</f>
        <v/>
      </c>
      <c r="I249" s="4" t="str">
        <f>HYPERLINK("http://141.218.60.56/~jnz1568/getInfo.php?workbook=05_01.xlsx&amp;sheet=A0&amp;row=249&amp;col=9&amp;number=&amp;sourceID=11","")</f>
        <v/>
      </c>
      <c r="J249" s="4" t="str">
        <f>HYPERLINK("http://141.218.60.56/~jnz1568/getInfo.php?workbook=05_01.xlsx&amp;sheet=A0&amp;row=249&amp;col=10&amp;number=&amp;sourceID=11","")</f>
        <v/>
      </c>
      <c r="K249" s="4" t="str">
        <f>HYPERLINK("http://141.218.60.56/~jnz1568/getInfo.php?workbook=05_01.xlsx&amp;sheet=A0&amp;row=249&amp;col=11&amp;number=&amp;sourceID=11","")</f>
        <v/>
      </c>
      <c r="L249" s="4" t="str">
        <f>HYPERLINK("http://141.218.60.56/~jnz1568/getInfo.php?workbook=05_01.xlsx&amp;sheet=A0&amp;row=249&amp;col=12&amp;number=&amp;sourceID=11","")</f>
        <v/>
      </c>
      <c r="M249" s="4" t="str">
        <f>HYPERLINK("http://141.218.60.56/~jnz1568/getInfo.php?workbook=05_01.xlsx&amp;sheet=A0&amp;row=249&amp;col=13&amp;number=0.00090195&amp;sourceID=11","0.00090195")</f>
        <v>0.00090195</v>
      </c>
      <c r="N249" s="4" t="str">
        <f>HYPERLINK("http://141.218.60.56/~jnz1568/getInfo.php?workbook=05_01.xlsx&amp;sheet=A0&amp;row=249&amp;col=14&amp;number=0.000902&amp;sourceID=12","0.000902")</f>
        <v>0.000902</v>
      </c>
      <c r="O249" s="4" t="str">
        <f>HYPERLINK("http://141.218.60.56/~jnz1568/getInfo.php?workbook=05_01.xlsx&amp;sheet=A0&amp;row=249&amp;col=15&amp;number=&amp;sourceID=12","")</f>
        <v/>
      </c>
      <c r="P249" s="4" t="str">
        <f>HYPERLINK("http://141.218.60.56/~jnz1568/getInfo.php?workbook=05_01.xlsx&amp;sheet=A0&amp;row=249&amp;col=16&amp;number=&amp;sourceID=12","")</f>
        <v/>
      </c>
      <c r="Q249" s="4" t="str">
        <f>HYPERLINK("http://141.218.60.56/~jnz1568/getInfo.php?workbook=05_01.xlsx&amp;sheet=A0&amp;row=249&amp;col=17&amp;number=&amp;sourceID=12","")</f>
        <v/>
      </c>
      <c r="R249" s="4" t="str">
        <f>HYPERLINK("http://141.218.60.56/~jnz1568/getInfo.php?workbook=05_01.xlsx&amp;sheet=A0&amp;row=249&amp;col=18&amp;number=&amp;sourceID=12","")</f>
        <v/>
      </c>
      <c r="S249" s="4" t="str">
        <f>HYPERLINK("http://141.218.60.56/~jnz1568/getInfo.php?workbook=05_01.xlsx&amp;sheet=A0&amp;row=249&amp;col=19&amp;number=&amp;sourceID=12","")</f>
        <v/>
      </c>
      <c r="T249" s="4" t="str">
        <f>HYPERLINK("http://141.218.60.56/~jnz1568/getInfo.php?workbook=05_01.xlsx&amp;sheet=A0&amp;row=249&amp;col=20&amp;number=0.000902&amp;sourceID=12","0.000902")</f>
        <v>0.000902</v>
      </c>
    </row>
    <row r="250" spans="1:20">
      <c r="A250" s="3">
        <v>5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HYPERLINK("http://141.218.60.56/~jnz1568/getInfo.php?workbook=05_01.xlsx&amp;sheet=A0&amp;row=250&amp;col=6&amp;number=&amp;sourceID=18","")</f>
        <v/>
      </c>
      <c r="G250" s="4" t="str">
        <f>HYPERLINK("http://141.218.60.56/~jnz1568/getInfo.php?workbook=05_01.xlsx&amp;sheet=A0&amp;row=250&amp;col=7&amp;number==&amp;sourceID=11","=")</f>
        <v>=</v>
      </c>
      <c r="H250" s="4" t="str">
        <f>HYPERLINK("http://141.218.60.56/~jnz1568/getInfo.php?workbook=05_01.xlsx&amp;sheet=A0&amp;row=250&amp;col=8&amp;number=&amp;sourceID=11","")</f>
        <v/>
      </c>
      <c r="I250" s="4" t="str">
        <f>HYPERLINK("http://141.218.60.56/~jnz1568/getInfo.php?workbook=05_01.xlsx&amp;sheet=A0&amp;row=250&amp;col=9&amp;number=&amp;sourceID=11","")</f>
        <v/>
      </c>
      <c r="J250" s="4" t="str">
        <f>HYPERLINK("http://141.218.60.56/~jnz1568/getInfo.php?workbook=05_01.xlsx&amp;sheet=A0&amp;row=250&amp;col=10&amp;number=27.566&amp;sourceID=11","27.566")</f>
        <v>27.566</v>
      </c>
      <c r="K250" s="4" t="str">
        <f>HYPERLINK("http://141.218.60.56/~jnz1568/getInfo.php?workbook=05_01.xlsx&amp;sheet=A0&amp;row=250&amp;col=11&amp;number=&amp;sourceID=11","")</f>
        <v/>
      </c>
      <c r="L250" s="4" t="str">
        <f>HYPERLINK("http://141.218.60.56/~jnz1568/getInfo.php?workbook=05_01.xlsx&amp;sheet=A0&amp;row=250&amp;col=12&amp;number=&amp;sourceID=11","")</f>
        <v/>
      </c>
      <c r="M250" s="4" t="str">
        <f>HYPERLINK("http://141.218.60.56/~jnz1568/getInfo.php?workbook=05_01.xlsx&amp;sheet=A0&amp;row=250&amp;col=13&amp;number=&amp;sourceID=11","")</f>
        <v/>
      </c>
      <c r="N250" s="4" t="str">
        <f>HYPERLINK("http://141.218.60.56/~jnz1568/getInfo.php?workbook=05_01.xlsx&amp;sheet=A0&amp;row=250&amp;col=14&amp;number=27.568&amp;sourceID=12","27.568")</f>
        <v>27.568</v>
      </c>
      <c r="O250" s="4" t="str">
        <f>HYPERLINK("http://141.218.60.56/~jnz1568/getInfo.php?workbook=05_01.xlsx&amp;sheet=A0&amp;row=250&amp;col=15&amp;number=&amp;sourceID=12","")</f>
        <v/>
      </c>
      <c r="P250" s="4" t="str">
        <f>HYPERLINK("http://141.218.60.56/~jnz1568/getInfo.php?workbook=05_01.xlsx&amp;sheet=A0&amp;row=250&amp;col=16&amp;number=&amp;sourceID=12","")</f>
        <v/>
      </c>
      <c r="Q250" s="4" t="str">
        <f>HYPERLINK("http://141.218.60.56/~jnz1568/getInfo.php?workbook=05_01.xlsx&amp;sheet=A0&amp;row=250&amp;col=17&amp;number=27.568&amp;sourceID=12","27.568")</f>
        <v>27.568</v>
      </c>
      <c r="R250" s="4" t="str">
        <f>HYPERLINK("http://141.218.60.56/~jnz1568/getInfo.php?workbook=05_01.xlsx&amp;sheet=A0&amp;row=250&amp;col=18&amp;number=&amp;sourceID=12","")</f>
        <v/>
      </c>
      <c r="S250" s="4" t="str">
        <f>HYPERLINK("http://141.218.60.56/~jnz1568/getInfo.php?workbook=05_01.xlsx&amp;sheet=A0&amp;row=250&amp;col=19&amp;number=&amp;sourceID=12","")</f>
        <v/>
      </c>
      <c r="T250" s="4" t="str">
        <f>HYPERLINK("http://141.218.60.56/~jnz1568/getInfo.php?workbook=05_01.xlsx&amp;sheet=A0&amp;row=250&amp;col=20&amp;number=&amp;sourceID=12","")</f>
        <v/>
      </c>
    </row>
    <row r="251" spans="1:20">
      <c r="A251" s="3">
        <v>5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HYPERLINK("http://141.218.60.56/~jnz1568/getInfo.php?workbook=05_01.xlsx&amp;sheet=A0&amp;row=251&amp;col=6&amp;number=&amp;sourceID=18","")</f>
        <v/>
      </c>
      <c r="G251" s="4" t="str">
        <f>HYPERLINK("http://141.218.60.56/~jnz1568/getInfo.php?workbook=05_01.xlsx&amp;sheet=A0&amp;row=251&amp;col=7&amp;number==&amp;sourceID=11","=")</f>
        <v>=</v>
      </c>
      <c r="H251" s="4" t="str">
        <f>HYPERLINK("http://141.218.60.56/~jnz1568/getInfo.php?workbook=05_01.xlsx&amp;sheet=A0&amp;row=251&amp;col=8&amp;number=&amp;sourceID=11","")</f>
        <v/>
      </c>
      <c r="I251" s="4" t="str">
        <f>HYPERLINK("http://141.218.60.56/~jnz1568/getInfo.php?workbook=05_01.xlsx&amp;sheet=A0&amp;row=251&amp;col=9&amp;number=645460&amp;sourceID=11","645460")</f>
        <v>645460</v>
      </c>
      <c r="J251" s="4" t="str">
        <f>HYPERLINK("http://141.218.60.56/~jnz1568/getInfo.php?workbook=05_01.xlsx&amp;sheet=A0&amp;row=251&amp;col=10&amp;number=&amp;sourceID=11","")</f>
        <v/>
      </c>
      <c r="K251" s="4" t="str">
        <f>HYPERLINK("http://141.218.60.56/~jnz1568/getInfo.php?workbook=05_01.xlsx&amp;sheet=A0&amp;row=251&amp;col=11&amp;number=&amp;sourceID=11","")</f>
        <v/>
      </c>
      <c r="L251" s="4" t="str">
        <f>HYPERLINK("http://141.218.60.56/~jnz1568/getInfo.php?workbook=05_01.xlsx&amp;sheet=A0&amp;row=251&amp;col=12&amp;number=&amp;sourceID=11","")</f>
        <v/>
      </c>
      <c r="M251" s="4" t="str">
        <f>HYPERLINK("http://141.218.60.56/~jnz1568/getInfo.php?workbook=05_01.xlsx&amp;sheet=A0&amp;row=251&amp;col=13&amp;number=0.002703&amp;sourceID=11","0.002703")</f>
        <v>0.002703</v>
      </c>
      <c r="N251" s="4" t="str">
        <f>HYPERLINK("http://141.218.60.56/~jnz1568/getInfo.php?workbook=05_01.xlsx&amp;sheet=A0&amp;row=251&amp;col=14&amp;number=645490&amp;sourceID=12","645490")</f>
        <v>645490</v>
      </c>
      <c r="O251" s="4" t="str">
        <f>HYPERLINK("http://141.218.60.56/~jnz1568/getInfo.php?workbook=05_01.xlsx&amp;sheet=A0&amp;row=251&amp;col=15&amp;number=&amp;sourceID=12","")</f>
        <v/>
      </c>
      <c r="P251" s="4" t="str">
        <f>HYPERLINK("http://141.218.60.56/~jnz1568/getInfo.php?workbook=05_01.xlsx&amp;sheet=A0&amp;row=251&amp;col=16&amp;number=645490&amp;sourceID=12","645490")</f>
        <v>645490</v>
      </c>
      <c r="Q251" s="4" t="str">
        <f>HYPERLINK("http://141.218.60.56/~jnz1568/getInfo.php?workbook=05_01.xlsx&amp;sheet=A0&amp;row=251&amp;col=17&amp;number=&amp;sourceID=12","")</f>
        <v/>
      </c>
      <c r="R251" s="4" t="str">
        <f>HYPERLINK("http://141.218.60.56/~jnz1568/getInfo.php?workbook=05_01.xlsx&amp;sheet=A0&amp;row=251&amp;col=18&amp;number=&amp;sourceID=12","")</f>
        <v/>
      </c>
      <c r="S251" s="4" t="str">
        <f>HYPERLINK("http://141.218.60.56/~jnz1568/getInfo.php?workbook=05_01.xlsx&amp;sheet=A0&amp;row=251&amp;col=19&amp;number=&amp;sourceID=12","")</f>
        <v/>
      </c>
      <c r="T251" s="4" t="str">
        <f>HYPERLINK("http://141.218.60.56/~jnz1568/getInfo.php?workbook=05_01.xlsx&amp;sheet=A0&amp;row=251&amp;col=20&amp;number=0.0027032&amp;sourceID=12","0.0027032")</f>
        <v>0.0027032</v>
      </c>
    </row>
    <row r="252" spans="1:20">
      <c r="A252" s="3">
        <v>5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HYPERLINK("http://141.218.60.56/~jnz1568/getInfo.php?workbook=05_01.xlsx&amp;sheet=A0&amp;row=252&amp;col=6&amp;number=&amp;sourceID=18","")</f>
        <v/>
      </c>
      <c r="G252" s="4" t="str">
        <f>HYPERLINK("http://141.218.60.56/~jnz1568/getInfo.php?workbook=05_01.xlsx&amp;sheet=A0&amp;row=252&amp;col=7&amp;number==&amp;sourceID=11","=")</f>
        <v>=</v>
      </c>
      <c r="H252" s="4" t="str">
        <f>HYPERLINK("http://141.218.60.56/~jnz1568/getInfo.php?workbook=05_01.xlsx&amp;sheet=A0&amp;row=252&amp;col=8&amp;number=&amp;sourceID=11","")</f>
        <v/>
      </c>
      <c r="I252" s="4" t="str">
        <f>HYPERLINK("http://141.218.60.56/~jnz1568/getInfo.php?workbook=05_01.xlsx&amp;sheet=A0&amp;row=252&amp;col=9&amp;number=&amp;sourceID=11","")</f>
        <v/>
      </c>
      <c r="J252" s="4" t="str">
        <f>HYPERLINK("http://141.218.60.56/~jnz1568/getInfo.php?workbook=05_01.xlsx&amp;sheet=A0&amp;row=252&amp;col=10&amp;number=&amp;sourceID=11","")</f>
        <v/>
      </c>
      <c r="K252" s="4" t="str">
        <f>HYPERLINK("http://141.218.60.56/~jnz1568/getInfo.php?workbook=05_01.xlsx&amp;sheet=A0&amp;row=252&amp;col=11&amp;number=&amp;sourceID=11","")</f>
        <v/>
      </c>
      <c r="L252" s="4" t="str">
        <f>HYPERLINK("http://141.218.60.56/~jnz1568/getInfo.php?workbook=05_01.xlsx&amp;sheet=A0&amp;row=252&amp;col=12&amp;number=&amp;sourceID=11","")</f>
        <v/>
      </c>
      <c r="M252" s="4" t="str">
        <f>HYPERLINK("http://141.218.60.56/~jnz1568/getInfo.php?workbook=05_01.xlsx&amp;sheet=A0&amp;row=252&amp;col=13&amp;number=6.6655e-08&amp;sourceID=11","6.6655e-08")</f>
        <v>6.6655e-08</v>
      </c>
      <c r="N252" s="4" t="str">
        <f>HYPERLINK("http://141.218.60.56/~jnz1568/getInfo.php?workbook=05_01.xlsx&amp;sheet=A0&amp;row=252&amp;col=14&amp;number=6.6658e-08&amp;sourceID=12","6.6658e-08")</f>
        <v>6.6658e-08</v>
      </c>
      <c r="O252" s="4" t="str">
        <f>HYPERLINK("http://141.218.60.56/~jnz1568/getInfo.php?workbook=05_01.xlsx&amp;sheet=A0&amp;row=252&amp;col=15&amp;number=&amp;sourceID=12","")</f>
        <v/>
      </c>
      <c r="P252" s="4" t="str">
        <f>HYPERLINK("http://141.218.60.56/~jnz1568/getInfo.php?workbook=05_01.xlsx&amp;sheet=A0&amp;row=252&amp;col=16&amp;number=&amp;sourceID=12","")</f>
        <v/>
      </c>
      <c r="Q252" s="4" t="str">
        <f>HYPERLINK("http://141.218.60.56/~jnz1568/getInfo.php?workbook=05_01.xlsx&amp;sheet=A0&amp;row=252&amp;col=17&amp;number=&amp;sourceID=12","")</f>
        <v/>
      </c>
      <c r="R252" s="4" t="str">
        <f>HYPERLINK("http://141.218.60.56/~jnz1568/getInfo.php?workbook=05_01.xlsx&amp;sheet=A0&amp;row=252&amp;col=18&amp;number=&amp;sourceID=12","")</f>
        <v/>
      </c>
      <c r="S252" s="4" t="str">
        <f>HYPERLINK("http://141.218.60.56/~jnz1568/getInfo.php?workbook=05_01.xlsx&amp;sheet=A0&amp;row=252&amp;col=19&amp;number=&amp;sourceID=12","")</f>
        <v/>
      </c>
      <c r="T252" s="4" t="str">
        <f>HYPERLINK("http://141.218.60.56/~jnz1568/getInfo.php?workbook=05_01.xlsx&amp;sheet=A0&amp;row=252&amp;col=20&amp;number=6.6658e-08&amp;sourceID=12","6.6658e-08")</f>
        <v>6.6658e-08</v>
      </c>
    </row>
    <row r="253" spans="1:20">
      <c r="A253" s="3">
        <v>5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HYPERLINK("http://141.218.60.56/~jnz1568/getInfo.php?workbook=05_01.xlsx&amp;sheet=A0&amp;row=253&amp;col=6&amp;number=&amp;sourceID=18","")</f>
        <v/>
      </c>
      <c r="G253" s="4" t="str">
        <f>HYPERLINK("http://141.218.60.56/~jnz1568/getInfo.php?workbook=05_01.xlsx&amp;sheet=A0&amp;row=253&amp;col=7&amp;number==&amp;sourceID=11","=")</f>
        <v>=</v>
      </c>
      <c r="H253" s="4" t="str">
        <f>HYPERLINK("http://141.218.60.56/~jnz1568/getInfo.php?workbook=05_01.xlsx&amp;sheet=A0&amp;row=253&amp;col=8&amp;number=&amp;sourceID=11","")</f>
        <v/>
      </c>
      <c r="I253" s="4" t="str">
        <f>HYPERLINK("http://141.218.60.56/~jnz1568/getInfo.php?workbook=05_01.xlsx&amp;sheet=A0&amp;row=253&amp;col=9&amp;number=&amp;sourceID=11","")</f>
        <v/>
      </c>
      <c r="J253" s="4" t="str">
        <f>HYPERLINK("http://141.218.60.56/~jnz1568/getInfo.php?workbook=05_01.xlsx&amp;sheet=A0&amp;row=253&amp;col=10&amp;number=0.41517&amp;sourceID=11","0.41517")</f>
        <v>0.41517</v>
      </c>
      <c r="K253" s="4" t="str">
        <f>HYPERLINK("http://141.218.60.56/~jnz1568/getInfo.php?workbook=05_01.xlsx&amp;sheet=A0&amp;row=253&amp;col=11&amp;number=&amp;sourceID=11","")</f>
        <v/>
      </c>
      <c r="L253" s="4" t="str">
        <f>HYPERLINK("http://141.218.60.56/~jnz1568/getInfo.php?workbook=05_01.xlsx&amp;sheet=A0&amp;row=253&amp;col=12&amp;number=&amp;sourceID=11","")</f>
        <v/>
      </c>
      <c r="M253" s="4" t="str">
        <f>HYPERLINK("http://141.218.60.56/~jnz1568/getInfo.php?workbook=05_01.xlsx&amp;sheet=A0&amp;row=253&amp;col=13&amp;number=&amp;sourceID=11","")</f>
        <v/>
      </c>
      <c r="N253" s="4" t="str">
        <f>HYPERLINK("http://141.218.60.56/~jnz1568/getInfo.php?workbook=05_01.xlsx&amp;sheet=A0&amp;row=253&amp;col=14&amp;number=0.41519&amp;sourceID=12","0.41519")</f>
        <v>0.41519</v>
      </c>
      <c r="O253" s="4" t="str">
        <f>HYPERLINK("http://141.218.60.56/~jnz1568/getInfo.php?workbook=05_01.xlsx&amp;sheet=A0&amp;row=253&amp;col=15&amp;number=&amp;sourceID=12","")</f>
        <v/>
      </c>
      <c r="P253" s="4" t="str">
        <f>HYPERLINK("http://141.218.60.56/~jnz1568/getInfo.php?workbook=05_01.xlsx&amp;sheet=A0&amp;row=253&amp;col=16&amp;number=&amp;sourceID=12","")</f>
        <v/>
      </c>
      <c r="Q253" s="4" t="str">
        <f>HYPERLINK("http://141.218.60.56/~jnz1568/getInfo.php?workbook=05_01.xlsx&amp;sheet=A0&amp;row=253&amp;col=17&amp;number=0.41519&amp;sourceID=12","0.41519")</f>
        <v>0.41519</v>
      </c>
      <c r="R253" s="4" t="str">
        <f>HYPERLINK("http://141.218.60.56/~jnz1568/getInfo.php?workbook=05_01.xlsx&amp;sheet=A0&amp;row=253&amp;col=18&amp;number=&amp;sourceID=12","")</f>
        <v/>
      </c>
      <c r="S253" s="4" t="str">
        <f>HYPERLINK("http://141.218.60.56/~jnz1568/getInfo.php?workbook=05_01.xlsx&amp;sheet=A0&amp;row=253&amp;col=19&amp;number=&amp;sourceID=12","")</f>
        <v/>
      </c>
      <c r="T253" s="4" t="str">
        <f>HYPERLINK("http://141.218.60.56/~jnz1568/getInfo.php?workbook=05_01.xlsx&amp;sheet=A0&amp;row=253&amp;col=20&amp;number=&amp;sourceID=12","")</f>
        <v/>
      </c>
    </row>
    <row r="254" spans="1:20">
      <c r="A254" s="3">
        <v>5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HYPERLINK("http://141.218.60.56/~jnz1568/getInfo.php?workbook=05_01.xlsx&amp;sheet=A0&amp;row=254&amp;col=6&amp;number=&amp;sourceID=18","")</f>
        <v/>
      </c>
      <c r="G254" s="4" t="str">
        <f>HYPERLINK("http://141.218.60.56/~jnz1568/getInfo.php?workbook=05_01.xlsx&amp;sheet=A0&amp;row=254&amp;col=7&amp;number==&amp;sourceID=11","=")</f>
        <v>=</v>
      </c>
      <c r="H254" s="4" t="str">
        <f>HYPERLINK("http://141.218.60.56/~jnz1568/getInfo.php?workbook=05_01.xlsx&amp;sheet=A0&amp;row=254&amp;col=8&amp;number=&amp;sourceID=11","")</f>
        <v/>
      </c>
      <c r="I254" s="4" t="str">
        <f>HYPERLINK("http://141.218.60.56/~jnz1568/getInfo.php?workbook=05_01.xlsx&amp;sheet=A0&amp;row=254&amp;col=9&amp;number=&amp;sourceID=11","")</f>
        <v/>
      </c>
      <c r="J254" s="4" t="str">
        <f>HYPERLINK("http://141.218.60.56/~jnz1568/getInfo.php?workbook=05_01.xlsx&amp;sheet=A0&amp;row=254&amp;col=10&amp;number=0.0045355&amp;sourceID=11","0.0045355")</f>
        <v>0.0045355</v>
      </c>
      <c r="K254" s="4" t="str">
        <f>HYPERLINK("http://141.218.60.56/~jnz1568/getInfo.php?workbook=05_01.xlsx&amp;sheet=A0&amp;row=254&amp;col=11&amp;number=&amp;sourceID=11","")</f>
        <v/>
      </c>
      <c r="L254" s="4" t="str">
        <f>HYPERLINK("http://141.218.60.56/~jnz1568/getInfo.php?workbook=05_01.xlsx&amp;sheet=A0&amp;row=254&amp;col=12&amp;number=0.33961&amp;sourceID=11","0.33961")</f>
        <v>0.33961</v>
      </c>
      <c r="M254" s="4" t="str">
        <f>HYPERLINK("http://141.218.60.56/~jnz1568/getInfo.php?workbook=05_01.xlsx&amp;sheet=A0&amp;row=254&amp;col=13&amp;number=&amp;sourceID=11","")</f>
        <v/>
      </c>
      <c r="N254" s="4" t="str">
        <f>HYPERLINK("http://141.218.60.56/~jnz1568/getInfo.php?workbook=05_01.xlsx&amp;sheet=A0&amp;row=254&amp;col=14&amp;number=0.34417&amp;sourceID=12","0.34417")</f>
        <v>0.34417</v>
      </c>
      <c r="O254" s="4" t="str">
        <f>HYPERLINK("http://141.218.60.56/~jnz1568/getInfo.php?workbook=05_01.xlsx&amp;sheet=A0&amp;row=254&amp;col=15&amp;number=&amp;sourceID=12","")</f>
        <v/>
      </c>
      <c r="P254" s="4" t="str">
        <f>HYPERLINK("http://141.218.60.56/~jnz1568/getInfo.php?workbook=05_01.xlsx&amp;sheet=A0&amp;row=254&amp;col=16&amp;number=&amp;sourceID=12","")</f>
        <v/>
      </c>
      <c r="Q254" s="4" t="str">
        <f>HYPERLINK("http://141.218.60.56/~jnz1568/getInfo.php?workbook=05_01.xlsx&amp;sheet=A0&amp;row=254&amp;col=17&amp;number=0.0045357&amp;sourceID=12","0.0045357")</f>
        <v>0.0045357</v>
      </c>
      <c r="R254" s="4" t="str">
        <f>HYPERLINK("http://141.218.60.56/~jnz1568/getInfo.php?workbook=05_01.xlsx&amp;sheet=A0&amp;row=254&amp;col=18&amp;number=&amp;sourceID=12","")</f>
        <v/>
      </c>
      <c r="S254" s="4" t="str">
        <f>HYPERLINK("http://141.218.60.56/~jnz1568/getInfo.php?workbook=05_01.xlsx&amp;sheet=A0&amp;row=254&amp;col=19&amp;number=0.33963&amp;sourceID=12","0.33963")</f>
        <v>0.33963</v>
      </c>
      <c r="T254" s="4" t="str">
        <f>HYPERLINK("http://141.218.60.56/~jnz1568/getInfo.php?workbook=05_01.xlsx&amp;sheet=A0&amp;row=254&amp;col=20&amp;number=&amp;sourceID=12","")</f>
        <v/>
      </c>
    </row>
    <row r="255" spans="1:20">
      <c r="A255" s="3">
        <v>5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HYPERLINK("http://141.218.60.56/~jnz1568/getInfo.php?workbook=05_01.xlsx&amp;sheet=A0&amp;row=255&amp;col=6&amp;number=&amp;sourceID=18","")</f>
        <v/>
      </c>
      <c r="G255" s="4" t="str">
        <f>HYPERLINK("http://141.218.60.56/~jnz1568/getInfo.php?workbook=05_01.xlsx&amp;sheet=A0&amp;row=255&amp;col=7&amp;number==&amp;sourceID=11","=")</f>
        <v>=</v>
      </c>
      <c r="H255" s="4" t="str">
        <f>HYPERLINK("http://141.218.60.56/~jnz1568/getInfo.php?workbook=05_01.xlsx&amp;sheet=A0&amp;row=255&amp;col=8&amp;number=&amp;sourceID=11","")</f>
        <v/>
      </c>
      <c r="I255" s="4" t="str">
        <f>HYPERLINK("http://141.218.60.56/~jnz1568/getInfo.php?workbook=05_01.xlsx&amp;sheet=A0&amp;row=255&amp;col=9&amp;number=406.64&amp;sourceID=11","406.64")</f>
        <v>406.64</v>
      </c>
      <c r="J255" s="4" t="str">
        <f>HYPERLINK("http://141.218.60.56/~jnz1568/getInfo.php?workbook=05_01.xlsx&amp;sheet=A0&amp;row=255&amp;col=10&amp;number=&amp;sourceID=11","")</f>
        <v/>
      </c>
      <c r="K255" s="4" t="str">
        <f>HYPERLINK("http://141.218.60.56/~jnz1568/getInfo.php?workbook=05_01.xlsx&amp;sheet=A0&amp;row=255&amp;col=11&amp;number=&amp;sourceID=11","")</f>
        <v/>
      </c>
      <c r="L255" s="4" t="str">
        <f>HYPERLINK("http://141.218.60.56/~jnz1568/getInfo.php?workbook=05_01.xlsx&amp;sheet=A0&amp;row=255&amp;col=12&amp;number=&amp;sourceID=11","")</f>
        <v/>
      </c>
      <c r="M255" s="4" t="str">
        <f>HYPERLINK("http://141.218.60.56/~jnz1568/getInfo.php?workbook=05_01.xlsx&amp;sheet=A0&amp;row=255&amp;col=13&amp;number=1.9517e-07&amp;sourceID=11","1.9517e-07")</f>
        <v>1.9517e-07</v>
      </c>
      <c r="N255" s="4" t="str">
        <f>HYPERLINK("http://141.218.60.56/~jnz1568/getInfo.php?workbook=05_01.xlsx&amp;sheet=A0&amp;row=255&amp;col=14&amp;number=406.66&amp;sourceID=12","406.66")</f>
        <v>406.66</v>
      </c>
      <c r="O255" s="4" t="str">
        <f>HYPERLINK("http://141.218.60.56/~jnz1568/getInfo.php?workbook=05_01.xlsx&amp;sheet=A0&amp;row=255&amp;col=15&amp;number=&amp;sourceID=12","")</f>
        <v/>
      </c>
      <c r="P255" s="4" t="str">
        <f>HYPERLINK("http://141.218.60.56/~jnz1568/getInfo.php?workbook=05_01.xlsx&amp;sheet=A0&amp;row=255&amp;col=16&amp;number=406.66&amp;sourceID=12","406.66")</f>
        <v>406.66</v>
      </c>
      <c r="Q255" s="4" t="str">
        <f>HYPERLINK("http://141.218.60.56/~jnz1568/getInfo.php?workbook=05_01.xlsx&amp;sheet=A0&amp;row=255&amp;col=17&amp;number=&amp;sourceID=12","")</f>
        <v/>
      </c>
      <c r="R255" s="4" t="str">
        <f>HYPERLINK("http://141.218.60.56/~jnz1568/getInfo.php?workbook=05_01.xlsx&amp;sheet=A0&amp;row=255&amp;col=18&amp;number=&amp;sourceID=12","")</f>
        <v/>
      </c>
      <c r="S255" s="4" t="str">
        <f>HYPERLINK("http://141.218.60.56/~jnz1568/getInfo.php?workbook=05_01.xlsx&amp;sheet=A0&amp;row=255&amp;col=19&amp;number=&amp;sourceID=12","")</f>
        <v/>
      </c>
      <c r="T255" s="4" t="str">
        <f>HYPERLINK("http://141.218.60.56/~jnz1568/getInfo.php?workbook=05_01.xlsx&amp;sheet=A0&amp;row=255&amp;col=20&amp;number=1.9518e-07&amp;sourceID=12","1.9518e-07")</f>
        <v>1.9518e-07</v>
      </c>
    </row>
    <row r="256" spans="1:20">
      <c r="A256" s="3">
        <v>5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HYPERLINK("http://141.218.60.56/~jnz1568/getInfo.php?workbook=05_01.xlsx&amp;sheet=A0&amp;row=256&amp;col=6&amp;number=&amp;sourceID=18","")</f>
        <v/>
      </c>
      <c r="G256" s="4" t="str">
        <f>HYPERLINK("http://141.218.60.56/~jnz1568/getInfo.php?workbook=05_01.xlsx&amp;sheet=A0&amp;row=256&amp;col=7&amp;number==&amp;sourceID=11","=")</f>
        <v>=</v>
      </c>
      <c r="H256" s="4" t="str">
        <f>HYPERLINK("http://141.218.60.56/~jnz1568/getInfo.php?workbook=05_01.xlsx&amp;sheet=A0&amp;row=256&amp;col=8&amp;number=2840300000&amp;sourceID=11","2840300000")</f>
        <v>2840300000</v>
      </c>
      <c r="I256" s="4" t="str">
        <f>HYPERLINK("http://141.218.60.56/~jnz1568/getInfo.php?workbook=05_01.xlsx&amp;sheet=A0&amp;row=256&amp;col=9&amp;number=&amp;sourceID=11","")</f>
        <v/>
      </c>
      <c r="J256" s="4" t="str">
        <f>HYPERLINK("http://141.218.60.56/~jnz1568/getInfo.php?workbook=05_01.xlsx&amp;sheet=A0&amp;row=256&amp;col=10&amp;number=0.013632&amp;sourceID=11","0.013632")</f>
        <v>0.013632</v>
      </c>
      <c r="K256" s="4" t="str">
        <f>HYPERLINK("http://141.218.60.56/~jnz1568/getInfo.php?workbook=05_01.xlsx&amp;sheet=A0&amp;row=256&amp;col=11&amp;number=&amp;sourceID=11","")</f>
        <v/>
      </c>
      <c r="L256" s="4" t="str">
        <f>HYPERLINK("http://141.218.60.56/~jnz1568/getInfo.php?workbook=05_01.xlsx&amp;sheet=A0&amp;row=256&amp;col=12&amp;number=2.3386&amp;sourceID=11","2.3386")</f>
        <v>2.3386</v>
      </c>
      <c r="M256" s="4" t="str">
        <f>HYPERLINK("http://141.218.60.56/~jnz1568/getInfo.php?workbook=05_01.xlsx&amp;sheet=A0&amp;row=256&amp;col=13&amp;number=&amp;sourceID=11","")</f>
        <v/>
      </c>
      <c r="N256" s="4" t="str">
        <f>HYPERLINK("http://141.218.60.56/~jnz1568/getInfo.php?workbook=05_01.xlsx&amp;sheet=A0&amp;row=256&amp;col=14&amp;number=2840400000&amp;sourceID=12","2840400000")</f>
        <v>2840400000</v>
      </c>
      <c r="O256" s="4" t="str">
        <f>HYPERLINK("http://141.218.60.56/~jnz1568/getInfo.php?workbook=05_01.xlsx&amp;sheet=A0&amp;row=256&amp;col=15&amp;number=2840400000&amp;sourceID=12","2840400000")</f>
        <v>2840400000</v>
      </c>
      <c r="P256" s="4" t="str">
        <f>HYPERLINK("http://141.218.60.56/~jnz1568/getInfo.php?workbook=05_01.xlsx&amp;sheet=A0&amp;row=256&amp;col=16&amp;number=&amp;sourceID=12","")</f>
        <v/>
      </c>
      <c r="Q256" s="4" t="str">
        <f>HYPERLINK("http://141.218.60.56/~jnz1568/getInfo.php?workbook=05_01.xlsx&amp;sheet=A0&amp;row=256&amp;col=17&amp;number=0.013632&amp;sourceID=12","0.013632")</f>
        <v>0.013632</v>
      </c>
      <c r="R256" s="4" t="str">
        <f>HYPERLINK("http://141.218.60.56/~jnz1568/getInfo.php?workbook=05_01.xlsx&amp;sheet=A0&amp;row=256&amp;col=18&amp;number=&amp;sourceID=12","")</f>
        <v/>
      </c>
      <c r="S256" s="4" t="str">
        <f>HYPERLINK("http://141.218.60.56/~jnz1568/getInfo.php?workbook=05_01.xlsx&amp;sheet=A0&amp;row=256&amp;col=19&amp;number=2.3387&amp;sourceID=12","2.3387")</f>
        <v>2.3387</v>
      </c>
      <c r="T256" s="4" t="str">
        <f>HYPERLINK("http://141.218.60.56/~jnz1568/getInfo.php?workbook=05_01.xlsx&amp;sheet=A0&amp;row=256&amp;col=20&amp;number=&amp;sourceID=12","")</f>
        <v/>
      </c>
    </row>
    <row r="257" spans="1:20">
      <c r="A257" s="3">
        <v>5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HYPERLINK("http://141.218.60.56/~jnz1568/getInfo.php?workbook=05_01.xlsx&amp;sheet=A0&amp;row=257&amp;col=6&amp;number=&amp;sourceID=18","")</f>
        <v/>
      </c>
      <c r="G257" s="4" t="str">
        <f>HYPERLINK("http://141.218.60.56/~jnz1568/getInfo.php?workbook=05_01.xlsx&amp;sheet=A0&amp;row=257&amp;col=7&amp;number==&amp;sourceID=11","=")</f>
        <v>=</v>
      </c>
      <c r="H257" s="4" t="str">
        <f>HYPERLINK("http://141.218.60.56/~jnz1568/getInfo.php?workbook=05_01.xlsx&amp;sheet=A0&amp;row=257&amp;col=8&amp;number=&amp;sourceID=11","")</f>
        <v/>
      </c>
      <c r="I257" s="4" t="str">
        <f>HYPERLINK("http://141.218.60.56/~jnz1568/getInfo.php?workbook=05_01.xlsx&amp;sheet=A0&amp;row=257&amp;col=9&amp;number=&amp;sourceID=11","")</f>
        <v/>
      </c>
      <c r="J257" s="4" t="str">
        <f>HYPERLINK("http://141.218.60.56/~jnz1568/getInfo.php?workbook=05_01.xlsx&amp;sheet=A0&amp;row=257&amp;col=10&amp;number=&amp;sourceID=11","")</f>
        <v/>
      </c>
      <c r="K257" s="4" t="str">
        <f>HYPERLINK("http://141.218.60.56/~jnz1568/getInfo.php?workbook=05_01.xlsx&amp;sheet=A0&amp;row=257&amp;col=11&amp;number=&amp;sourceID=11","")</f>
        <v/>
      </c>
      <c r="L257" s="4" t="str">
        <f>HYPERLINK("http://141.218.60.56/~jnz1568/getInfo.php?workbook=05_01.xlsx&amp;sheet=A0&amp;row=257&amp;col=12&amp;number=&amp;sourceID=11","")</f>
        <v/>
      </c>
      <c r="M257" s="4" t="str">
        <f>HYPERLINK("http://141.218.60.56/~jnz1568/getInfo.php?workbook=05_01.xlsx&amp;sheet=A0&amp;row=257&amp;col=13&amp;number=2.3538e-07&amp;sourceID=11","2.3538e-07")</f>
        <v>2.3538e-07</v>
      </c>
      <c r="N257" s="4" t="str">
        <f>HYPERLINK("http://141.218.60.56/~jnz1568/getInfo.php?workbook=05_01.xlsx&amp;sheet=A0&amp;row=257&amp;col=14&amp;number=2.3539e-07&amp;sourceID=12","2.3539e-07")</f>
        <v>2.3539e-07</v>
      </c>
      <c r="O257" s="4" t="str">
        <f>HYPERLINK("http://141.218.60.56/~jnz1568/getInfo.php?workbook=05_01.xlsx&amp;sheet=A0&amp;row=257&amp;col=15&amp;number=&amp;sourceID=12","")</f>
        <v/>
      </c>
      <c r="P257" s="4" t="str">
        <f>HYPERLINK("http://141.218.60.56/~jnz1568/getInfo.php?workbook=05_01.xlsx&amp;sheet=A0&amp;row=257&amp;col=16&amp;number=&amp;sourceID=12","")</f>
        <v/>
      </c>
      <c r="Q257" s="4" t="str">
        <f>HYPERLINK("http://141.218.60.56/~jnz1568/getInfo.php?workbook=05_01.xlsx&amp;sheet=A0&amp;row=257&amp;col=17&amp;number=&amp;sourceID=12","")</f>
        <v/>
      </c>
      <c r="R257" s="4" t="str">
        <f>HYPERLINK("http://141.218.60.56/~jnz1568/getInfo.php?workbook=05_01.xlsx&amp;sheet=A0&amp;row=257&amp;col=18&amp;number=&amp;sourceID=12","")</f>
        <v/>
      </c>
      <c r="S257" s="4" t="str">
        <f>HYPERLINK("http://141.218.60.56/~jnz1568/getInfo.php?workbook=05_01.xlsx&amp;sheet=A0&amp;row=257&amp;col=19&amp;number=&amp;sourceID=12","")</f>
        <v/>
      </c>
      <c r="T257" s="4" t="str">
        <f>HYPERLINK("http://141.218.60.56/~jnz1568/getInfo.php?workbook=05_01.xlsx&amp;sheet=A0&amp;row=257&amp;col=20&amp;number=2.3539e-07&amp;sourceID=12","2.3539e-07")</f>
        <v>2.3539e-07</v>
      </c>
    </row>
    <row r="258" spans="1:20">
      <c r="A258" s="3">
        <v>5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HYPERLINK("http://141.218.60.56/~jnz1568/getInfo.php?workbook=05_01.xlsx&amp;sheet=A0&amp;row=258&amp;col=6&amp;number=&amp;sourceID=18","")</f>
        <v/>
      </c>
      <c r="G258" s="4" t="str">
        <f>HYPERLINK("http://141.218.60.56/~jnz1568/getInfo.php?workbook=05_01.xlsx&amp;sheet=A0&amp;row=258&amp;col=7&amp;number==&amp;sourceID=11","=")</f>
        <v>=</v>
      </c>
      <c r="H258" s="4" t="str">
        <f>HYPERLINK("http://141.218.60.56/~jnz1568/getInfo.php?workbook=05_01.xlsx&amp;sheet=A0&amp;row=258&amp;col=8&amp;number=&amp;sourceID=11","")</f>
        <v/>
      </c>
      <c r="I258" s="4" t="str">
        <f>HYPERLINK("http://141.218.60.56/~jnz1568/getInfo.php?workbook=05_01.xlsx&amp;sheet=A0&amp;row=258&amp;col=9&amp;number=&amp;sourceID=11","")</f>
        <v/>
      </c>
      <c r="J258" s="4" t="str">
        <f>HYPERLINK("http://141.218.60.56/~jnz1568/getInfo.php?workbook=05_01.xlsx&amp;sheet=A0&amp;row=258&amp;col=10&amp;number=0.048684&amp;sourceID=11","0.048684")</f>
        <v>0.048684</v>
      </c>
      <c r="K258" s="4" t="str">
        <f>HYPERLINK("http://141.218.60.56/~jnz1568/getInfo.php?workbook=05_01.xlsx&amp;sheet=A0&amp;row=258&amp;col=11&amp;number=&amp;sourceID=11","")</f>
        <v/>
      </c>
      <c r="L258" s="4" t="str">
        <f>HYPERLINK("http://141.218.60.56/~jnz1568/getInfo.php?workbook=05_01.xlsx&amp;sheet=A0&amp;row=258&amp;col=12&amp;number=&amp;sourceID=11","")</f>
        <v/>
      </c>
      <c r="M258" s="4" t="str">
        <f>HYPERLINK("http://141.218.60.56/~jnz1568/getInfo.php?workbook=05_01.xlsx&amp;sheet=A0&amp;row=258&amp;col=13&amp;number=&amp;sourceID=11","")</f>
        <v/>
      </c>
      <c r="N258" s="4" t="str">
        <f>HYPERLINK("http://141.218.60.56/~jnz1568/getInfo.php?workbook=05_01.xlsx&amp;sheet=A0&amp;row=258&amp;col=14&amp;number=0.048686&amp;sourceID=12","0.048686")</f>
        <v>0.048686</v>
      </c>
      <c r="O258" s="4" t="str">
        <f>HYPERLINK("http://141.218.60.56/~jnz1568/getInfo.php?workbook=05_01.xlsx&amp;sheet=A0&amp;row=258&amp;col=15&amp;number=&amp;sourceID=12","")</f>
        <v/>
      </c>
      <c r="P258" s="4" t="str">
        <f>HYPERLINK("http://141.218.60.56/~jnz1568/getInfo.php?workbook=05_01.xlsx&amp;sheet=A0&amp;row=258&amp;col=16&amp;number=&amp;sourceID=12","")</f>
        <v/>
      </c>
      <c r="Q258" s="4" t="str">
        <f>HYPERLINK("http://141.218.60.56/~jnz1568/getInfo.php?workbook=05_01.xlsx&amp;sheet=A0&amp;row=258&amp;col=17&amp;number=0.048686&amp;sourceID=12","0.048686")</f>
        <v>0.048686</v>
      </c>
      <c r="R258" s="4" t="str">
        <f>HYPERLINK("http://141.218.60.56/~jnz1568/getInfo.php?workbook=05_01.xlsx&amp;sheet=A0&amp;row=258&amp;col=18&amp;number=&amp;sourceID=12","")</f>
        <v/>
      </c>
      <c r="S258" s="4" t="str">
        <f>HYPERLINK("http://141.218.60.56/~jnz1568/getInfo.php?workbook=05_01.xlsx&amp;sheet=A0&amp;row=258&amp;col=19&amp;number=&amp;sourceID=12","")</f>
        <v/>
      </c>
      <c r="T258" s="4" t="str">
        <f>HYPERLINK("http://141.218.60.56/~jnz1568/getInfo.php?workbook=05_01.xlsx&amp;sheet=A0&amp;row=258&amp;col=20&amp;number=&amp;sourceID=12","")</f>
        <v/>
      </c>
    </row>
    <row r="259" spans="1:20">
      <c r="A259" s="3">
        <v>5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HYPERLINK("http://141.218.60.56/~jnz1568/getInfo.php?workbook=05_01.xlsx&amp;sheet=A0&amp;row=259&amp;col=6&amp;number=&amp;sourceID=18","")</f>
        <v/>
      </c>
      <c r="G259" s="4" t="str">
        <f>HYPERLINK("http://141.218.60.56/~jnz1568/getInfo.php?workbook=05_01.xlsx&amp;sheet=A0&amp;row=259&amp;col=7&amp;number==&amp;sourceID=11","=")</f>
        <v>=</v>
      </c>
      <c r="H259" s="4" t="str">
        <f>HYPERLINK("http://141.218.60.56/~jnz1568/getInfo.php?workbook=05_01.xlsx&amp;sheet=A0&amp;row=259&amp;col=8&amp;number=&amp;sourceID=11","")</f>
        <v/>
      </c>
      <c r="I259" s="4" t="str">
        <f>HYPERLINK("http://141.218.60.56/~jnz1568/getInfo.php?workbook=05_01.xlsx&amp;sheet=A0&amp;row=259&amp;col=9&amp;number=&amp;sourceID=11","")</f>
        <v/>
      </c>
      <c r="J259" s="4" t="str">
        <f>HYPERLINK("http://141.218.60.56/~jnz1568/getInfo.php?workbook=05_01.xlsx&amp;sheet=A0&amp;row=259&amp;col=10&amp;number=0.0077865&amp;sourceID=11","0.0077865")</f>
        <v>0.0077865</v>
      </c>
      <c r="K259" s="4" t="str">
        <f>HYPERLINK("http://141.218.60.56/~jnz1568/getInfo.php?workbook=05_01.xlsx&amp;sheet=A0&amp;row=259&amp;col=11&amp;number=&amp;sourceID=11","")</f>
        <v/>
      </c>
      <c r="L259" s="4" t="str">
        <f>HYPERLINK("http://141.218.60.56/~jnz1568/getInfo.php?workbook=05_01.xlsx&amp;sheet=A0&amp;row=259&amp;col=12&amp;number=0.019342&amp;sourceID=11","0.019342")</f>
        <v>0.019342</v>
      </c>
      <c r="M259" s="4" t="str">
        <f>HYPERLINK("http://141.218.60.56/~jnz1568/getInfo.php?workbook=05_01.xlsx&amp;sheet=A0&amp;row=259&amp;col=13&amp;number=&amp;sourceID=11","")</f>
        <v/>
      </c>
      <c r="N259" s="4" t="str">
        <f>HYPERLINK("http://141.218.60.56/~jnz1568/getInfo.php?workbook=05_01.xlsx&amp;sheet=A0&amp;row=259&amp;col=14&amp;number=0.02713&amp;sourceID=12","0.02713")</f>
        <v>0.02713</v>
      </c>
      <c r="O259" s="4" t="str">
        <f>HYPERLINK("http://141.218.60.56/~jnz1568/getInfo.php?workbook=05_01.xlsx&amp;sheet=A0&amp;row=259&amp;col=15&amp;number=&amp;sourceID=12","")</f>
        <v/>
      </c>
      <c r="P259" s="4" t="str">
        <f>HYPERLINK("http://141.218.60.56/~jnz1568/getInfo.php?workbook=05_01.xlsx&amp;sheet=A0&amp;row=259&amp;col=16&amp;number=&amp;sourceID=12","")</f>
        <v/>
      </c>
      <c r="Q259" s="4" t="str">
        <f>HYPERLINK("http://141.218.60.56/~jnz1568/getInfo.php?workbook=05_01.xlsx&amp;sheet=A0&amp;row=259&amp;col=17&amp;number=0.0077869&amp;sourceID=12","0.0077869")</f>
        <v>0.0077869</v>
      </c>
      <c r="R259" s="4" t="str">
        <f>HYPERLINK("http://141.218.60.56/~jnz1568/getInfo.php?workbook=05_01.xlsx&amp;sheet=A0&amp;row=259&amp;col=18&amp;number=&amp;sourceID=12","")</f>
        <v/>
      </c>
      <c r="S259" s="4" t="str">
        <f>HYPERLINK("http://141.218.60.56/~jnz1568/getInfo.php?workbook=05_01.xlsx&amp;sheet=A0&amp;row=259&amp;col=19&amp;number=0.019343&amp;sourceID=12","0.019343")</f>
        <v>0.019343</v>
      </c>
      <c r="T259" s="4" t="str">
        <f>HYPERLINK("http://141.218.60.56/~jnz1568/getInfo.php?workbook=05_01.xlsx&amp;sheet=A0&amp;row=259&amp;col=20&amp;number=&amp;sourceID=12","")</f>
        <v/>
      </c>
    </row>
    <row r="260" spans="1:20">
      <c r="A260" s="3">
        <v>5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HYPERLINK("http://141.218.60.56/~jnz1568/getInfo.php?workbook=05_01.xlsx&amp;sheet=A0&amp;row=260&amp;col=6&amp;number=&amp;sourceID=18","")</f>
        <v/>
      </c>
      <c r="G260" s="4" t="str">
        <f>HYPERLINK("http://141.218.60.56/~jnz1568/getInfo.php?workbook=05_01.xlsx&amp;sheet=A0&amp;row=260&amp;col=7&amp;number==&amp;sourceID=11","=")</f>
        <v>=</v>
      </c>
      <c r="H260" s="4" t="str">
        <f>HYPERLINK("http://141.218.60.56/~jnz1568/getInfo.php?workbook=05_01.xlsx&amp;sheet=A0&amp;row=260&amp;col=8&amp;number=&amp;sourceID=11","")</f>
        <v/>
      </c>
      <c r="I260" s="4" t="str">
        <f>HYPERLINK("http://141.218.60.56/~jnz1568/getInfo.php?workbook=05_01.xlsx&amp;sheet=A0&amp;row=260&amp;col=9&amp;number=14652&amp;sourceID=11","14652")</f>
        <v>14652</v>
      </c>
      <c r="J260" s="4" t="str">
        <f>HYPERLINK("http://141.218.60.56/~jnz1568/getInfo.php?workbook=05_01.xlsx&amp;sheet=A0&amp;row=260&amp;col=10&amp;number=&amp;sourceID=11","")</f>
        <v/>
      </c>
      <c r="K260" s="4" t="str">
        <f>HYPERLINK("http://141.218.60.56/~jnz1568/getInfo.php?workbook=05_01.xlsx&amp;sheet=A0&amp;row=260&amp;col=11&amp;number=&amp;sourceID=11","")</f>
        <v/>
      </c>
      <c r="L260" s="4" t="str">
        <f>HYPERLINK("http://141.218.60.56/~jnz1568/getInfo.php?workbook=05_01.xlsx&amp;sheet=A0&amp;row=260&amp;col=12&amp;number=&amp;sourceID=11","")</f>
        <v/>
      </c>
      <c r="M260" s="4" t="str">
        <f>HYPERLINK("http://141.218.60.56/~jnz1568/getInfo.php?workbook=05_01.xlsx&amp;sheet=A0&amp;row=260&amp;col=13&amp;number=7.0458e-07&amp;sourceID=11","7.0458e-07")</f>
        <v>7.0458e-07</v>
      </c>
      <c r="N260" s="4" t="str">
        <f>HYPERLINK("http://141.218.60.56/~jnz1568/getInfo.php?workbook=05_01.xlsx&amp;sheet=A0&amp;row=260&amp;col=14&amp;number=14652&amp;sourceID=12","14652")</f>
        <v>14652</v>
      </c>
      <c r="O260" s="4" t="str">
        <f>HYPERLINK("http://141.218.60.56/~jnz1568/getInfo.php?workbook=05_01.xlsx&amp;sheet=A0&amp;row=260&amp;col=15&amp;number=&amp;sourceID=12","")</f>
        <v/>
      </c>
      <c r="P260" s="4" t="str">
        <f>HYPERLINK("http://141.218.60.56/~jnz1568/getInfo.php?workbook=05_01.xlsx&amp;sheet=A0&amp;row=260&amp;col=16&amp;number=14652&amp;sourceID=12","14652")</f>
        <v>14652</v>
      </c>
      <c r="Q260" s="4" t="str">
        <f>HYPERLINK("http://141.218.60.56/~jnz1568/getInfo.php?workbook=05_01.xlsx&amp;sheet=A0&amp;row=260&amp;col=17&amp;number=&amp;sourceID=12","")</f>
        <v/>
      </c>
      <c r="R260" s="4" t="str">
        <f>HYPERLINK("http://141.218.60.56/~jnz1568/getInfo.php?workbook=05_01.xlsx&amp;sheet=A0&amp;row=260&amp;col=18&amp;number=&amp;sourceID=12","")</f>
        <v/>
      </c>
      <c r="S260" s="4" t="str">
        <f>HYPERLINK("http://141.218.60.56/~jnz1568/getInfo.php?workbook=05_01.xlsx&amp;sheet=A0&amp;row=260&amp;col=19&amp;number=&amp;sourceID=12","")</f>
        <v/>
      </c>
      <c r="T260" s="4" t="str">
        <f>HYPERLINK("http://141.218.60.56/~jnz1568/getInfo.php?workbook=05_01.xlsx&amp;sheet=A0&amp;row=260&amp;col=20&amp;number=7.0461e-07&amp;sourceID=12","7.0461e-07")</f>
        <v>7.0461e-07</v>
      </c>
    </row>
    <row r="261" spans="1:20">
      <c r="A261" s="3">
        <v>5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HYPERLINK("http://141.218.60.56/~jnz1568/getInfo.php?workbook=05_01.xlsx&amp;sheet=A0&amp;row=261&amp;col=6&amp;number=&amp;sourceID=18","")</f>
        <v/>
      </c>
      <c r="G261" s="4" t="str">
        <f>HYPERLINK("http://141.218.60.56/~jnz1568/getInfo.php?workbook=05_01.xlsx&amp;sheet=A0&amp;row=261&amp;col=7&amp;number==&amp;sourceID=11","=")</f>
        <v>=</v>
      </c>
      <c r="H261" s="4" t="str">
        <f>HYPERLINK("http://141.218.60.56/~jnz1568/getInfo.php?workbook=05_01.xlsx&amp;sheet=A0&amp;row=261&amp;col=8&amp;number=&amp;sourceID=11","")</f>
        <v/>
      </c>
      <c r="I261" s="4" t="str">
        <f>HYPERLINK("http://141.218.60.56/~jnz1568/getInfo.php?workbook=05_01.xlsx&amp;sheet=A0&amp;row=261&amp;col=9&amp;number=256.13&amp;sourceID=11","256.13")</f>
        <v>256.13</v>
      </c>
      <c r="J261" s="4" t="str">
        <f>HYPERLINK("http://141.218.60.56/~jnz1568/getInfo.php?workbook=05_01.xlsx&amp;sheet=A0&amp;row=261&amp;col=10&amp;number=&amp;sourceID=11","")</f>
        <v/>
      </c>
      <c r="K261" s="4" t="str">
        <f>HYPERLINK("http://141.218.60.56/~jnz1568/getInfo.php?workbook=05_01.xlsx&amp;sheet=A0&amp;row=261&amp;col=11&amp;number=2.9336e-06&amp;sourceID=11","2.9336e-06")</f>
        <v>2.9336e-06</v>
      </c>
      <c r="L261" s="4" t="str">
        <f>HYPERLINK("http://141.218.60.56/~jnz1568/getInfo.php?workbook=05_01.xlsx&amp;sheet=A0&amp;row=261&amp;col=12&amp;number=&amp;sourceID=11","")</f>
        <v/>
      </c>
      <c r="M261" s="4" t="str">
        <f>HYPERLINK("http://141.218.60.56/~jnz1568/getInfo.php?workbook=05_01.xlsx&amp;sheet=A0&amp;row=261&amp;col=13&amp;number=1.8242e-09&amp;sourceID=11","1.8242e-09")</f>
        <v>1.8242e-09</v>
      </c>
      <c r="N261" s="4" t="str">
        <f>HYPERLINK("http://141.218.60.56/~jnz1568/getInfo.php?workbook=05_01.xlsx&amp;sheet=A0&amp;row=261&amp;col=14&amp;number=256.14&amp;sourceID=12","256.14")</f>
        <v>256.14</v>
      </c>
      <c r="O261" s="4" t="str">
        <f>HYPERLINK("http://141.218.60.56/~jnz1568/getInfo.php?workbook=05_01.xlsx&amp;sheet=A0&amp;row=261&amp;col=15&amp;number=&amp;sourceID=12","")</f>
        <v/>
      </c>
      <c r="P261" s="4" t="str">
        <f>HYPERLINK("http://141.218.60.56/~jnz1568/getInfo.php?workbook=05_01.xlsx&amp;sheet=A0&amp;row=261&amp;col=16&amp;number=256.14&amp;sourceID=12","256.14")</f>
        <v>256.14</v>
      </c>
      <c r="Q261" s="4" t="str">
        <f>HYPERLINK("http://141.218.60.56/~jnz1568/getInfo.php?workbook=05_01.xlsx&amp;sheet=A0&amp;row=261&amp;col=17&amp;number=&amp;sourceID=12","")</f>
        <v/>
      </c>
      <c r="R261" s="4" t="str">
        <f>HYPERLINK("http://141.218.60.56/~jnz1568/getInfo.php?workbook=05_01.xlsx&amp;sheet=A0&amp;row=261&amp;col=18&amp;number=2.9342e-06&amp;sourceID=12","2.9342e-06")</f>
        <v>2.9342e-06</v>
      </c>
      <c r="S261" s="4" t="str">
        <f>HYPERLINK("http://141.218.60.56/~jnz1568/getInfo.php?workbook=05_01.xlsx&amp;sheet=A0&amp;row=261&amp;col=19&amp;number=&amp;sourceID=12","")</f>
        <v/>
      </c>
      <c r="T261" s="4" t="str">
        <f>HYPERLINK("http://141.218.60.56/~jnz1568/getInfo.php?workbook=05_01.xlsx&amp;sheet=A0&amp;row=261&amp;col=20&amp;number=1.8243e-09&amp;sourceID=12","1.8243e-09")</f>
        <v>1.8243e-09</v>
      </c>
    </row>
    <row r="262" spans="1:20">
      <c r="A262" s="3">
        <v>5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HYPERLINK("http://141.218.60.56/~jnz1568/getInfo.php?workbook=05_01.xlsx&amp;sheet=A0&amp;row=262&amp;col=6&amp;number=&amp;sourceID=18","")</f>
        <v/>
      </c>
      <c r="G262" s="4" t="str">
        <f>HYPERLINK("http://141.218.60.56/~jnz1568/getInfo.php?workbook=05_01.xlsx&amp;sheet=A0&amp;row=262&amp;col=7&amp;number==SUM(H262:M262)&amp;sourceID=11","=SUM(H262:M262)")</f>
        <v>=SUM(H262:M262)</v>
      </c>
      <c r="H262" s="4" t="str">
        <f>HYPERLINK("http://141.218.60.56/~jnz1568/getInfo.php?workbook=05_01.xlsx&amp;sheet=A0&amp;row=262&amp;col=8&amp;number=1616100000&amp;sourceID=11","1616100000")</f>
        <v>1616100000</v>
      </c>
      <c r="I262" s="4" t="str">
        <f>HYPERLINK("http://141.218.60.56/~jnz1568/getInfo.php?workbook=05_01.xlsx&amp;sheet=A0&amp;row=262&amp;col=9&amp;number=&amp;sourceID=11","")</f>
        <v/>
      </c>
      <c r="J262" s="4" t="str">
        <f>HYPERLINK("http://141.218.60.56/~jnz1568/getInfo.php?workbook=05_01.xlsx&amp;sheet=A0&amp;row=262&amp;col=10&amp;number=0.023345&amp;sourceID=11","0.023345")</f>
        <v>0.023345</v>
      </c>
      <c r="K262" s="4" t="str">
        <f>HYPERLINK("http://141.218.60.56/~jnz1568/getInfo.php?workbook=05_01.xlsx&amp;sheet=A0&amp;row=262&amp;col=11&amp;number=&amp;sourceID=11","")</f>
        <v/>
      </c>
      <c r="L262" s="4" t="str">
        <f>HYPERLINK("http://141.218.60.56/~jnz1568/getInfo.php?workbook=05_01.xlsx&amp;sheet=A0&amp;row=262&amp;col=12&amp;number=0.13324&amp;sourceID=11","0.13324")</f>
        <v>0.13324</v>
      </c>
      <c r="M262" s="4" t="str">
        <f>HYPERLINK("http://141.218.60.56/~jnz1568/getInfo.php?workbook=05_01.xlsx&amp;sheet=A0&amp;row=262&amp;col=13&amp;number=&amp;sourceID=11","")</f>
        <v/>
      </c>
      <c r="N262" s="4" t="str">
        <f>HYPERLINK("http://141.218.60.56/~jnz1568/getInfo.php?workbook=05_01.xlsx&amp;sheet=A0&amp;row=262&amp;col=14&amp;number=1616100000&amp;sourceID=12","1616100000")</f>
        <v>1616100000</v>
      </c>
      <c r="O262" s="4" t="str">
        <f>HYPERLINK("http://141.218.60.56/~jnz1568/getInfo.php?workbook=05_01.xlsx&amp;sheet=A0&amp;row=262&amp;col=15&amp;number=1616100000&amp;sourceID=12","1616100000")</f>
        <v>1616100000</v>
      </c>
      <c r="P262" s="4" t="str">
        <f>HYPERLINK("http://141.218.60.56/~jnz1568/getInfo.php?workbook=05_01.xlsx&amp;sheet=A0&amp;row=262&amp;col=16&amp;number=&amp;sourceID=12","")</f>
        <v/>
      </c>
      <c r="Q262" s="4" t="str">
        <f>HYPERLINK("http://141.218.60.56/~jnz1568/getInfo.php?workbook=05_01.xlsx&amp;sheet=A0&amp;row=262&amp;col=17&amp;number=0.023346&amp;sourceID=12","0.023346")</f>
        <v>0.023346</v>
      </c>
      <c r="R262" s="4" t="str">
        <f>HYPERLINK("http://141.218.60.56/~jnz1568/getInfo.php?workbook=05_01.xlsx&amp;sheet=A0&amp;row=262&amp;col=18&amp;number=&amp;sourceID=12","")</f>
        <v/>
      </c>
      <c r="S262" s="4" t="str">
        <f>HYPERLINK("http://141.218.60.56/~jnz1568/getInfo.php?workbook=05_01.xlsx&amp;sheet=A0&amp;row=262&amp;col=19&amp;number=0.13325&amp;sourceID=12","0.13325")</f>
        <v>0.13325</v>
      </c>
      <c r="T262" s="4" t="str">
        <f>HYPERLINK("http://141.218.60.56/~jnz1568/getInfo.php?workbook=05_01.xlsx&amp;sheet=A0&amp;row=262&amp;col=20&amp;number=&amp;sourceID=12","")</f>
        <v/>
      </c>
    </row>
    <row r="263" spans="1:20">
      <c r="A263" s="3">
        <v>5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HYPERLINK("http://141.218.60.56/~jnz1568/getInfo.php?workbook=05_01.xlsx&amp;sheet=A0&amp;row=263&amp;col=6&amp;number=&amp;sourceID=18","")</f>
        <v/>
      </c>
      <c r="G263" s="4" t="str">
        <f>HYPERLINK("http://141.218.60.56/~jnz1568/getInfo.php?workbook=05_01.xlsx&amp;sheet=A0&amp;row=263&amp;col=7&amp;number==&amp;sourceID=11","=")</f>
        <v>=</v>
      </c>
      <c r="H263" s="4" t="str">
        <f>HYPERLINK("http://141.218.60.56/~jnz1568/getInfo.php?workbook=05_01.xlsx&amp;sheet=A0&amp;row=263&amp;col=8&amp;number=&amp;sourceID=11","")</f>
        <v/>
      </c>
      <c r="I263" s="4" t="str">
        <f>HYPERLINK("http://141.218.60.56/~jnz1568/getInfo.php?workbook=05_01.xlsx&amp;sheet=A0&amp;row=263&amp;col=9&amp;number=2134.2&amp;sourceID=11","2134.2")</f>
        <v>2134.2</v>
      </c>
      <c r="J263" s="4" t="str">
        <f>HYPERLINK("http://141.218.60.56/~jnz1568/getInfo.php?workbook=05_01.xlsx&amp;sheet=A0&amp;row=263&amp;col=10&amp;number=&amp;sourceID=11","")</f>
        <v/>
      </c>
      <c r="K263" s="4" t="str">
        <f>HYPERLINK("http://141.218.60.56/~jnz1568/getInfo.php?workbook=05_01.xlsx&amp;sheet=A0&amp;row=263&amp;col=11&amp;number=2.9518e-05&amp;sourceID=11","2.9518e-05")</f>
        <v>2.9518e-05</v>
      </c>
      <c r="L263" s="4" t="str">
        <f>HYPERLINK("http://141.218.60.56/~jnz1568/getInfo.php?workbook=05_01.xlsx&amp;sheet=A0&amp;row=263&amp;col=12&amp;number=&amp;sourceID=11","")</f>
        <v/>
      </c>
      <c r="M263" s="4" t="str">
        <f>HYPERLINK("http://141.218.60.56/~jnz1568/getInfo.php?workbook=05_01.xlsx&amp;sheet=A0&amp;row=263&amp;col=13&amp;number=2.4074e-07&amp;sourceID=11","2.4074e-07")</f>
        <v>2.4074e-07</v>
      </c>
      <c r="N263" s="4" t="str">
        <f>HYPERLINK("http://141.218.60.56/~jnz1568/getInfo.php?workbook=05_01.xlsx&amp;sheet=A0&amp;row=263&amp;col=14&amp;number=2134.3&amp;sourceID=12","2134.3")</f>
        <v>2134.3</v>
      </c>
      <c r="O263" s="4" t="str">
        <f>HYPERLINK("http://141.218.60.56/~jnz1568/getInfo.php?workbook=05_01.xlsx&amp;sheet=A0&amp;row=263&amp;col=15&amp;number=&amp;sourceID=12","")</f>
        <v/>
      </c>
      <c r="P263" s="4" t="str">
        <f>HYPERLINK("http://141.218.60.56/~jnz1568/getInfo.php?workbook=05_01.xlsx&amp;sheet=A0&amp;row=263&amp;col=16&amp;number=2134.3&amp;sourceID=12","2134.3")</f>
        <v>2134.3</v>
      </c>
      <c r="Q263" s="4" t="str">
        <f>HYPERLINK("http://141.218.60.56/~jnz1568/getInfo.php?workbook=05_01.xlsx&amp;sheet=A0&amp;row=263&amp;col=17&amp;number=&amp;sourceID=12","")</f>
        <v/>
      </c>
      <c r="R263" s="4" t="str">
        <f>HYPERLINK("http://141.218.60.56/~jnz1568/getInfo.php?workbook=05_01.xlsx&amp;sheet=A0&amp;row=263&amp;col=18&amp;number=2.9519e-05&amp;sourceID=12","2.9519e-05")</f>
        <v>2.9519e-05</v>
      </c>
      <c r="S263" s="4" t="str">
        <f>HYPERLINK("http://141.218.60.56/~jnz1568/getInfo.php?workbook=05_01.xlsx&amp;sheet=A0&amp;row=263&amp;col=19&amp;number=&amp;sourceID=12","")</f>
        <v/>
      </c>
      <c r="T263" s="4" t="str">
        <f>HYPERLINK("http://141.218.60.56/~jnz1568/getInfo.php?workbook=05_01.xlsx&amp;sheet=A0&amp;row=263&amp;col=20&amp;number=2.4075e-07&amp;sourceID=12","2.4075e-07")</f>
        <v>2.4075e-07</v>
      </c>
    </row>
    <row r="264" spans="1:20">
      <c r="A264" s="3">
        <v>5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HYPERLINK("http://141.218.60.56/~jnz1568/getInfo.php?workbook=05_01.xlsx&amp;sheet=A0&amp;row=264&amp;col=6&amp;number=&amp;sourceID=18","")</f>
        <v/>
      </c>
      <c r="G264" s="4" t="str">
        <f>HYPERLINK("http://141.218.60.56/~jnz1568/getInfo.php?workbook=05_01.xlsx&amp;sheet=A0&amp;row=264&amp;col=7&amp;number==&amp;sourceID=11","=")</f>
        <v>=</v>
      </c>
      <c r="H264" s="4" t="str">
        <f>HYPERLINK("http://141.218.60.56/~jnz1568/getInfo.php?workbook=05_01.xlsx&amp;sheet=A0&amp;row=264&amp;col=8&amp;number=&amp;sourceID=11","")</f>
        <v/>
      </c>
      <c r="I264" s="4" t="str">
        <f>HYPERLINK("http://141.218.60.56/~jnz1568/getInfo.php?workbook=05_01.xlsx&amp;sheet=A0&amp;row=264&amp;col=9&amp;number=&amp;sourceID=11","")</f>
        <v/>
      </c>
      <c r="J264" s="4" t="str">
        <f>HYPERLINK("http://141.218.60.56/~jnz1568/getInfo.php?workbook=05_01.xlsx&amp;sheet=A0&amp;row=264&amp;col=10&amp;number=&amp;sourceID=11","")</f>
        <v/>
      </c>
      <c r="K264" s="4" t="str">
        <f>HYPERLINK("http://141.218.60.56/~jnz1568/getInfo.php?workbook=05_01.xlsx&amp;sheet=A0&amp;row=264&amp;col=11&amp;number=&amp;sourceID=11","")</f>
        <v/>
      </c>
      <c r="L264" s="4" t="str">
        <f>HYPERLINK("http://141.218.60.56/~jnz1568/getInfo.php?workbook=05_01.xlsx&amp;sheet=A0&amp;row=264&amp;col=12&amp;number=&amp;sourceID=11","")</f>
        <v/>
      </c>
      <c r="M264" s="4" t="str">
        <f>HYPERLINK("http://141.218.60.56/~jnz1568/getInfo.php?workbook=05_01.xlsx&amp;sheet=A0&amp;row=264&amp;col=13&amp;number=0&amp;sourceID=11","0")</f>
        <v>0</v>
      </c>
      <c r="N264" s="4" t="str">
        <f>HYPERLINK("http://141.218.60.56/~jnz1568/getInfo.php?workbook=05_01.xlsx&amp;sheet=A0&amp;row=264&amp;col=14&amp;number=0&amp;sourceID=12","0")</f>
        <v>0</v>
      </c>
      <c r="O264" s="4" t="str">
        <f>HYPERLINK("http://141.218.60.56/~jnz1568/getInfo.php?workbook=05_01.xlsx&amp;sheet=A0&amp;row=264&amp;col=15&amp;number=&amp;sourceID=12","")</f>
        <v/>
      </c>
      <c r="P264" s="4" t="str">
        <f>HYPERLINK("http://141.218.60.56/~jnz1568/getInfo.php?workbook=05_01.xlsx&amp;sheet=A0&amp;row=264&amp;col=16&amp;number=&amp;sourceID=12","")</f>
        <v/>
      </c>
      <c r="Q264" s="4" t="str">
        <f>HYPERLINK("http://141.218.60.56/~jnz1568/getInfo.php?workbook=05_01.xlsx&amp;sheet=A0&amp;row=264&amp;col=17&amp;number=&amp;sourceID=12","")</f>
        <v/>
      </c>
      <c r="R264" s="4" t="str">
        <f>HYPERLINK("http://141.218.60.56/~jnz1568/getInfo.php?workbook=05_01.xlsx&amp;sheet=A0&amp;row=264&amp;col=18&amp;number=&amp;sourceID=12","")</f>
        <v/>
      </c>
      <c r="S264" s="4" t="str">
        <f>HYPERLINK("http://141.218.60.56/~jnz1568/getInfo.php?workbook=05_01.xlsx&amp;sheet=A0&amp;row=264&amp;col=19&amp;number=&amp;sourceID=12","")</f>
        <v/>
      </c>
      <c r="T264" s="4" t="str">
        <f>HYPERLINK("http://141.218.60.56/~jnz1568/getInfo.php?workbook=05_01.xlsx&amp;sheet=A0&amp;row=264&amp;col=20&amp;number=0&amp;sourceID=12","0")</f>
        <v>0</v>
      </c>
    </row>
    <row r="265" spans="1:20">
      <c r="A265" s="3">
        <v>5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HYPERLINK("http://141.218.60.56/~jnz1568/getInfo.php?workbook=05_01.xlsx&amp;sheet=A0&amp;row=265&amp;col=6&amp;number=&amp;sourceID=18","")</f>
        <v/>
      </c>
      <c r="G265" s="4" t="str">
        <f>HYPERLINK("http://141.218.60.56/~jnz1568/getInfo.php?workbook=05_01.xlsx&amp;sheet=A0&amp;row=265&amp;col=7&amp;number==&amp;sourceID=11","=")</f>
        <v>=</v>
      </c>
      <c r="H265" s="4" t="str">
        <f>HYPERLINK("http://141.218.60.56/~jnz1568/getInfo.php?workbook=05_01.xlsx&amp;sheet=A0&amp;row=265&amp;col=8&amp;number=&amp;sourceID=11","")</f>
        <v/>
      </c>
      <c r="I265" s="4" t="str">
        <f>HYPERLINK("http://141.218.60.56/~jnz1568/getInfo.php?workbook=05_01.xlsx&amp;sheet=A0&amp;row=265&amp;col=9&amp;number=&amp;sourceID=11","")</f>
        <v/>
      </c>
      <c r="J265" s="4" t="str">
        <f>HYPERLINK("http://141.218.60.56/~jnz1568/getInfo.php?workbook=05_01.xlsx&amp;sheet=A0&amp;row=265&amp;col=10&amp;number=0&amp;sourceID=11","0")</f>
        <v>0</v>
      </c>
      <c r="K265" s="4" t="str">
        <f>HYPERLINK("http://141.218.60.56/~jnz1568/getInfo.php?workbook=05_01.xlsx&amp;sheet=A0&amp;row=265&amp;col=11&amp;number=&amp;sourceID=11","")</f>
        <v/>
      </c>
      <c r="L265" s="4" t="str">
        <f>HYPERLINK("http://141.218.60.56/~jnz1568/getInfo.php?workbook=05_01.xlsx&amp;sheet=A0&amp;row=265&amp;col=12&amp;number=&amp;sourceID=11","")</f>
        <v/>
      </c>
      <c r="M265" s="4" t="str">
        <f>HYPERLINK("http://141.218.60.56/~jnz1568/getInfo.php?workbook=05_01.xlsx&amp;sheet=A0&amp;row=265&amp;col=13&amp;number=&amp;sourceID=11","")</f>
        <v/>
      </c>
      <c r="N265" s="4" t="str">
        <f>HYPERLINK("http://141.218.60.56/~jnz1568/getInfo.php?workbook=05_01.xlsx&amp;sheet=A0&amp;row=265&amp;col=14&amp;number=0&amp;sourceID=12","0")</f>
        <v>0</v>
      </c>
      <c r="O265" s="4" t="str">
        <f>HYPERLINK("http://141.218.60.56/~jnz1568/getInfo.php?workbook=05_01.xlsx&amp;sheet=A0&amp;row=265&amp;col=15&amp;number=&amp;sourceID=12","")</f>
        <v/>
      </c>
      <c r="P265" s="4" t="str">
        <f>HYPERLINK("http://141.218.60.56/~jnz1568/getInfo.php?workbook=05_01.xlsx&amp;sheet=A0&amp;row=265&amp;col=16&amp;number=&amp;sourceID=12","")</f>
        <v/>
      </c>
      <c r="Q265" s="4" t="str">
        <f>HYPERLINK("http://141.218.60.56/~jnz1568/getInfo.php?workbook=05_01.xlsx&amp;sheet=A0&amp;row=265&amp;col=17&amp;number=0&amp;sourceID=12","0")</f>
        <v>0</v>
      </c>
      <c r="R265" s="4" t="str">
        <f>HYPERLINK("http://141.218.60.56/~jnz1568/getInfo.php?workbook=05_01.xlsx&amp;sheet=A0&amp;row=265&amp;col=18&amp;number=&amp;sourceID=12","")</f>
        <v/>
      </c>
      <c r="S265" s="4" t="str">
        <f>HYPERLINK("http://141.218.60.56/~jnz1568/getInfo.php?workbook=05_01.xlsx&amp;sheet=A0&amp;row=265&amp;col=19&amp;number=&amp;sourceID=12","")</f>
        <v/>
      </c>
      <c r="T265" s="4" t="str">
        <f>HYPERLINK("http://141.218.60.56/~jnz1568/getInfo.php?workbook=05_01.xlsx&amp;sheet=A0&amp;row=265&amp;col=20&amp;number=&amp;sourceID=12","")</f>
        <v/>
      </c>
    </row>
    <row r="266" spans="1:20">
      <c r="A266" s="3">
        <v>5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HYPERLINK("http://141.218.60.56/~jnz1568/getInfo.php?workbook=05_01.xlsx&amp;sheet=A0&amp;row=266&amp;col=6&amp;number=&amp;sourceID=18","")</f>
        <v/>
      </c>
      <c r="G266" s="4" t="str">
        <f>HYPERLINK("http://141.218.60.56/~jnz1568/getInfo.php?workbook=05_01.xlsx&amp;sheet=A0&amp;row=266&amp;col=7&amp;number==&amp;sourceID=11","=")</f>
        <v>=</v>
      </c>
      <c r="H266" s="4" t="str">
        <f>HYPERLINK("http://141.218.60.56/~jnz1568/getInfo.php?workbook=05_01.xlsx&amp;sheet=A0&amp;row=266&amp;col=8&amp;number=&amp;sourceID=11","")</f>
        <v/>
      </c>
      <c r="I266" s="4" t="str">
        <f>HYPERLINK("http://141.218.60.56/~jnz1568/getInfo.php?workbook=05_01.xlsx&amp;sheet=A0&amp;row=266&amp;col=9&amp;number=&amp;sourceID=11","")</f>
        <v/>
      </c>
      <c r="J266" s="4" t="str">
        <f>HYPERLINK("http://141.218.60.56/~jnz1568/getInfo.php?workbook=05_01.xlsx&amp;sheet=A0&amp;row=266&amp;col=10&amp;number=0&amp;sourceID=11","0")</f>
        <v>0</v>
      </c>
      <c r="K266" s="4" t="str">
        <f>HYPERLINK("http://141.218.60.56/~jnz1568/getInfo.php?workbook=05_01.xlsx&amp;sheet=A0&amp;row=266&amp;col=11&amp;number=&amp;sourceID=11","")</f>
        <v/>
      </c>
      <c r="L266" s="4" t="str">
        <f>HYPERLINK("http://141.218.60.56/~jnz1568/getInfo.php?workbook=05_01.xlsx&amp;sheet=A0&amp;row=266&amp;col=12&amp;number=0&amp;sourceID=11","0")</f>
        <v>0</v>
      </c>
      <c r="M266" s="4" t="str">
        <f>HYPERLINK("http://141.218.60.56/~jnz1568/getInfo.php?workbook=05_01.xlsx&amp;sheet=A0&amp;row=266&amp;col=13&amp;number=&amp;sourceID=11","")</f>
        <v/>
      </c>
      <c r="N266" s="4" t="str">
        <f>HYPERLINK("http://141.218.60.56/~jnz1568/getInfo.php?workbook=05_01.xlsx&amp;sheet=A0&amp;row=266&amp;col=14&amp;number=0&amp;sourceID=12","0")</f>
        <v>0</v>
      </c>
      <c r="O266" s="4" t="str">
        <f>HYPERLINK("http://141.218.60.56/~jnz1568/getInfo.php?workbook=05_01.xlsx&amp;sheet=A0&amp;row=266&amp;col=15&amp;number=&amp;sourceID=12","")</f>
        <v/>
      </c>
      <c r="P266" s="4" t="str">
        <f>HYPERLINK("http://141.218.60.56/~jnz1568/getInfo.php?workbook=05_01.xlsx&amp;sheet=A0&amp;row=266&amp;col=16&amp;number=&amp;sourceID=12","")</f>
        <v/>
      </c>
      <c r="Q266" s="4" t="str">
        <f>HYPERLINK("http://141.218.60.56/~jnz1568/getInfo.php?workbook=05_01.xlsx&amp;sheet=A0&amp;row=266&amp;col=17&amp;number=0&amp;sourceID=12","0")</f>
        <v>0</v>
      </c>
      <c r="R266" s="4" t="str">
        <f>HYPERLINK("http://141.218.60.56/~jnz1568/getInfo.php?workbook=05_01.xlsx&amp;sheet=A0&amp;row=266&amp;col=18&amp;number=&amp;sourceID=12","")</f>
        <v/>
      </c>
      <c r="S266" s="4" t="str">
        <f>HYPERLINK("http://141.218.60.56/~jnz1568/getInfo.php?workbook=05_01.xlsx&amp;sheet=A0&amp;row=266&amp;col=19&amp;number=0&amp;sourceID=12","0")</f>
        <v>0</v>
      </c>
      <c r="T266" s="4" t="str">
        <f>HYPERLINK("http://141.218.60.56/~jnz1568/getInfo.php?workbook=05_01.xlsx&amp;sheet=A0&amp;row=266&amp;col=20&amp;number=&amp;sourceID=12","")</f>
        <v/>
      </c>
    </row>
    <row r="267" spans="1:20">
      <c r="A267" s="3">
        <v>5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HYPERLINK("http://141.218.60.56/~jnz1568/getInfo.php?workbook=05_01.xlsx&amp;sheet=A0&amp;row=267&amp;col=6&amp;number=&amp;sourceID=18","")</f>
        <v/>
      </c>
      <c r="G267" s="4" t="str">
        <f>HYPERLINK("http://141.218.60.56/~jnz1568/getInfo.php?workbook=05_01.xlsx&amp;sheet=A0&amp;row=267&amp;col=7&amp;number==&amp;sourceID=11","=")</f>
        <v>=</v>
      </c>
      <c r="H267" s="4" t="str">
        <f>HYPERLINK("http://141.218.60.56/~jnz1568/getInfo.php?workbook=05_01.xlsx&amp;sheet=A0&amp;row=267&amp;col=8&amp;number=&amp;sourceID=11","")</f>
        <v/>
      </c>
      <c r="I267" s="4" t="str">
        <f>HYPERLINK("http://141.218.60.56/~jnz1568/getInfo.php?workbook=05_01.xlsx&amp;sheet=A0&amp;row=267&amp;col=9&amp;number=1e-15&amp;sourceID=11","1e-15")</f>
        <v>1e-15</v>
      </c>
      <c r="J267" s="4" t="str">
        <f>HYPERLINK("http://141.218.60.56/~jnz1568/getInfo.php?workbook=05_01.xlsx&amp;sheet=A0&amp;row=267&amp;col=10&amp;number=&amp;sourceID=11","")</f>
        <v/>
      </c>
      <c r="K267" s="4" t="str">
        <f>HYPERLINK("http://141.218.60.56/~jnz1568/getInfo.php?workbook=05_01.xlsx&amp;sheet=A0&amp;row=267&amp;col=11&amp;number=&amp;sourceID=11","")</f>
        <v/>
      </c>
      <c r="L267" s="4" t="str">
        <f>HYPERLINK("http://141.218.60.56/~jnz1568/getInfo.php?workbook=05_01.xlsx&amp;sheet=A0&amp;row=267&amp;col=12&amp;number=&amp;sourceID=11","")</f>
        <v/>
      </c>
      <c r="M267" s="4" t="str">
        <f>HYPERLINK("http://141.218.60.56/~jnz1568/getInfo.php?workbook=05_01.xlsx&amp;sheet=A0&amp;row=267&amp;col=13&amp;number=0&amp;sourceID=11","0")</f>
        <v>0</v>
      </c>
      <c r="N267" s="4" t="str">
        <f>HYPERLINK("http://141.218.60.56/~jnz1568/getInfo.php?workbook=05_01.xlsx&amp;sheet=A0&amp;row=267&amp;col=14&amp;number=1e-15&amp;sourceID=12","1e-15")</f>
        <v>1e-15</v>
      </c>
      <c r="O267" s="4" t="str">
        <f>HYPERLINK("http://141.218.60.56/~jnz1568/getInfo.php?workbook=05_01.xlsx&amp;sheet=A0&amp;row=267&amp;col=15&amp;number=&amp;sourceID=12","")</f>
        <v/>
      </c>
      <c r="P267" s="4" t="str">
        <f>HYPERLINK("http://141.218.60.56/~jnz1568/getInfo.php?workbook=05_01.xlsx&amp;sheet=A0&amp;row=267&amp;col=16&amp;number=1e-15&amp;sourceID=12","1e-15")</f>
        <v>1e-15</v>
      </c>
      <c r="Q267" s="4" t="str">
        <f>HYPERLINK("http://141.218.60.56/~jnz1568/getInfo.php?workbook=05_01.xlsx&amp;sheet=A0&amp;row=267&amp;col=17&amp;number=&amp;sourceID=12","")</f>
        <v/>
      </c>
      <c r="R267" s="4" t="str">
        <f>HYPERLINK("http://141.218.60.56/~jnz1568/getInfo.php?workbook=05_01.xlsx&amp;sheet=A0&amp;row=267&amp;col=18&amp;number=&amp;sourceID=12","")</f>
        <v/>
      </c>
      <c r="S267" s="4" t="str">
        <f>HYPERLINK("http://141.218.60.56/~jnz1568/getInfo.php?workbook=05_01.xlsx&amp;sheet=A0&amp;row=267&amp;col=19&amp;number=&amp;sourceID=12","")</f>
        <v/>
      </c>
      <c r="T267" s="4" t="str">
        <f>HYPERLINK("http://141.218.60.56/~jnz1568/getInfo.php?workbook=05_01.xlsx&amp;sheet=A0&amp;row=267&amp;col=20&amp;number=0&amp;sourceID=12","0")</f>
        <v>0</v>
      </c>
    </row>
    <row r="268" spans="1:20">
      <c r="A268" s="3">
        <v>5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HYPERLINK("http://141.218.60.56/~jnz1568/getInfo.php?workbook=05_01.xlsx&amp;sheet=A0&amp;row=268&amp;col=6&amp;number=&amp;sourceID=18","")</f>
        <v/>
      </c>
      <c r="G268" s="4" t="str">
        <f>HYPERLINK("http://141.218.60.56/~jnz1568/getInfo.php?workbook=05_01.xlsx&amp;sheet=A0&amp;row=268&amp;col=7&amp;number==&amp;sourceID=11","=")</f>
        <v>=</v>
      </c>
      <c r="H268" s="4" t="str">
        <f>HYPERLINK("http://141.218.60.56/~jnz1568/getInfo.php?workbook=05_01.xlsx&amp;sheet=A0&amp;row=268&amp;col=8&amp;number=&amp;sourceID=11","")</f>
        <v/>
      </c>
      <c r="I268" s="4" t="str">
        <f>HYPERLINK("http://141.218.60.56/~jnz1568/getInfo.php?workbook=05_01.xlsx&amp;sheet=A0&amp;row=268&amp;col=9&amp;number=0&amp;sourceID=11","0")</f>
        <v>0</v>
      </c>
      <c r="J268" s="4" t="str">
        <f>HYPERLINK("http://141.218.60.56/~jnz1568/getInfo.php?workbook=05_01.xlsx&amp;sheet=A0&amp;row=268&amp;col=10&amp;number=&amp;sourceID=11","")</f>
        <v/>
      </c>
      <c r="K268" s="4" t="str">
        <f>HYPERLINK("http://141.218.60.56/~jnz1568/getInfo.php?workbook=05_01.xlsx&amp;sheet=A0&amp;row=268&amp;col=11&amp;number=1.6692e-10&amp;sourceID=11","1.6692e-10")</f>
        <v>1.6692e-10</v>
      </c>
      <c r="L268" s="4" t="str">
        <f>HYPERLINK("http://141.218.60.56/~jnz1568/getInfo.php?workbook=05_01.xlsx&amp;sheet=A0&amp;row=268&amp;col=12&amp;number=&amp;sourceID=11","")</f>
        <v/>
      </c>
      <c r="M268" s="4" t="str">
        <f>HYPERLINK("http://141.218.60.56/~jnz1568/getInfo.php?workbook=05_01.xlsx&amp;sheet=A0&amp;row=268&amp;col=13&amp;number=0&amp;sourceID=11","0")</f>
        <v>0</v>
      </c>
      <c r="N268" s="4" t="str">
        <f>HYPERLINK("http://141.218.60.56/~jnz1568/getInfo.php?workbook=05_01.xlsx&amp;sheet=A0&amp;row=268&amp;col=14&amp;number=1.6701e-10&amp;sourceID=12","1.6701e-10")</f>
        <v>1.6701e-10</v>
      </c>
      <c r="O268" s="4" t="str">
        <f>HYPERLINK("http://141.218.60.56/~jnz1568/getInfo.php?workbook=05_01.xlsx&amp;sheet=A0&amp;row=268&amp;col=15&amp;number=&amp;sourceID=12","")</f>
        <v/>
      </c>
      <c r="P268" s="4" t="str">
        <f>HYPERLINK("http://141.218.60.56/~jnz1568/getInfo.php?workbook=05_01.xlsx&amp;sheet=A0&amp;row=268&amp;col=16&amp;number=0&amp;sourceID=12","0")</f>
        <v>0</v>
      </c>
      <c r="Q268" s="4" t="str">
        <f>HYPERLINK("http://141.218.60.56/~jnz1568/getInfo.php?workbook=05_01.xlsx&amp;sheet=A0&amp;row=268&amp;col=17&amp;number=&amp;sourceID=12","")</f>
        <v/>
      </c>
      <c r="R268" s="4" t="str">
        <f>HYPERLINK("http://141.218.60.56/~jnz1568/getInfo.php?workbook=05_01.xlsx&amp;sheet=A0&amp;row=268&amp;col=18&amp;number=1.6701e-10&amp;sourceID=12","1.6701e-10")</f>
        <v>1.6701e-10</v>
      </c>
      <c r="S268" s="4" t="str">
        <f>HYPERLINK("http://141.218.60.56/~jnz1568/getInfo.php?workbook=05_01.xlsx&amp;sheet=A0&amp;row=268&amp;col=19&amp;number=&amp;sourceID=12","")</f>
        <v/>
      </c>
      <c r="T268" s="4" t="str">
        <f>HYPERLINK("http://141.218.60.56/~jnz1568/getInfo.php?workbook=05_01.xlsx&amp;sheet=A0&amp;row=268&amp;col=20&amp;number=0&amp;sourceID=12","0")</f>
        <v>0</v>
      </c>
    </row>
    <row r="269" spans="1:20">
      <c r="A269" s="3">
        <v>5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HYPERLINK("http://141.218.60.56/~jnz1568/getInfo.php?workbook=05_01.xlsx&amp;sheet=A0&amp;row=269&amp;col=6&amp;number=&amp;sourceID=18","")</f>
        <v/>
      </c>
      <c r="G269" s="4" t="str">
        <f>HYPERLINK("http://141.218.60.56/~jnz1568/getInfo.php?workbook=05_01.xlsx&amp;sheet=A0&amp;row=269&amp;col=7&amp;number==&amp;sourceID=11","=")</f>
        <v>=</v>
      </c>
      <c r="H269" s="4" t="str">
        <f>HYPERLINK("http://141.218.60.56/~jnz1568/getInfo.php?workbook=05_01.xlsx&amp;sheet=A0&amp;row=269&amp;col=8&amp;number=0.00045136&amp;sourceID=11","0.00045136")</f>
        <v>0.00045136</v>
      </c>
      <c r="I269" s="4" t="str">
        <f>HYPERLINK("http://141.218.60.56/~jnz1568/getInfo.php?workbook=05_01.xlsx&amp;sheet=A0&amp;row=269&amp;col=9&amp;number=&amp;sourceID=11","")</f>
        <v/>
      </c>
      <c r="J269" s="4" t="str">
        <f>HYPERLINK("http://141.218.60.56/~jnz1568/getInfo.php?workbook=05_01.xlsx&amp;sheet=A0&amp;row=269&amp;col=10&amp;number=0&amp;sourceID=11","0")</f>
        <v>0</v>
      </c>
      <c r="K269" s="4" t="str">
        <f>HYPERLINK("http://141.218.60.56/~jnz1568/getInfo.php?workbook=05_01.xlsx&amp;sheet=A0&amp;row=269&amp;col=11&amp;number=&amp;sourceID=11","")</f>
        <v/>
      </c>
      <c r="L269" s="4" t="str">
        <f>HYPERLINK("http://141.218.60.56/~jnz1568/getInfo.php?workbook=05_01.xlsx&amp;sheet=A0&amp;row=269&amp;col=12&amp;number=0&amp;sourceID=11","0")</f>
        <v>0</v>
      </c>
      <c r="M269" s="4" t="str">
        <f>HYPERLINK("http://141.218.60.56/~jnz1568/getInfo.php?workbook=05_01.xlsx&amp;sheet=A0&amp;row=269&amp;col=13&amp;number=&amp;sourceID=11","")</f>
        <v/>
      </c>
      <c r="N269" s="4" t="str">
        <f>HYPERLINK("http://141.218.60.56/~jnz1568/getInfo.php?workbook=05_01.xlsx&amp;sheet=A0&amp;row=269&amp;col=14&amp;number=0.00045161&amp;sourceID=12","0.00045161")</f>
        <v>0.00045161</v>
      </c>
      <c r="O269" s="4" t="str">
        <f>HYPERLINK("http://141.218.60.56/~jnz1568/getInfo.php?workbook=05_01.xlsx&amp;sheet=A0&amp;row=269&amp;col=15&amp;number=0.00045161&amp;sourceID=12","0.00045161")</f>
        <v>0.00045161</v>
      </c>
      <c r="P269" s="4" t="str">
        <f>HYPERLINK("http://141.218.60.56/~jnz1568/getInfo.php?workbook=05_01.xlsx&amp;sheet=A0&amp;row=269&amp;col=16&amp;number=&amp;sourceID=12","")</f>
        <v/>
      </c>
      <c r="Q269" s="4" t="str">
        <f>HYPERLINK("http://141.218.60.56/~jnz1568/getInfo.php?workbook=05_01.xlsx&amp;sheet=A0&amp;row=269&amp;col=17&amp;number=0&amp;sourceID=12","0")</f>
        <v>0</v>
      </c>
      <c r="R269" s="4" t="str">
        <f>HYPERLINK("http://141.218.60.56/~jnz1568/getInfo.php?workbook=05_01.xlsx&amp;sheet=A0&amp;row=269&amp;col=18&amp;number=&amp;sourceID=12","")</f>
        <v/>
      </c>
      <c r="S269" s="4" t="str">
        <f>HYPERLINK("http://141.218.60.56/~jnz1568/getInfo.php?workbook=05_01.xlsx&amp;sheet=A0&amp;row=269&amp;col=19&amp;number=0&amp;sourceID=12","0")</f>
        <v>0</v>
      </c>
      <c r="T269" s="4" t="str">
        <f>HYPERLINK("http://141.218.60.56/~jnz1568/getInfo.php?workbook=05_01.xlsx&amp;sheet=A0&amp;row=269&amp;col=20&amp;number=&amp;sourceID=12","")</f>
        <v/>
      </c>
    </row>
    <row r="270" spans="1:20">
      <c r="A270" s="3">
        <v>5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HYPERLINK("http://141.218.60.56/~jnz1568/getInfo.php?workbook=05_01.xlsx&amp;sheet=A0&amp;row=270&amp;col=6&amp;number=&amp;sourceID=18","")</f>
        <v/>
      </c>
      <c r="G270" s="4" t="str">
        <f>HYPERLINK("http://141.218.60.56/~jnz1568/getInfo.php?workbook=05_01.xlsx&amp;sheet=A0&amp;row=270&amp;col=7&amp;number==&amp;sourceID=11","=")</f>
        <v>=</v>
      </c>
      <c r="H270" s="4" t="str">
        <f>HYPERLINK("http://141.218.60.56/~jnz1568/getInfo.php?workbook=05_01.xlsx&amp;sheet=A0&amp;row=270&amp;col=8&amp;number=&amp;sourceID=11","")</f>
        <v/>
      </c>
      <c r="I270" s="4" t="str">
        <f>HYPERLINK("http://141.218.60.56/~jnz1568/getInfo.php?workbook=05_01.xlsx&amp;sheet=A0&amp;row=270&amp;col=9&amp;number=&amp;sourceID=11","")</f>
        <v/>
      </c>
      <c r="J270" s="4" t="str">
        <f>HYPERLINK("http://141.218.60.56/~jnz1568/getInfo.php?workbook=05_01.xlsx&amp;sheet=A0&amp;row=270&amp;col=10&amp;number=13.091&amp;sourceID=11","13.091")</f>
        <v>13.091</v>
      </c>
      <c r="K270" s="4" t="str">
        <f>HYPERLINK("http://141.218.60.56/~jnz1568/getInfo.php?workbook=05_01.xlsx&amp;sheet=A0&amp;row=270&amp;col=11&amp;number=&amp;sourceID=11","")</f>
        <v/>
      </c>
      <c r="L270" s="4" t="str">
        <f>HYPERLINK("http://141.218.60.56/~jnz1568/getInfo.php?workbook=05_01.xlsx&amp;sheet=A0&amp;row=270&amp;col=12&amp;number=&amp;sourceID=11","")</f>
        <v/>
      </c>
      <c r="M270" s="4" t="str">
        <f>HYPERLINK("http://141.218.60.56/~jnz1568/getInfo.php?workbook=05_01.xlsx&amp;sheet=A0&amp;row=270&amp;col=13&amp;number=&amp;sourceID=11","")</f>
        <v/>
      </c>
      <c r="N270" s="4" t="str">
        <f>HYPERLINK("http://141.218.60.56/~jnz1568/getInfo.php?workbook=05_01.xlsx&amp;sheet=A0&amp;row=270&amp;col=14&amp;number=13.092&amp;sourceID=12","13.092")</f>
        <v>13.092</v>
      </c>
      <c r="O270" s="4" t="str">
        <f>HYPERLINK("http://141.218.60.56/~jnz1568/getInfo.php?workbook=05_01.xlsx&amp;sheet=A0&amp;row=270&amp;col=15&amp;number=&amp;sourceID=12","")</f>
        <v/>
      </c>
      <c r="P270" s="4" t="str">
        <f>HYPERLINK("http://141.218.60.56/~jnz1568/getInfo.php?workbook=05_01.xlsx&amp;sheet=A0&amp;row=270&amp;col=16&amp;number=&amp;sourceID=12","")</f>
        <v/>
      </c>
      <c r="Q270" s="4" t="str">
        <f>HYPERLINK("http://141.218.60.56/~jnz1568/getInfo.php?workbook=05_01.xlsx&amp;sheet=A0&amp;row=270&amp;col=17&amp;number=13.092&amp;sourceID=12","13.092")</f>
        <v>13.092</v>
      </c>
      <c r="R270" s="4" t="str">
        <f>HYPERLINK("http://141.218.60.56/~jnz1568/getInfo.php?workbook=05_01.xlsx&amp;sheet=A0&amp;row=270&amp;col=18&amp;number=&amp;sourceID=12","")</f>
        <v/>
      </c>
      <c r="S270" s="4" t="str">
        <f>HYPERLINK("http://141.218.60.56/~jnz1568/getInfo.php?workbook=05_01.xlsx&amp;sheet=A0&amp;row=270&amp;col=19&amp;number=&amp;sourceID=12","")</f>
        <v/>
      </c>
      <c r="T270" s="4" t="str">
        <f>HYPERLINK("http://141.218.60.56/~jnz1568/getInfo.php?workbook=05_01.xlsx&amp;sheet=A0&amp;row=270&amp;col=20&amp;number=&amp;sourceID=12","")</f>
        <v/>
      </c>
    </row>
    <row r="271" spans="1:20">
      <c r="A271" s="3">
        <v>5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HYPERLINK("http://141.218.60.56/~jnz1568/getInfo.php?workbook=05_01.xlsx&amp;sheet=A0&amp;row=271&amp;col=6&amp;number=&amp;sourceID=18","")</f>
        <v/>
      </c>
      <c r="G271" s="4" t="str">
        <f>HYPERLINK("http://141.218.60.56/~jnz1568/getInfo.php?workbook=05_01.xlsx&amp;sheet=A0&amp;row=271&amp;col=7&amp;number==&amp;sourceID=11","=")</f>
        <v>=</v>
      </c>
      <c r="H271" s="4" t="str">
        <f>HYPERLINK("http://141.218.60.56/~jnz1568/getInfo.php?workbook=05_01.xlsx&amp;sheet=A0&amp;row=271&amp;col=8&amp;number=&amp;sourceID=11","")</f>
        <v/>
      </c>
      <c r="I271" s="4" t="str">
        <f>HYPERLINK("http://141.218.60.56/~jnz1568/getInfo.php?workbook=05_01.xlsx&amp;sheet=A0&amp;row=271&amp;col=9&amp;number=&amp;sourceID=11","")</f>
        <v/>
      </c>
      <c r="J271" s="4" t="str">
        <f>HYPERLINK("http://141.218.60.56/~jnz1568/getInfo.php?workbook=05_01.xlsx&amp;sheet=A0&amp;row=271&amp;col=10&amp;number=&amp;sourceID=11","")</f>
        <v/>
      </c>
      <c r="K271" s="4" t="str">
        <f>HYPERLINK("http://141.218.60.56/~jnz1568/getInfo.php?workbook=05_01.xlsx&amp;sheet=A0&amp;row=271&amp;col=11&amp;number=&amp;sourceID=11","")</f>
        <v/>
      </c>
      <c r="L271" s="4" t="str">
        <f>HYPERLINK("http://141.218.60.56/~jnz1568/getInfo.php?workbook=05_01.xlsx&amp;sheet=A0&amp;row=271&amp;col=12&amp;number=&amp;sourceID=11","")</f>
        <v/>
      </c>
      <c r="M271" s="4" t="str">
        <f>HYPERLINK("http://141.218.60.56/~jnz1568/getInfo.php?workbook=05_01.xlsx&amp;sheet=A0&amp;row=271&amp;col=13&amp;number=3.4864e-05&amp;sourceID=11","3.4864e-05")</f>
        <v>3.4864e-05</v>
      </c>
      <c r="N271" s="4" t="str">
        <f>HYPERLINK("http://141.218.60.56/~jnz1568/getInfo.php?workbook=05_01.xlsx&amp;sheet=A0&amp;row=271&amp;col=14&amp;number=3.4866e-05&amp;sourceID=12","3.4866e-05")</f>
        <v>3.4866e-05</v>
      </c>
      <c r="O271" s="4" t="str">
        <f>HYPERLINK("http://141.218.60.56/~jnz1568/getInfo.php?workbook=05_01.xlsx&amp;sheet=A0&amp;row=271&amp;col=15&amp;number=&amp;sourceID=12","")</f>
        <v/>
      </c>
      <c r="P271" s="4" t="str">
        <f>HYPERLINK("http://141.218.60.56/~jnz1568/getInfo.php?workbook=05_01.xlsx&amp;sheet=A0&amp;row=271&amp;col=16&amp;number=&amp;sourceID=12","")</f>
        <v/>
      </c>
      <c r="Q271" s="4" t="str">
        <f>HYPERLINK("http://141.218.60.56/~jnz1568/getInfo.php?workbook=05_01.xlsx&amp;sheet=A0&amp;row=271&amp;col=17&amp;number=&amp;sourceID=12","")</f>
        <v/>
      </c>
      <c r="R271" s="4" t="str">
        <f>HYPERLINK("http://141.218.60.56/~jnz1568/getInfo.php?workbook=05_01.xlsx&amp;sheet=A0&amp;row=271&amp;col=18&amp;number=&amp;sourceID=12","")</f>
        <v/>
      </c>
      <c r="S271" s="4" t="str">
        <f>HYPERLINK("http://141.218.60.56/~jnz1568/getInfo.php?workbook=05_01.xlsx&amp;sheet=A0&amp;row=271&amp;col=19&amp;number=&amp;sourceID=12","")</f>
        <v/>
      </c>
      <c r="T271" s="4" t="str">
        <f>HYPERLINK("http://141.218.60.56/~jnz1568/getInfo.php?workbook=05_01.xlsx&amp;sheet=A0&amp;row=271&amp;col=20&amp;number=3.4866e-05&amp;sourceID=12","3.4866e-05")</f>
        <v>3.4866e-05</v>
      </c>
    </row>
    <row r="272" spans="1:20">
      <c r="A272" s="3">
        <v>5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HYPERLINK("http://141.218.60.56/~jnz1568/getInfo.php?workbook=05_01.xlsx&amp;sheet=A0&amp;row=272&amp;col=6&amp;number=&amp;sourceID=18","")</f>
        <v/>
      </c>
      <c r="G272" s="4" t="str">
        <f>HYPERLINK("http://141.218.60.56/~jnz1568/getInfo.php?workbook=05_01.xlsx&amp;sheet=A0&amp;row=272&amp;col=7&amp;number==&amp;sourceID=11","=")</f>
        <v>=</v>
      </c>
      <c r="H272" s="4" t="str">
        <f>HYPERLINK("http://141.218.60.56/~jnz1568/getInfo.php?workbook=05_01.xlsx&amp;sheet=A0&amp;row=272&amp;col=8&amp;number=&amp;sourceID=11","")</f>
        <v/>
      </c>
      <c r="I272" s="4" t="str">
        <f>HYPERLINK("http://141.218.60.56/~jnz1568/getInfo.php?workbook=05_01.xlsx&amp;sheet=A0&amp;row=272&amp;col=9&amp;number=&amp;sourceID=11","")</f>
        <v/>
      </c>
      <c r="J272" s="4" t="str">
        <f>HYPERLINK("http://141.218.60.56/~jnz1568/getInfo.php?workbook=05_01.xlsx&amp;sheet=A0&amp;row=272&amp;col=10&amp;number=5.5322&amp;sourceID=11","5.5322")</f>
        <v>5.5322</v>
      </c>
      <c r="K272" s="4" t="str">
        <f>HYPERLINK("http://141.218.60.56/~jnz1568/getInfo.php?workbook=05_01.xlsx&amp;sheet=A0&amp;row=272&amp;col=11&amp;number=&amp;sourceID=11","")</f>
        <v/>
      </c>
      <c r="L272" s="4" t="str">
        <f>HYPERLINK("http://141.218.60.56/~jnz1568/getInfo.php?workbook=05_01.xlsx&amp;sheet=A0&amp;row=272&amp;col=12&amp;number=&amp;sourceID=11","")</f>
        <v/>
      </c>
      <c r="M272" s="4" t="str">
        <f>HYPERLINK("http://141.218.60.56/~jnz1568/getInfo.php?workbook=05_01.xlsx&amp;sheet=A0&amp;row=272&amp;col=13&amp;number=&amp;sourceID=11","")</f>
        <v/>
      </c>
      <c r="N272" s="4" t="str">
        <f>HYPERLINK("http://141.218.60.56/~jnz1568/getInfo.php?workbook=05_01.xlsx&amp;sheet=A0&amp;row=272&amp;col=14&amp;number=5.5325&amp;sourceID=12","5.5325")</f>
        <v>5.5325</v>
      </c>
      <c r="O272" s="4" t="str">
        <f>HYPERLINK("http://141.218.60.56/~jnz1568/getInfo.php?workbook=05_01.xlsx&amp;sheet=A0&amp;row=272&amp;col=15&amp;number=&amp;sourceID=12","")</f>
        <v/>
      </c>
      <c r="P272" s="4" t="str">
        <f>HYPERLINK("http://141.218.60.56/~jnz1568/getInfo.php?workbook=05_01.xlsx&amp;sheet=A0&amp;row=272&amp;col=16&amp;number=&amp;sourceID=12","")</f>
        <v/>
      </c>
      <c r="Q272" s="4" t="str">
        <f>HYPERLINK("http://141.218.60.56/~jnz1568/getInfo.php?workbook=05_01.xlsx&amp;sheet=A0&amp;row=272&amp;col=17&amp;number=5.5325&amp;sourceID=12","5.5325")</f>
        <v>5.5325</v>
      </c>
      <c r="R272" s="4" t="str">
        <f>HYPERLINK("http://141.218.60.56/~jnz1568/getInfo.php?workbook=05_01.xlsx&amp;sheet=A0&amp;row=272&amp;col=18&amp;number=&amp;sourceID=12","")</f>
        <v/>
      </c>
      <c r="S272" s="4" t="str">
        <f>HYPERLINK("http://141.218.60.56/~jnz1568/getInfo.php?workbook=05_01.xlsx&amp;sheet=A0&amp;row=272&amp;col=19&amp;number=&amp;sourceID=12","")</f>
        <v/>
      </c>
      <c r="T272" s="4" t="str">
        <f>HYPERLINK("http://141.218.60.56/~jnz1568/getInfo.php?workbook=05_01.xlsx&amp;sheet=A0&amp;row=272&amp;col=20&amp;number=&amp;sourceID=12","")</f>
        <v/>
      </c>
    </row>
    <row r="273" spans="1:20">
      <c r="A273" s="3">
        <v>5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HYPERLINK("http://141.218.60.56/~jnz1568/getInfo.php?workbook=05_01.xlsx&amp;sheet=A0&amp;row=273&amp;col=6&amp;number=&amp;sourceID=18","")</f>
        <v/>
      </c>
      <c r="G273" s="4" t="str">
        <f>HYPERLINK("http://141.218.60.56/~jnz1568/getInfo.php?workbook=05_01.xlsx&amp;sheet=A0&amp;row=273&amp;col=7&amp;number==&amp;sourceID=11","=")</f>
        <v>=</v>
      </c>
      <c r="H273" s="4" t="str">
        <f>HYPERLINK("http://141.218.60.56/~jnz1568/getInfo.php?workbook=05_01.xlsx&amp;sheet=A0&amp;row=273&amp;col=8&amp;number=&amp;sourceID=11","")</f>
        <v/>
      </c>
      <c r="I273" s="4" t="str">
        <f>HYPERLINK("http://141.218.60.56/~jnz1568/getInfo.php?workbook=05_01.xlsx&amp;sheet=A0&amp;row=273&amp;col=9&amp;number=181470&amp;sourceID=11","181470")</f>
        <v>181470</v>
      </c>
      <c r="J273" s="4" t="str">
        <f>HYPERLINK("http://141.218.60.56/~jnz1568/getInfo.php?workbook=05_01.xlsx&amp;sheet=A0&amp;row=273&amp;col=10&amp;number=&amp;sourceID=11","")</f>
        <v/>
      </c>
      <c r="K273" s="4" t="str">
        <f>HYPERLINK("http://141.218.60.56/~jnz1568/getInfo.php?workbook=05_01.xlsx&amp;sheet=A0&amp;row=273&amp;col=11&amp;number=&amp;sourceID=11","")</f>
        <v/>
      </c>
      <c r="L273" s="4" t="str">
        <f>HYPERLINK("http://141.218.60.56/~jnz1568/getInfo.php?workbook=05_01.xlsx&amp;sheet=A0&amp;row=273&amp;col=12&amp;number=&amp;sourceID=11","")</f>
        <v/>
      </c>
      <c r="M273" s="4" t="str">
        <f>HYPERLINK("http://141.218.60.56/~jnz1568/getInfo.php?workbook=05_01.xlsx&amp;sheet=A0&amp;row=273&amp;col=13&amp;number=0.0001136&amp;sourceID=11","0.0001136")</f>
        <v>0.0001136</v>
      </c>
      <c r="N273" s="4" t="str">
        <f>HYPERLINK("http://141.218.60.56/~jnz1568/getInfo.php?workbook=05_01.xlsx&amp;sheet=A0&amp;row=273&amp;col=14&amp;number=181480&amp;sourceID=12","181480")</f>
        <v>181480</v>
      </c>
      <c r="O273" s="4" t="str">
        <f>HYPERLINK("http://141.218.60.56/~jnz1568/getInfo.php?workbook=05_01.xlsx&amp;sheet=A0&amp;row=273&amp;col=15&amp;number=&amp;sourceID=12","")</f>
        <v/>
      </c>
      <c r="P273" s="4" t="str">
        <f>HYPERLINK("http://141.218.60.56/~jnz1568/getInfo.php?workbook=05_01.xlsx&amp;sheet=A0&amp;row=273&amp;col=16&amp;number=181480&amp;sourceID=12","181480")</f>
        <v>181480</v>
      </c>
      <c r="Q273" s="4" t="str">
        <f>HYPERLINK("http://141.218.60.56/~jnz1568/getInfo.php?workbook=05_01.xlsx&amp;sheet=A0&amp;row=273&amp;col=17&amp;number=&amp;sourceID=12","")</f>
        <v/>
      </c>
      <c r="R273" s="4" t="str">
        <f>HYPERLINK("http://141.218.60.56/~jnz1568/getInfo.php?workbook=05_01.xlsx&amp;sheet=A0&amp;row=273&amp;col=18&amp;number=&amp;sourceID=12","")</f>
        <v/>
      </c>
      <c r="S273" s="4" t="str">
        <f>HYPERLINK("http://141.218.60.56/~jnz1568/getInfo.php?workbook=05_01.xlsx&amp;sheet=A0&amp;row=273&amp;col=19&amp;number=&amp;sourceID=12","")</f>
        <v/>
      </c>
      <c r="T273" s="4" t="str">
        <f>HYPERLINK("http://141.218.60.56/~jnz1568/getInfo.php?workbook=05_01.xlsx&amp;sheet=A0&amp;row=273&amp;col=20&amp;number=0.00011361&amp;sourceID=12","0.00011361")</f>
        <v>0.00011361</v>
      </c>
    </row>
    <row r="274" spans="1:20">
      <c r="A274" s="3">
        <v>5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HYPERLINK("http://141.218.60.56/~jnz1568/getInfo.php?workbook=05_01.xlsx&amp;sheet=A0&amp;row=274&amp;col=6&amp;number=&amp;sourceID=18","")</f>
        <v/>
      </c>
      <c r="G274" s="4" t="str">
        <f>HYPERLINK("http://141.218.60.56/~jnz1568/getInfo.php?workbook=05_01.xlsx&amp;sheet=A0&amp;row=274&amp;col=7&amp;number==&amp;sourceID=11","=")</f>
        <v>=</v>
      </c>
      <c r="H274" s="4" t="str">
        <f>HYPERLINK("http://141.218.60.56/~jnz1568/getInfo.php?workbook=05_01.xlsx&amp;sheet=A0&amp;row=274&amp;col=8&amp;number=&amp;sourceID=11","")</f>
        <v/>
      </c>
      <c r="I274" s="4" t="str">
        <f>HYPERLINK("http://141.218.60.56/~jnz1568/getInfo.php?workbook=05_01.xlsx&amp;sheet=A0&amp;row=274&amp;col=9&amp;number=&amp;sourceID=11","")</f>
        <v/>
      </c>
      <c r="J274" s="4" t="str">
        <f>HYPERLINK("http://141.218.60.56/~jnz1568/getInfo.php?workbook=05_01.xlsx&amp;sheet=A0&amp;row=274&amp;col=10&amp;number=&amp;sourceID=11","")</f>
        <v/>
      </c>
      <c r="K274" s="4" t="str">
        <f>HYPERLINK("http://141.218.60.56/~jnz1568/getInfo.php?workbook=05_01.xlsx&amp;sheet=A0&amp;row=274&amp;col=11&amp;number=&amp;sourceID=11","")</f>
        <v/>
      </c>
      <c r="L274" s="4" t="str">
        <f>HYPERLINK("http://141.218.60.56/~jnz1568/getInfo.php?workbook=05_01.xlsx&amp;sheet=A0&amp;row=274&amp;col=12&amp;number=&amp;sourceID=11","")</f>
        <v/>
      </c>
      <c r="M274" s="4" t="str">
        <f>HYPERLINK("http://141.218.60.56/~jnz1568/getInfo.php?workbook=05_01.xlsx&amp;sheet=A0&amp;row=274&amp;col=13&amp;number=3.0069e-07&amp;sourceID=11","3.0069e-07")</f>
        <v>3.0069e-07</v>
      </c>
      <c r="N274" s="4" t="str">
        <f>HYPERLINK("http://141.218.60.56/~jnz1568/getInfo.php?workbook=05_01.xlsx&amp;sheet=A0&amp;row=274&amp;col=14&amp;number=3.007e-07&amp;sourceID=12","3.007e-07")</f>
        <v>3.007e-07</v>
      </c>
      <c r="O274" s="4" t="str">
        <f>HYPERLINK("http://141.218.60.56/~jnz1568/getInfo.php?workbook=05_01.xlsx&amp;sheet=A0&amp;row=274&amp;col=15&amp;number=&amp;sourceID=12","")</f>
        <v/>
      </c>
      <c r="P274" s="4" t="str">
        <f>HYPERLINK("http://141.218.60.56/~jnz1568/getInfo.php?workbook=05_01.xlsx&amp;sheet=A0&amp;row=274&amp;col=16&amp;number=&amp;sourceID=12","")</f>
        <v/>
      </c>
      <c r="Q274" s="4" t="str">
        <f>HYPERLINK("http://141.218.60.56/~jnz1568/getInfo.php?workbook=05_01.xlsx&amp;sheet=A0&amp;row=274&amp;col=17&amp;number=&amp;sourceID=12","")</f>
        <v/>
      </c>
      <c r="R274" s="4" t="str">
        <f>HYPERLINK("http://141.218.60.56/~jnz1568/getInfo.php?workbook=05_01.xlsx&amp;sheet=A0&amp;row=274&amp;col=18&amp;number=&amp;sourceID=12","")</f>
        <v/>
      </c>
      <c r="S274" s="4" t="str">
        <f>HYPERLINK("http://141.218.60.56/~jnz1568/getInfo.php?workbook=05_01.xlsx&amp;sheet=A0&amp;row=274&amp;col=19&amp;number=&amp;sourceID=12","")</f>
        <v/>
      </c>
      <c r="T274" s="4" t="str">
        <f>HYPERLINK("http://141.218.60.56/~jnz1568/getInfo.php?workbook=05_01.xlsx&amp;sheet=A0&amp;row=274&amp;col=20&amp;number=3.007e-07&amp;sourceID=12","3.007e-07")</f>
        <v>3.007e-07</v>
      </c>
    </row>
    <row r="275" spans="1:20">
      <c r="A275" s="3">
        <v>5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HYPERLINK("http://141.218.60.56/~jnz1568/getInfo.php?workbook=05_01.xlsx&amp;sheet=A0&amp;row=275&amp;col=6&amp;number=&amp;sourceID=18","")</f>
        <v/>
      </c>
      <c r="G275" s="4" t="str">
        <f>HYPERLINK("http://141.218.60.56/~jnz1568/getInfo.php?workbook=05_01.xlsx&amp;sheet=A0&amp;row=275&amp;col=7&amp;number==&amp;sourceID=11","=")</f>
        <v>=</v>
      </c>
      <c r="H275" s="4" t="str">
        <f>HYPERLINK("http://141.218.60.56/~jnz1568/getInfo.php?workbook=05_01.xlsx&amp;sheet=A0&amp;row=275&amp;col=8&amp;number=&amp;sourceID=11","")</f>
        <v/>
      </c>
      <c r="I275" s="4" t="str">
        <f>HYPERLINK("http://141.218.60.56/~jnz1568/getInfo.php?workbook=05_01.xlsx&amp;sheet=A0&amp;row=275&amp;col=9&amp;number=&amp;sourceID=11","")</f>
        <v/>
      </c>
      <c r="J275" s="4" t="str">
        <f>HYPERLINK("http://141.218.60.56/~jnz1568/getInfo.php?workbook=05_01.xlsx&amp;sheet=A0&amp;row=275&amp;col=10&amp;number=0.051016&amp;sourceID=11","0.051016")</f>
        <v>0.051016</v>
      </c>
      <c r="K275" s="4" t="str">
        <f>HYPERLINK("http://141.218.60.56/~jnz1568/getInfo.php?workbook=05_01.xlsx&amp;sheet=A0&amp;row=275&amp;col=11&amp;number=&amp;sourceID=11","")</f>
        <v/>
      </c>
      <c r="L275" s="4" t="str">
        <f>HYPERLINK("http://141.218.60.56/~jnz1568/getInfo.php?workbook=05_01.xlsx&amp;sheet=A0&amp;row=275&amp;col=12&amp;number=&amp;sourceID=11","")</f>
        <v/>
      </c>
      <c r="M275" s="4" t="str">
        <f>HYPERLINK("http://141.218.60.56/~jnz1568/getInfo.php?workbook=05_01.xlsx&amp;sheet=A0&amp;row=275&amp;col=13&amp;number=&amp;sourceID=11","")</f>
        <v/>
      </c>
      <c r="N275" s="4" t="str">
        <f>HYPERLINK("http://141.218.60.56/~jnz1568/getInfo.php?workbook=05_01.xlsx&amp;sheet=A0&amp;row=275&amp;col=14&amp;number=0.051018&amp;sourceID=12","0.051018")</f>
        <v>0.051018</v>
      </c>
      <c r="O275" s="4" t="str">
        <f>HYPERLINK("http://141.218.60.56/~jnz1568/getInfo.php?workbook=05_01.xlsx&amp;sheet=A0&amp;row=275&amp;col=15&amp;number=&amp;sourceID=12","")</f>
        <v/>
      </c>
      <c r="P275" s="4" t="str">
        <f>HYPERLINK("http://141.218.60.56/~jnz1568/getInfo.php?workbook=05_01.xlsx&amp;sheet=A0&amp;row=275&amp;col=16&amp;number=&amp;sourceID=12","")</f>
        <v/>
      </c>
      <c r="Q275" s="4" t="str">
        <f>HYPERLINK("http://141.218.60.56/~jnz1568/getInfo.php?workbook=05_01.xlsx&amp;sheet=A0&amp;row=275&amp;col=17&amp;number=0.051018&amp;sourceID=12","0.051018")</f>
        <v>0.051018</v>
      </c>
      <c r="R275" s="4" t="str">
        <f>HYPERLINK("http://141.218.60.56/~jnz1568/getInfo.php?workbook=05_01.xlsx&amp;sheet=A0&amp;row=275&amp;col=18&amp;number=&amp;sourceID=12","")</f>
        <v/>
      </c>
      <c r="S275" s="4" t="str">
        <f>HYPERLINK("http://141.218.60.56/~jnz1568/getInfo.php?workbook=05_01.xlsx&amp;sheet=A0&amp;row=275&amp;col=19&amp;number=&amp;sourceID=12","")</f>
        <v/>
      </c>
      <c r="T275" s="4" t="str">
        <f>HYPERLINK("http://141.218.60.56/~jnz1568/getInfo.php?workbook=05_01.xlsx&amp;sheet=A0&amp;row=275&amp;col=20&amp;number=&amp;sourceID=12","")</f>
        <v/>
      </c>
    </row>
    <row r="276" spans="1:20">
      <c r="A276" s="3">
        <v>5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HYPERLINK("http://141.218.60.56/~jnz1568/getInfo.php?workbook=05_01.xlsx&amp;sheet=A0&amp;row=276&amp;col=6&amp;number=&amp;sourceID=18","")</f>
        <v/>
      </c>
      <c r="G276" s="4" t="str">
        <f>HYPERLINK("http://141.218.60.56/~jnz1568/getInfo.php?workbook=05_01.xlsx&amp;sheet=A0&amp;row=276&amp;col=7&amp;number==&amp;sourceID=11","=")</f>
        <v>=</v>
      </c>
      <c r="H276" s="4" t="str">
        <f>HYPERLINK("http://141.218.60.56/~jnz1568/getInfo.php?workbook=05_01.xlsx&amp;sheet=A0&amp;row=276&amp;col=8&amp;number=&amp;sourceID=11","")</f>
        <v/>
      </c>
      <c r="I276" s="4" t="str">
        <f>HYPERLINK("http://141.218.60.56/~jnz1568/getInfo.php?workbook=05_01.xlsx&amp;sheet=A0&amp;row=276&amp;col=9&amp;number=&amp;sourceID=11","")</f>
        <v/>
      </c>
      <c r="J276" s="4" t="str">
        <f>HYPERLINK("http://141.218.60.56/~jnz1568/getInfo.php?workbook=05_01.xlsx&amp;sheet=A0&amp;row=276&amp;col=10&amp;number=0.0023822&amp;sourceID=11","0.0023822")</f>
        <v>0.0023822</v>
      </c>
      <c r="K276" s="4" t="str">
        <f>HYPERLINK("http://141.218.60.56/~jnz1568/getInfo.php?workbook=05_01.xlsx&amp;sheet=A0&amp;row=276&amp;col=11&amp;number=&amp;sourceID=11","")</f>
        <v/>
      </c>
      <c r="L276" s="4" t="str">
        <f>HYPERLINK("http://141.218.60.56/~jnz1568/getInfo.php?workbook=05_01.xlsx&amp;sheet=A0&amp;row=276&amp;col=12&amp;number=0.034107&amp;sourceID=11","0.034107")</f>
        <v>0.034107</v>
      </c>
      <c r="M276" s="4" t="str">
        <f>HYPERLINK("http://141.218.60.56/~jnz1568/getInfo.php?workbook=05_01.xlsx&amp;sheet=A0&amp;row=276&amp;col=13&amp;number=&amp;sourceID=11","")</f>
        <v/>
      </c>
      <c r="N276" s="4" t="str">
        <f>HYPERLINK("http://141.218.60.56/~jnz1568/getInfo.php?workbook=05_01.xlsx&amp;sheet=A0&amp;row=276&amp;col=14&amp;number=0.036491&amp;sourceID=12","0.036491")</f>
        <v>0.036491</v>
      </c>
      <c r="O276" s="4" t="str">
        <f>HYPERLINK("http://141.218.60.56/~jnz1568/getInfo.php?workbook=05_01.xlsx&amp;sheet=A0&amp;row=276&amp;col=15&amp;number=&amp;sourceID=12","")</f>
        <v/>
      </c>
      <c r="P276" s="4" t="str">
        <f>HYPERLINK("http://141.218.60.56/~jnz1568/getInfo.php?workbook=05_01.xlsx&amp;sheet=A0&amp;row=276&amp;col=16&amp;number=&amp;sourceID=12","")</f>
        <v/>
      </c>
      <c r="Q276" s="4" t="str">
        <f>HYPERLINK("http://141.218.60.56/~jnz1568/getInfo.php?workbook=05_01.xlsx&amp;sheet=A0&amp;row=276&amp;col=17&amp;number=0.0023823&amp;sourceID=12","0.0023823")</f>
        <v>0.0023823</v>
      </c>
      <c r="R276" s="4" t="str">
        <f>HYPERLINK("http://141.218.60.56/~jnz1568/getInfo.php?workbook=05_01.xlsx&amp;sheet=A0&amp;row=276&amp;col=18&amp;number=&amp;sourceID=12","")</f>
        <v/>
      </c>
      <c r="S276" s="4" t="str">
        <f>HYPERLINK("http://141.218.60.56/~jnz1568/getInfo.php?workbook=05_01.xlsx&amp;sheet=A0&amp;row=276&amp;col=19&amp;number=0.034109&amp;sourceID=12","0.034109")</f>
        <v>0.034109</v>
      </c>
      <c r="T276" s="4" t="str">
        <f>HYPERLINK("http://141.218.60.56/~jnz1568/getInfo.php?workbook=05_01.xlsx&amp;sheet=A0&amp;row=276&amp;col=20&amp;number=&amp;sourceID=12","")</f>
        <v/>
      </c>
    </row>
    <row r="277" spans="1:20">
      <c r="A277" s="3">
        <v>5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HYPERLINK("http://141.218.60.56/~jnz1568/getInfo.php?workbook=05_01.xlsx&amp;sheet=A0&amp;row=277&amp;col=6&amp;number=&amp;sourceID=18","")</f>
        <v/>
      </c>
      <c r="G277" s="4" t="str">
        <f>HYPERLINK("http://141.218.60.56/~jnz1568/getInfo.php?workbook=05_01.xlsx&amp;sheet=A0&amp;row=277&amp;col=7&amp;number==&amp;sourceID=11","=")</f>
        <v>=</v>
      </c>
      <c r="H277" s="4" t="str">
        <f>HYPERLINK("http://141.218.60.56/~jnz1568/getInfo.php?workbook=05_01.xlsx&amp;sheet=A0&amp;row=277&amp;col=8&amp;number=&amp;sourceID=11","")</f>
        <v/>
      </c>
      <c r="I277" s="4" t="str">
        <f>HYPERLINK("http://141.218.60.56/~jnz1568/getInfo.php?workbook=05_01.xlsx&amp;sheet=A0&amp;row=277&amp;col=9&amp;number=15622&amp;sourceID=11","15622")</f>
        <v>15622</v>
      </c>
      <c r="J277" s="4" t="str">
        <f>HYPERLINK("http://141.218.60.56/~jnz1568/getInfo.php?workbook=05_01.xlsx&amp;sheet=A0&amp;row=277&amp;col=10&amp;number=&amp;sourceID=11","")</f>
        <v/>
      </c>
      <c r="K277" s="4" t="str">
        <f>HYPERLINK("http://141.218.60.56/~jnz1568/getInfo.php?workbook=05_01.xlsx&amp;sheet=A0&amp;row=277&amp;col=11&amp;number=&amp;sourceID=11","")</f>
        <v/>
      </c>
      <c r="L277" s="4" t="str">
        <f>HYPERLINK("http://141.218.60.56/~jnz1568/getInfo.php?workbook=05_01.xlsx&amp;sheet=A0&amp;row=277&amp;col=12&amp;number=&amp;sourceID=11","")</f>
        <v/>
      </c>
      <c r="M277" s="4" t="str">
        <f>HYPERLINK("http://141.218.60.56/~jnz1568/getInfo.php?workbook=05_01.xlsx&amp;sheet=A0&amp;row=277&amp;col=13&amp;number=9.7917e-07&amp;sourceID=11","9.7917e-07")</f>
        <v>9.7917e-07</v>
      </c>
      <c r="N277" s="4" t="str">
        <f>HYPERLINK("http://141.218.60.56/~jnz1568/getInfo.php?workbook=05_01.xlsx&amp;sheet=A0&amp;row=277&amp;col=14&amp;number=15623&amp;sourceID=12","15623")</f>
        <v>15623</v>
      </c>
      <c r="O277" s="4" t="str">
        <f>HYPERLINK("http://141.218.60.56/~jnz1568/getInfo.php?workbook=05_01.xlsx&amp;sheet=A0&amp;row=277&amp;col=15&amp;number=&amp;sourceID=12","")</f>
        <v/>
      </c>
      <c r="P277" s="4" t="str">
        <f>HYPERLINK("http://141.218.60.56/~jnz1568/getInfo.php?workbook=05_01.xlsx&amp;sheet=A0&amp;row=277&amp;col=16&amp;number=15623&amp;sourceID=12","15623")</f>
        <v>15623</v>
      </c>
      <c r="Q277" s="4" t="str">
        <f>HYPERLINK("http://141.218.60.56/~jnz1568/getInfo.php?workbook=05_01.xlsx&amp;sheet=A0&amp;row=277&amp;col=17&amp;number=&amp;sourceID=12","")</f>
        <v/>
      </c>
      <c r="R277" s="4" t="str">
        <f>HYPERLINK("http://141.218.60.56/~jnz1568/getInfo.php?workbook=05_01.xlsx&amp;sheet=A0&amp;row=277&amp;col=18&amp;number=&amp;sourceID=12","")</f>
        <v/>
      </c>
      <c r="S277" s="4" t="str">
        <f>HYPERLINK("http://141.218.60.56/~jnz1568/getInfo.php?workbook=05_01.xlsx&amp;sheet=A0&amp;row=277&amp;col=19&amp;number=&amp;sourceID=12","")</f>
        <v/>
      </c>
      <c r="T277" s="4" t="str">
        <f>HYPERLINK("http://141.218.60.56/~jnz1568/getInfo.php?workbook=05_01.xlsx&amp;sheet=A0&amp;row=277&amp;col=20&amp;number=9.7922e-07&amp;sourceID=12","9.7922e-07")</f>
        <v>9.7922e-07</v>
      </c>
    </row>
    <row r="278" spans="1:20">
      <c r="A278" s="3">
        <v>5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HYPERLINK("http://141.218.60.56/~jnz1568/getInfo.php?workbook=05_01.xlsx&amp;sheet=A0&amp;row=278&amp;col=6&amp;number=&amp;sourceID=18","")</f>
        <v/>
      </c>
      <c r="G278" s="4" t="str">
        <f>HYPERLINK("http://141.218.60.56/~jnz1568/getInfo.php?workbook=05_01.xlsx&amp;sheet=A0&amp;row=278&amp;col=7&amp;number==&amp;sourceID=11","=")</f>
        <v>=</v>
      </c>
      <c r="H278" s="4" t="str">
        <f>HYPERLINK("http://141.218.60.56/~jnz1568/getInfo.php?workbook=05_01.xlsx&amp;sheet=A0&amp;row=278&amp;col=8&amp;number=2660200000&amp;sourceID=11","2660200000")</f>
        <v>2660200000</v>
      </c>
      <c r="I278" s="4" t="str">
        <f>HYPERLINK("http://141.218.60.56/~jnz1568/getInfo.php?workbook=05_01.xlsx&amp;sheet=A0&amp;row=278&amp;col=9&amp;number=&amp;sourceID=11","")</f>
        <v/>
      </c>
      <c r="J278" s="4" t="str">
        <f>HYPERLINK("http://141.218.60.56/~jnz1568/getInfo.php?workbook=05_01.xlsx&amp;sheet=A0&amp;row=278&amp;col=10&amp;number=0.014289&amp;sourceID=11","0.014289")</f>
        <v>0.014289</v>
      </c>
      <c r="K278" s="4" t="str">
        <f>HYPERLINK("http://141.218.60.56/~jnz1568/getInfo.php?workbook=05_01.xlsx&amp;sheet=A0&amp;row=278&amp;col=11&amp;number=&amp;sourceID=11","")</f>
        <v/>
      </c>
      <c r="L278" s="4" t="str">
        <f>HYPERLINK("http://141.218.60.56/~jnz1568/getInfo.php?workbook=05_01.xlsx&amp;sheet=A0&amp;row=278&amp;col=12&amp;number=0.31647&amp;sourceID=11","0.31647")</f>
        <v>0.31647</v>
      </c>
      <c r="M278" s="4" t="str">
        <f>HYPERLINK("http://141.218.60.56/~jnz1568/getInfo.php?workbook=05_01.xlsx&amp;sheet=A0&amp;row=278&amp;col=13&amp;number=&amp;sourceID=11","")</f>
        <v/>
      </c>
      <c r="N278" s="4" t="str">
        <f>HYPERLINK("http://141.218.60.56/~jnz1568/getInfo.php?workbook=05_01.xlsx&amp;sheet=A0&amp;row=278&amp;col=14&amp;number=2660300000&amp;sourceID=12","2660300000")</f>
        <v>2660300000</v>
      </c>
      <c r="O278" s="4" t="str">
        <f>HYPERLINK("http://141.218.60.56/~jnz1568/getInfo.php?workbook=05_01.xlsx&amp;sheet=A0&amp;row=278&amp;col=15&amp;number=2660300000&amp;sourceID=12","2660300000")</f>
        <v>2660300000</v>
      </c>
      <c r="P278" s="4" t="str">
        <f>HYPERLINK("http://141.218.60.56/~jnz1568/getInfo.php?workbook=05_01.xlsx&amp;sheet=A0&amp;row=278&amp;col=16&amp;number=&amp;sourceID=12","")</f>
        <v/>
      </c>
      <c r="Q278" s="4" t="str">
        <f>HYPERLINK("http://141.218.60.56/~jnz1568/getInfo.php?workbook=05_01.xlsx&amp;sheet=A0&amp;row=278&amp;col=17&amp;number=0.01429&amp;sourceID=12","0.01429")</f>
        <v>0.01429</v>
      </c>
      <c r="R278" s="4" t="str">
        <f>HYPERLINK("http://141.218.60.56/~jnz1568/getInfo.php?workbook=05_01.xlsx&amp;sheet=A0&amp;row=278&amp;col=18&amp;number=&amp;sourceID=12","")</f>
        <v/>
      </c>
      <c r="S278" s="4" t="str">
        <f>HYPERLINK("http://141.218.60.56/~jnz1568/getInfo.php?workbook=05_01.xlsx&amp;sheet=A0&amp;row=278&amp;col=19&amp;number=0.31649&amp;sourceID=12","0.31649")</f>
        <v>0.31649</v>
      </c>
      <c r="T278" s="4" t="str">
        <f>HYPERLINK("http://141.218.60.56/~jnz1568/getInfo.php?workbook=05_01.xlsx&amp;sheet=A0&amp;row=278&amp;col=20&amp;number=&amp;sourceID=12","")</f>
        <v/>
      </c>
    </row>
    <row r="279" spans="1:20">
      <c r="A279" s="3">
        <v>5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HYPERLINK("http://141.218.60.56/~jnz1568/getInfo.php?workbook=05_01.xlsx&amp;sheet=A0&amp;row=279&amp;col=6&amp;number=&amp;sourceID=18","")</f>
        <v/>
      </c>
      <c r="G279" s="4" t="str">
        <f>HYPERLINK("http://141.218.60.56/~jnz1568/getInfo.php?workbook=05_01.xlsx&amp;sheet=A0&amp;row=279&amp;col=7&amp;number==&amp;sourceID=11","=")</f>
        <v>=</v>
      </c>
      <c r="H279" s="4" t="str">
        <f>HYPERLINK("http://141.218.60.56/~jnz1568/getInfo.php?workbook=05_01.xlsx&amp;sheet=A0&amp;row=279&amp;col=8&amp;number=&amp;sourceID=11","")</f>
        <v/>
      </c>
      <c r="I279" s="4" t="str">
        <f>HYPERLINK("http://141.218.60.56/~jnz1568/getInfo.php?workbook=05_01.xlsx&amp;sheet=A0&amp;row=279&amp;col=9&amp;number=&amp;sourceID=11","")</f>
        <v/>
      </c>
      <c r="J279" s="4" t="str">
        <f>HYPERLINK("http://141.218.60.56/~jnz1568/getInfo.php?workbook=05_01.xlsx&amp;sheet=A0&amp;row=279&amp;col=10&amp;number=&amp;sourceID=11","")</f>
        <v/>
      </c>
      <c r="K279" s="4" t="str">
        <f>HYPERLINK("http://141.218.60.56/~jnz1568/getInfo.php?workbook=05_01.xlsx&amp;sheet=A0&amp;row=279&amp;col=11&amp;number=&amp;sourceID=11","")</f>
        <v/>
      </c>
      <c r="L279" s="4" t="str">
        <f>HYPERLINK("http://141.218.60.56/~jnz1568/getInfo.php?workbook=05_01.xlsx&amp;sheet=A0&amp;row=279&amp;col=12&amp;number=&amp;sourceID=11","")</f>
        <v/>
      </c>
      <c r="M279" s="4" t="str">
        <f>HYPERLINK("http://141.218.60.56/~jnz1568/getInfo.php?workbook=05_01.xlsx&amp;sheet=A0&amp;row=279&amp;col=13&amp;number=0&amp;sourceID=11","0")</f>
        <v>0</v>
      </c>
      <c r="N279" s="4" t="str">
        <f>HYPERLINK("http://141.218.60.56/~jnz1568/getInfo.php?workbook=05_01.xlsx&amp;sheet=A0&amp;row=279&amp;col=14&amp;number=0&amp;sourceID=12","0")</f>
        <v>0</v>
      </c>
      <c r="O279" s="4" t="str">
        <f>HYPERLINK("http://141.218.60.56/~jnz1568/getInfo.php?workbook=05_01.xlsx&amp;sheet=A0&amp;row=279&amp;col=15&amp;number=&amp;sourceID=12","")</f>
        <v/>
      </c>
      <c r="P279" s="4" t="str">
        <f>HYPERLINK("http://141.218.60.56/~jnz1568/getInfo.php?workbook=05_01.xlsx&amp;sheet=A0&amp;row=279&amp;col=16&amp;number=&amp;sourceID=12","")</f>
        <v/>
      </c>
      <c r="Q279" s="4" t="str">
        <f>HYPERLINK("http://141.218.60.56/~jnz1568/getInfo.php?workbook=05_01.xlsx&amp;sheet=A0&amp;row=279&amp;col=17&amp;number=&amp;sourceID=12","")</f>
        <v/>
      </c>
      <c r="R279" s="4" t="str">
        <f>HYPERLINK("http://141.218.60.56/~jnz1568/getInfo.php?workbook=05_01.xlsx&amp;sheet=A0&amp;row=279&amp;col=18&amp;number=&amp;sourceID=12","")</f>
        <v/>
      </c>
      <c r="S279" s="4" t="str">
        <f>HYPERLINK("http://141.218.60.56/~jnz1568/getInfo.php?workbook=05_01.xlsx&amp;sheet=A0&amp;row=279&amp;col=19&amp;number=&amp;sourceID=12","")</f>
        <v/>
      </c>
      <c r="T279" s="4" t="str">
        <f>HYPERLINK("http://141.218.60.56/~jnz1568/getInfo.php?workbook=05_01.xlsx&amp;sheet=A0&amp;row=279&amp;col=20&amp;number=0&amp;sourceID=12","0")</f>
        <v>0</v>
      </c>
    </row>
    <row r="280" spans="1:20">
      <c r="A280" s="3">
        <v>5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HYPERLINK("http://141.218.60.56/~jnz1568/getInfo.php?workbook=05_01.xlsx&amp;sheet=A0&amp;row=280&amp;col=6&amp;number=&amp;sourceID=18","")</f>
        <v/>
      </c>
      <c r="G280" s="4" t="str">
        <f>HYPERLINK("http://141.218.60.56/~jnz1568/getInfo.php?workbook=05_01.xlsx&amp;sheet=A0&amp;row=280&amp;col=7&amp;number==&amp;sourceID=11","=")</f>
        <v>=</v>
      </c>
      <c r="H280" s="4" t="str">
        <f>HYPERLINK("http://141.218.60.56/~jnz1568/getInfo.php?workbook=05_01.xlsx&amp;sheet=A0&amp;row=280&amp;col=8&amp;number=&amp;sourceID=11","")</f>
        <v/>
      </c>
      <c r="I280" s="4" t="str">
        <f>HYPERLINK("http://141.218.60.56/~jnz1568/getInfo.php?workbook=05_01.xlsx&amp;sheet=A0&amp;row=280&amp;col=9&amp;number=&amp;sourceID=11","")</f>
        <v/>
      </c>
      <c r="J280" s="4" t="str">
        <f>HYPERLINK("http://141.218.60.56/~jnz1568/getInfo.php?workbook=05_01.xlsx&amp;sheet=A0&amp;row=280&amp;col=10&amp;number=0&amp;sourceID=11","0")</f>
        <v>0</v>
      </c>
      <c r="K280" s="4" t="str">
        <f>HYPERLINK("http://141.218.60.56/~jnz1568/getInfo.php?workbook=05_01.xlsx&amp;sheet=A0&amp;row=280&amp;col=11&amp;number=&amp;sourceID=11","")</f>
        <v/>
      </c>
      <c r="L280" s="4" t="str">
        <f>HYPERLINK("http://141.218.60.56/~jnz1568/getInfo.php?workbook=05_01.xlsx&amp;sheet=A0&amp;row=280&amp;col=12&amp;number=&amp;sourceID=11","")</f>
        <v/>
      </c>
      <c r="M280" s="4" t="str">
        <f>HYPERLINK("http://141.218.60.56/~jnz1568/getInfo.php?workbook=05_01.xlsx&amp;sheet=A0&amp;row=280&amp;col=13&amp;number=&amp;sourceID=11","")</f>
        <v/>
      </c>
      <c r="N280" s="4" t="str">
        <f>HYPERLINK("http://141.218.60.56/~jnz1568/getInfo.php?workbook=05_01.xlsx&amp;sheet=A0&amp;row=280&amp;col=14&amp;number=0&amp;sourceID=12","0")</f>
        <v>0</v>
      </c>
      <c r="O280" s="4" t="str">
        <f>HYPERLINK("http://141.218.60.56/~jnz1568/getInfo.php?workbook=05_01.xlsx&amp;sheet=A0&amp;row=280&amp;col=15&amp;number=&amp;sourceID=12","")</f>
        <v/>
      </c>
      <c r="P280" s="4" t="str">
        <f>HYPERLINK("http://141.218.60.56/~jnz1568/getInfo.php?workbook=05_01.xlsx&amp;sheet=A0&amp;row=280&amp;col=16&amp;number=&amp;sourceID=12","")</f>
        <v/>
      </c>
      <c r="Q280" s="4" t="str">
        <f>HYPERLINK("http://141.218.60.56/~jnz1568/getInfo.php?workbook=05_01.xlsx&amp;sheet=A0&amp;row=280&amp;col=17&amp;number=0&amp;sourceID=12","0")</f>
        <v>0</v>
      </c>
      <c r="R280" s="4" t="str">
        <f>HYPERLINK("http://141.218.60.56/~jnz1568/getInfo.php?workbook=05_01.xlsx&amp;sheet=A0&amp;row=280&amp;col=18&amp;number=&amp;sourceID=12","")</f>
        <v/>
      </c>
      <c r="S280" s="4" t="str">
        <f>HYPERLINK("http://141.218.60.56/~jnz1568/getInfo.php?workbook=05_01.xlsx&amp;sheet=A0&amp;row=280&amp;col=19&amp;number=&amp;sourceID=12","")</f>
        <v/>
      </c>
      <c r="T280" s="4" t="str">
        <f>HYPERLINK("http://141.218.60.56/~jnz1568/getInfo.php?workbook=05_01.xlsx&amp;sheet=A0&amp;row=280&amp;col=20&amp;number=&amp;sourceID=12","")</f>
        <v/>
      </c>
    </row>
    <row r="281" spans="1:20">
      <c r="A281" s="3">
        <v>5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HYPERLINK("http://141.218.60.56/~jnz1568/getInfo.php?workbook=05_01.xlsx&amp;sheet=A0&amp;row=281&amp;col=6&amp;number=&amp;sourceID=18","")</f>
        <v/>
      </c>
      <c r="G281" s="4" t="str">
        <f>HYPERLINK("http://141.218.60.56/~jnz1568/getInfo.php?workbook=05_01.xlsx&amp;sheet=A0&amp;row=281&amp;col=7&amp;number==&amp;sourceID=11","=")</f>
        <v>=</v>
      </c>
      <c r="H281" s="4" t="str">
        <f>HYPERLINK("http://141.218.60.56/~jnz1568/getInfo.php?workbook=05_01.xlsx&amp;sheet=A0&amp;row=281&amp;col=8&amp;number=&amp;sourceID=11","")</f>
        <v/>
      </c>
      <c r="I281" s="4" t="str">
        <f>HYPERLINK("http://141.218.60.56/~jnz1568/getInfo.php?workbook=05_01.xlsx&amp;sheet=A0&amp;row=281&amp;col=9&amp;number=&amp;sourceID=11","")</f>
        <v/>
      </c>
      <c r="J281" s="4" t="str">
        <f>HYPERLINK("http://141.218.60.56/~jnz1568/getInfo.php?workbook=05_01.xlsx&amp;sheet=A0&amp;row=281&amp;col=10&amp;number=0&amp;sourceID=11","0")</f>
        <v>0</v>
      </c>
      <c r="K281" s="4" t="str">
        <f>HYPERLINK("http://141.218.60.56/~jnz1568/getInfo.php?workbook=05_01.xlsx&amp;sheet=A0&amp;row=281&amp;col=11&amp;number=&amp;sourceID=11","")</f>
        <v/>
      </c>
      <c r="L281" s="4" t="str">
        <f>HYPERLINK("http://141.218.60.56/~jnz1568/getInfo.php?workbook=05_01.xlsx&amp;sheet=A0&amp;row=281&amp;col=12&amp;number=0&amp;sourceID=11","0")</f>
        <v>0</v>
      </c>
      <c r="M281" s="4" t="str">
        <f>HYPERLINK("http://141.218.60.56/~jnz1568/getInfo.php?workbook=05_01.xlsx&amp;sheet=A0&amp;row=281&amp;col=13&amp;number=&amp;sourceID=11","")</f>
        <v/>
      </c>
      <c r="N281" s="4" t="str">
        <f>HYPERLINK("http://141.218.60.56/~jnz1568/getInfo.php?workbook=05_01.xlsx&amp;sheet=A0&amp;row=281&amp;col=14&amp;number=0&amp;sourceID=12","0")</f>
        <v>0</v>
      </c>
      <c r="O281" s="4" t="str">
        <f>HYPERLINK("http://141.218.60.56/~jnz1568/getInfo.php?workbook=05_01.xlsx&amp;sheet=A0&amp;row=281&amp;col=15&amp;number=&amp;sourceID=12","")</f>
        <v/>
      </c>
      <c r="P281" s="4" t="str">
        <f>HYPERLINK("http://141.218.60.56/~jnz1568/getInfo.php?workbook=05_01.xlsx&amp;sheet=A0&amp;row=281&amp;col=16&amp;number=&amp;sourceID=12","")</f>
        <v/>
      </c>
      <c r="Q281" s="4" t="str">
        <f>HYPERLINK("http://141.218.60.56/~jnz1568/getInfo.php?workbook=05_01.xlsx&amp;sheet=A0&amp;row=281&amp;col=17&amp;number=0&amp;sourceID=12","0")</f>
        <v>0</v>
      </c>
      <c r="R281" s="4" t="str">
        <f>HYPERLINK("http://141.218.60.56/~jnz1568/getInfo.php?workbook=05_01.xlsx&amp;sheet=A0&amp;row=281&amp;col=18&amp;number=&amp;sourceID=12","")</f>
        <v/>
      </c>
      <c r="S281" s="4" t="str">
        <f>HYPERLINK("http://141.218.60.56/~jnz1568/getInfo.php?workbook=05_01.xlsx&amp;sheet=A0&amp;row=281&amp;col=19&amp;number=0&amp;sourceID=12","0")</f>
        <v>0</v>
      </c>
      <c r="T281" s="4" t="str">
        <f>HYPERLINK("http://141.218.60.56/~jnz1568/getInfo.php?workbook=05_01.xlsx&amp;sheet=A0&amp;row=281&amp;col=20&amp;number=&amp;sourceID=12","")</f>
        <v/>
      </c>
    </row>
    <row r="282" spans="1:20">
      <c r="A282" s="3">
        <v>5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HYPERLINK("http://141.218.60.56/~jnz1568/getInfo.php?workbook=05_01.xlsx&amp;sheet=A0&amp;row=282&amp;col=6&amp;number=&amp;sourceID=18","")</f>
        <v/>
      </c>
      <c r="G282" s="4" t="str">
        <f>HYPERLINK("http://141.218.60.56/~jnz1568/getInfo.php?workbook=05_01.xlsx&amp;sheet=A0&amp;row=282&amp;col=7&amp;number==&amp;sourceID=11","=")</f>
        <v>=</v>
      </c>
      <c r="H282" s="4" t="str">
        <f>HYPERLINK("http://141.218.60.56/~jnz1568/getInfo.php?workbook=05_01.xlsx&amp;sheet=A0&amp;row=282&amp;col=8&amp;number=&amp;sourceID=11","")</f>
        <v/>
      </c>
      <c r="I282" s="4" t="str">
        <f>HYPERLINK("http://141.218.60.56/~jnz1568/getInfo.php?workbook=05_01.xlsx&amp;sheet=A0&amp;row=282&amp;col=9&amp;number=0&amp;sourceID=11","0")</f>
        <v>0</v>
      </c>
      <c r="J282" s="4" t="str">
        <f>HYPERLINK("http://141.218.60.56/~jnz1568/getInfo.php?workbook=05_01.xlsx&amp;sheet=A0&amp;row=282&amp;col=10&amp;number=&amp;sourceID=11","")</f>
        <v/>
      </c>
      <c r="K282" s="4" t="str">
        <f>HYPERLINK("http://141.218.60.56/~jnz1568/getInfo.php?workbook=05_01.xlsx&amp;sheet=A0&amp;row=282&amp;col=11&amp;number=&amp;sourceID=11","")</f>
        <v/>
      </c>
      <c r="L282" s="4" t="str">
        <f>HYPERLINK("http://141.218.60.56/~jnz1568/getInfo.php?workbook=05_01.xlsx&amp;sheet=A0&amp;row=282&amp;col=12&amp;number=&amp;sourceID=11","")</f>
        <v/>
      </c>
      <c r="M282" s="4" t="str">
        <f>HYPERLINK("http://141.218.60.56/~jnz1568/getInfo.php?workbook=05_01.xlsx&amp;sheet=A0&amp;row=282&amp;col=13&amp;number=0&amp;sourceID=11","0")</f>
        <v>0</v>
      </c>
      <c r="N282" s="4" t="str">
        <f>HYPERLINK("http://141.218.60.56/~jnz1568/getInfo.php?workbook=05_01.xlsx&amp;sheet=A0&amp;row=282&amp;col=14&amp;number=0&amp;sourceID=12","0")</f>
        <v>0</v>
      </c>
      <c r="O282" s="4" t="str">
        <f>HYPERLINK("http://141.218.60.56/~jnz1568/getInfo.php?workbook=05_01.xlsx&amp;sheet=A0&amp;row=282&amp;col=15&amp;number=&amp;sourceID=12","")</f>
        <v/>
      </c>
      <c r="P282" s="4" t="str">
        <f>HYPERLINK("http://141.218.60.56/~jnz1568/getInfo.php?workbook=05_01.xlsx&amp;sheet=A0&amp;row=282&amp;col=16&amp;number=0&amp;sourceID=12","0")</f>
        <v>0</v>
      </c>
      <c r="Q282" s="4" t="str">
        <f>HYPERLINK("http://141.218.60.56/~jnz1568/getInfo.php?workbook=05_01.xlsx&amp;sheet=A0&amp;row=282&amp;col=17&amp;number=&amp;sourceID=12","")</f>
        <v/>
      </c>
      <c r="R282" s="4" t="str">
        <f>HYPERLINK("http://141.218.60.56/~jnz1568/getInfo.php?workbook=05_01.xlsx&amp;sheet=A0&amp;row=282&amp;col=18&amp;number=&amp;sourceID=12","")</f>
        <v/>
      </c>
      <c r="S282" s="4" t="str">
        <f>HYPERLINK("http://141.218.60.56/~jnz1568/getInfo.php?workbook=05_01.xlsx&amp;sheet=A0&amp;row=282&amp;col=19&amp;number=&amp;sourceID=12","")</f>
        <v/>
      </c>
      <c r="T282" s="4" t="str">
        <f>HYPERLINK("http://141.218.60.56/~jnz1568/getInfo.php?workbook=05_01.xlsx&amp;sheet=A0&amp;row=282&amp;col=20&amp;number=0&amp;sourceID=12","0")</f>
        <v>0</v>
      </c>
    </row>
    <row r="283" spans="1:20">
      <c r="A283" s="3">
        <v>5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HYPERLINK("http://141.218.60.56/~jnz1568/getInfo.php?workbook=05_01.xlsx&amp;sheet=A0&amp;row=283&amp;col=6&amp;number=&amp;sourceID=18","")</f>
        <v/>
      </c>
      <c r="G283" s="4" t="str">
        <f>HYPERLINK("http://141.218.60.56/~jnz1568/getInfo.php?workbook=05_01.xlsx&amp;sheet=A0&amp;row=283&amp;col=7&amp;number==&amp;sourceID=11","=")</f>
        <v>=</v>
      </c>
      <c r="H283" s="4" t="str">
        <f>HYPERLINK("http://141.218.60.56/~jnz1568/getInfo.php?workbook=05_01.xlsx&amp;sheet=A0&amp;row=283&amp;col=8&amp;number=&amp;sourceID=11","")</f>
        <v/>
      </c>
      <c r="I283" s="4" t="str">
        <f>HYPERLINK("http://141.218.60.56/~jnz1568/getInfo.php?workbook=05_01.xlsx&amp;sheet=A0&amp;row=283&amp;col=9&amp;number=0&amp;sourceID=11","0")</f>
        <v>0</v>
      </c>
      <c r="J283" s="4" t="str">
        <f>HYPERLINK("http://141.218.60.56/~jnz1568/getInfo.php?workbook=05_01.xlsx&amp;sheet=A0&amp;row=283&amp;col=10&amp;number=&amp;sourceID=11","")</f>
        <v/>
      </c>
      <c r="K283" s="4" t="str">
        <f>HYPERLINK("http://141.218.60.56/~jnz1568/getInfo.php?workbook=05_01.xlsx&amp;sheet=A0&amp;row=283&amp;col=11&amp;number=3.7383e-11&amp;sourceID=11","3.7383e-11")</f>
        <v>3.7383e-11</v>
      </c>
      <c r="L283" s="4" t="str">
        <f>HYPERLINK("http://141.218.60.56/~jnz1568/getInfo.php?workbook=05_01.xlsx&amp;sheet=A0&amp;row=283&amp;col=12&amp;number=&amp;sourceID=11","")</f>
        <v/>
      </c>
      <c r="M283" s="4" t="str">
        <f>HYPERLINK("http://141.218.60.56/~jnz1568/getInfo.php?workbook=05_01.xlsx&amp;sheet=A0&amp;row=283&amp;col=13&amp;number=0&amp;sourceID=11","0")</f>
        <v>0</v>
      </c>
      <c r="N283" s="4" t="str">
        <f>HYPERLINK("http://141.218.60.56/~jnz1568/getInfo.php?workbook=05_01.xlsx&amp;sheet=A0&amp;row=283&amp;col=14&amp;number=3.7392e-11&amp;sourceID=12","3.7392e-11")</f>
        <v>3.7392e-11</v>
      </c>
      <c r="O283" s="4" t="str">
        <f>HYPERLINK("http://141.218.60.56/~jnz1568/getInfo.php?workbook=05_01.xlsx&amp;sheet=A0&amp;row=283&amp;col=15&amp;number=&amp;sourceID=12","")</f>
        <v/>
      </c>
      <c r="P283" s="4" t="str">
        <f>HYPERLINK("http://141.218.60.56/~jnz1568/getInfo.php?workbook=05_01.xlsx&amp;sheet=A0&amp;row=283&amp;col=16&amp;number=0&amp;sourceID=12","0")</f>
        <v>0</v>
      </c>
      <c r="Q283" s="4" t="str">
        <f>HYPERLINK("http://141.218.60.56/~jnz1568/getInfo.php?workbook=05_01.xlsx&amp;sheet=A0&amp;row=283&amp;col=17&amp;number=&amp;sourceID=12","")</f>
        <v/>
      </c>
      <c r="R283" s="4" t="str">
        <f>HYPERLINK("http://141.218.60.56/~jnz1568/getInfo.php?workbook=05_01.xlsx&amp;sheet=A0&amp;row=283&amp;col=18&amp;number=3.7392e-11&amp;sourceID=12","3.7392e-11")</f>
        <v>3.7392e-11</v>
      </c>
      <c r="S283" s="4" t="str">
        <f>HYPERLINK("http://141.218.60.56/~jnz1568/getInfo.php?workbook=05_01.xlsx&amp;sheet=A0&amp;row=283&amp;col=19&amp;number=&amp;sourceID=12","")</f>
        <v/>
      </c>
      <c r="T283" s="4" t="str">
        <f>HYPERLINK("http://141.218.60.56/~jnz1568/getInfo.php?workbook=05_01.xlsx&amp;sheet=A0&amp;row=283&amp;col=20&amp;number=0&amp;sourceID=12","0")</f>
        <v>0</v>
      </c>
    </row>
    <row r="284" spans="1:20">
      <c r="A284" s="3">
        <v>5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HYPERLINK("http://141.218.60.56/~jnz1568/getInfo.php?workbook=05_01.xlsx&amp;sheet=A0&amp;row=284&amp;col=6&amp;number=&amp;sourceID=18","")</f>
        <v/>
      </c>
      <c r="G284" s="4" t="str">
        <f>HYPERLINK("http://141.218.60.56/~jnz1568/getInfo.php?workbook=05_01.xlsx&amp;sheet=A0&amp;row=284&amp;col=7&amp;number==&amp;sourceID=11","=")</f>
        <v>=</v>
      </c>
      <c r="H284" s="4" t="str">
        <f>HYPERLINK("http://141.218.60.56/~jnz1568/getInfo.php?workbook=05_01.xlsx&amp;sheet=A0&amp;row=284&amp;col=8&amp;number=5.6862e-05&amp;sourceID=11","5.6862e-05")</f>
        <v>5.6862e-05</v>
      </c>
      <c r="I284" s="4" t="str">
        <f>HYPERLINK("http://141.218.60.56/~jnz1568/getInfo.php?workbook=05_01.xlsx&amp;sheet=A0&amp;row=284&amp;col=9&amp;number=&amp;sourceID=11","")</f>
        <v/>
      </c>
      <c r="J284" s="4" t="str">
        <f>HYPERLINK("http://141.218.60.56/~jnz1568/getInfo.php?workbook=05_01.xlsx&amp;sheet=A0&amp;row=284&amp;col=10&amp;number=0&amp;sourceID=11","0")</f>
        <v>0</v>
      </c>
      <c r="K284" s="4" t="str">
        <f>HYPERLINK("http://141.218.60.56/~jnz1568/getInfo.php?workbook=05_01.xlsx&amp;sheet=A0&amp;row=284&amp;col=11&amp;number=&amp;sourceID=11","")</f>
        <v/>
      </c>
      <c r="L284" s="4" t="str">
        <f>HYPERLINK("http://141.218.60.56/~jnz1568/getInfo.php?workbook=05_01.xlsx&amp;sheet=A0&amp;row=284&amp;col=12&amp;number=0&amp;sourceID=11","0")</f>
        <v>0</v>
      </c>
      <c r="M284" s="4" t="str">
        <f>HYPERLINK("http://141.218.60.56/~jnz1568/getInfo.php?workbook=05_01.xlsx&amp;sheet=A0&amp;row=284&amp;col=13&amp;number=&amp;sourceID=11","")</f>
        <v/>
      </c>
      <c r="N284" s="4" t="str">
        <f>HYPERLINK("http://141.218.60.56/~jnz1568/getInfo.php?workbook=05_01.xlsx&amp;sheet=A0&amp;row=284&amp;col=14&amp;number=5.6875e-05&amp;sourceID=12","5.6875e-05")</f>
        <v>5.6875e-05</v>
      </c>
      <c r="O284" s="4" t="str">
        <f>HYPERLINK("http://141.218.60.56/~jnz1568/getInfo.php?workbook=05_01.xlsx&amp;sheet=A0&amp;row=284&amp;col=15&amp;number=5.6875e-05&amp;sourceID=12","5.6875e-05")</f>
        <v>5.6875e-05</v>
      </c>
      <c r="P284" s="4" t="str">
        <f>HYPERLINK("http://141.218.60.56/~jnz1568/getInfo.php?workbook=05_01.xlsx&amp;sheet=A0&amp;row=284&amp;col=16&amp;number=&amp;sourceID=12","")</f>
        <v/>
      </c>
      <c r="Q284" s="4" t="str">
        <f>HYPERLINK("http://141.218.60.56/~jnz1568/getInfo.php?workbook=05_01.xlsx&amp;sheet=A0&amp;row=284&amp;col=17&amp;number=0&amp;sourceID=12","0")</f>
        <v>0</v>
      </c>
      <c r="R284" s="4" t="str">
        <f>HYPERLINK("http://141.218.60.56/~jnz1568/getInfo.php?workbook=05_01.xlsx&amp;sheet=A0&amp;row=284&amp;col=18&amp;number=&amp;sourceID=12","")</f>
        <v/>
      </c>
      <c r="S284" s="4" t="str">
        <f>HYPERLINK("http://141.218.60.56/~jnz1568/getInfo.php?workbook=05_01.xlsx&amp;sheet=A0&amp;row=284&amp;col=19&amp;number=0&amp;sourceID=12","0")</f>
        <v>0</v>
      </c>
      <c r="T284" s="4" t="str">
        <f>HYPERLINK("http://141.218.60.56/~jnz1568/getInfo.php?workbook=05_01.xlsx&amp;sheet=A0&amp;row=284&amp;col=20&amp;number=&amp;sourceID=12","")</f>
        <v/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2015-04-13T05:01:58Z</dcterms:created>
  <dcterms:modified xsi:type="dcterms:W3CDTF">2015-04-13T05:01:58Z</dcterms:modified>
</cp:coreProperties>
</file>