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</sheets>
  <calcPr calcId="124519" fullCalcOnLoad="1"/>
</workbook>
</file>

<file path=xl/sharedStrings.xml><?xml version="1.0" encoding="utf-8"?>
<sst xmlns="http://schemas.openxmlformats.org/spreadsheetml/2006/main" count="116" uniqueCount="48">
  <si>
    <t>Fine-Structure Energy Levels for  C VI</t>
  </si>
  <si>
    <t>S2</t>
  </si>
  <si>
    <t>S11</t>
  </si>
  <si>
    <t>S12</t>
  </si>
  <si>
    <t>S13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</si>
  <si>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</si>
  <si>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</si>
  <si>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</si>
  <si>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</si>
  <si>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</si>
  <si>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</si>
  <si>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</si>
  <si>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</si>
  <si>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</si>
  <si>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</si>
  <si>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E(cm-1)</t>
  </si>
  <si>
    <t>1s</t>
  </si>
  <si>
    <t>2S</t>
  </si>
  <si>
    <t>2p</t>
  </si>
  <si>
    <t>2P*</t>
  </si>
  <si>
    <t>2s</t>
  </si>
  <si>
    <t>3p</t>
  </si>
  <si>
    <t>3s</t>
  </si>
  <si>
    <t>3d</t>
  </si>
  <si>
    <t>2D</t>
  </si>
  <si>
    <t>4p</t>
  </si>
  <si>
    <t>4s</t>
  </si>
  <si>
    <t>4d</t>
  </si>
  <si>
    <t>4f</t>
  </si>
  <si>
    <t>2F*</t>
  </si>
  <si>
    <t>5p</t>
  </si>
  <si>
    <t>5s</t>
  </si>
  <si>
    <t>5d</t>
  </si>
  <si>
    <t>5f</t>
  </si>
  <si>
    <t>5g</t>
  </si>
  <si>
    <t>2G</t>
  </si>
  <si>
    <t>A-values for  fine-structure transitions in C VI</t>
  </si>
  <si>
    <t>S18</t>
  </si>
  <si>
    <t>k</t>
  </si>
  <si>
    <t>WLVac (A)</t>
  </si>
  <si>
    <t>A2E1 (s-1)</t>
  </si>
  <si>
    <t>ATotal (s-1)</t>
  </si>
  <si>
    <t>AE1 (s-1)</t>
  </si>
  <si>
    <t>AE2 (s-1)</t>
  </si>
  <si>
    <t>AE3 (s-1)</t>
  </si>
  <si>
    <t>AM1 (s-1)</t>
  </si>
  <si>
    <t>AM2 (s-1)</t>
  </si>
  <si>
    <t>AM3 (s-1)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</si>
</sst>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15.7109375" customWidth="1"/>
    <col min="4" max="4" width="5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13.7109375" customWidth="1"/>
    <col min="11" max="11" width="13.7109375" customWidth="1"/>
    <col min="12" max="12" width="13.7109375" customWidth="1"/>
    <col min="13" max="13" width="8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  <c r="K2" s="2" t="s">
        <v>2</v>
      </c>
      <c r="L2" s="2" t="s">
        <v>3</v>
      </c>
      <c r="M2" s="2" t="s">
        <v>4</v>
      </c>
    </row>
    <row r="3" spans="1:1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14</v>
      </c>
      <c r="L3" s="2" t="s">
        <v>14</v>
      </c>
      <c r="M3" s="2" t="s">
        <v>15</v>
      </c>
    </row>
    <row r="4" spans="1:13">
      <c r="A4" s="3">
        <v>6</v>
      </c>
      <c r="B4" s="3">
        <v>1</v>
      </c>
      <c r="C4" s="3">
        <v>1</v>
      </c>
      <c r="D4" s="3" t="s">
        <v>16</v>
      </c>
      <c r="E4" s="3" t="s">
        <v>17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HYPERLINK("http://141.218.60.56/~jnz1568/getInfo.php?workbook=06_01.xlsx&amp;sheet=E0&amp;row=4&amp;col=10&amp;number=0&amp;sourceID=2","0")</f>
        <v>0</v>
      </c>
      <c r="K4" s="4" t="str">
        <f>HYPERLINK("http://141.218.60.56/~jnz1568/getInfo.php?workbook=06_01.xlsx&amp;sheet=E0&amp;row=4&amp;col=11&amp;number=0&amp;sourceID=11","0")</f>
        <v>0</v>
      </c>
      <c r="L4" s="4" t="str">
        <f>HYPERLINK("http://141.218.60.56/~jnz1568/getInfo.php?workbook=06_01.xlsx&amp;sheet=E0&amp;row=4&amp;col=12&amp;number=0&amp;sourceID=12","0")</f>
        <v>0</v>
      </c>
      <c r="M4" s="4" t="str">
        <f>HYPERLINK("http://141.218.60.56/~jnz1568/getInfo.php?workbook=06_01.xlsx&amp;sheet=E0&amp;row=4&amp;col=13&amp;number=0&amp;sourceID=13","0")</f>
        <v>0</v>
      </c>
    </row>
    <row r="5" spans="1:13">
      <c r="A5" s="3">
        <v>6</v>
      </c>
      <c r="B5" s="3">
        <v>1</v>
      </c>
      <c r="C5" s="3">
        <f>+C4+1</f>
        <v>0</v>
      </c>
      <c r="D5" s="3" t="s">
        <v>18</v>
      </c>
      <c r="E5" s="3" t="s">
        <v>19</v>
      </c>
      <c r="F5" s="3">
        <v>2</v>
      </c>
      <c r="G5" s="3">
        <v>1</v>
      </c>
      <c r="H5" s="3">
        <v>1</v>
      </c>
      <c r="I5" s="3">
        <v>0.5</v>
      </c>
      <c r="J5" s="4" t="str">
        <f>HYPERLINK("http://141.218.60.56/~jnz1568/getInfo.php?workbook=06_01.xlsx&amp;sheet=E0&amp;row=5&amp;col=10&amp;number=2963878.046&amp;sourceID=2","2963878.046")</f>
        <v>2963878.046</v>
      </c>
      <c r="K5" s="4" t="str">
        <f>HYPERLINK("http://141.218.60.56/~jnz1568/getInfo.php?workbook=06_01.xlsx&amp;sheet=E0&amp;row=5&amp;col=11&amp;number=2964074.8799&amp;sourceID=11","2964074.8799")</f>
        <v>2964074.8799</v>
      </c>
      <c r="L5" s="4" t="str">
        <f>HYPERLINK("http://141.218.60.56/~jnz1568/getInfo.php?workbook=06_01.xlsx&amp;sheet=E0&amp;row=5&amp;col=12&amp;number=2963878.5424&amp;sourceID=12","2963878.5424")</f>
        <v>2963878.5424</v>
      </c>
      <c r="M5" s="4" t="str">
        <f>HYPERLINK("http://141.218.60.56/~jnz1568/getInfo.php?workbook=06_01.xlsx&amp;sheet=E0&amp;row=5&amp;col=13&amp;number=2964210&amp;sourceID=13","2964210")</f>
        <v>2964210</v>
      </c>
    </row>
    <row r="6" spans="1:13">
      <c r="A6" s="3">
        <v>6</v>
      </c>
      <c r="B6" s="3">
        <v>1</v>
      </c>
      <c r="C6" s="3">
        <f/>
        <v>0</v>
      </c>
      <c r="D6" s="3" t="s">
        <v>20</v>
      </c>
      <c r="E6" s="3" t="s">
        <v>17</v>
      </c>
      <c r="F6" s="3">
        <v>2</v>
      </c>
      <c r="G6" s="3">
        <v>0</v>
      </c>
      <c r="H6" s="3">
        <v>0</v>
      </c>
      <c r="I6" s="3">
        <v>0.5</v>
      </c>
      <c r="J6" s="4" t="str">
        <f>HYPERLINK("http://141.218.60.56/~jnz1568/getInfo.php?workbook=06_01.xlsx&amp;sheet=E0&amp;row=6&amp;col=10&amp;number=2963904.185&amp;sourceID=2","2963904.185")</f>
        <v>2963904.185</v>
      </c>
      <c r="K6" s="4" t="str">
        <f>HYPERLINK("http://141.218.60.56/~jnz1568/getInfo.php?workbook=06_01.xlsx&amp;sheet=E0&amp;row=6&amp;col=11&amp;number=2964074.8799&amp;sourceID=11","2964074.8799")</f>
        <v>2964074.8799</v>
      </c>
      <c r="L6" s="4" t="str">
        <f>HYPERLINK("http://141.218.60.56/~jnz1568/getInfo.php?workbook=06_01.xlsx&amp;sheet=E0&amp;row=6&amp;col=12&amp;number=2963904.5808&amp;sourceID=12","2963904.5808")</f>
        <v>2963904.5808</v>
      </c>
      <c r="M6" s="4" t="str">
        <f>HYPERLINK("http://141.218.60.56/~jnz1568/getInfo.php?workbook=06_01.xlsx&amp;sheet=E0&amp;row=6&amp;col=13&amp;number=2964211&amp;sourceID=13","2964211")</f>
        <v>2964211</v>
      </c>
    </row>
    <row r="7" spans="1:13">
      <c r="A7" s="3">
        <v>6</v>
      </c>
      <c r="B7" s="3">
        <v>1</v>
      </c>
      <c r="C7" s="3">
        <f/>
        <v>0</v>
      </c>
      <c r="D7" s="3" t="s">
        <v>18</v>
      </c>
      <c r="E7" s="3" t="s">
        <v>19</v>
      </c>
      <c r="F7" s="3">
        <v>2</v>
      </c>
      <c r="G7" s="3">
        <v>1</v>
      </c>
      <c r="H7" s="3">
        <v>1</v>
      </c>
      <c r="I7" s="3">
        <v>1.5</v>
      </c>
      <c r="J7" s="4" t="str">
        <f>HYPERLINK("http://141.218.60.56/~jnz1568/getInfo.php?workbook=06_01.xlsx&amp;sheet=E0&amp;row=7&amp;col=10&amp;number=2964353.012&amp;sourceID=2","2964353.012")</f>
        <v>2964353.012</v>
      </c>
      <c r="K7" s="4" t="str">
        <f>HYPERLINK("http://141.218.60.56/~jnz1568/getInfo.php?workbook=06_01.xlsx&amp;sheet=E0&amp;row=7&amp;col=11&amp;number=2964548.7626&amp;sourceID=11","2964548.7626")</f>
        <v>2964548.7626</v>
      </c>
      <c r="L7" s="4" t="str">
        <f>HYPERLINK("http://141.218.60.56/~jnz1568/getInfo.php?workbook=06_01.xlsx&amp;sheet=E0&amp;row=7&amp;col=12&amp;number=2964353.5182&amp;sourceID=12","2964353.5182")</f>
        <v>2964353.5182</v>
      </c>
      <c r="M7" s="4" t="str">
        <f>HYPERLINK("http://141.218.60.56/~jnz1568/getInfo.php?workbook=06_01.xlsx&amp;sheet=E0&amp;row=7&amp;col=13&amp;number=2964683&amp;sourceID=13","2964683")</f>
        <v>2964683</v>
      </c>
    </row>
    <row r="8" spans="1:13">
      <c r="A8" s="3">
        <v>6</v>
      </c>
      <c r="B8" s="3">
        <v>1</v>
      </c>
      <c r="C8" s="3">
        <f/>
        <v>0</v>
      </c>
      <c r="D8" s="3" t="s">
        <v>21</v>
      </c>
      <c r="E8" s="3" t="s">
        <v>19</v>
      </c>
      <c r="F8" s="3">
        <v>2</v>
      </c>
      <c r="G8" s="3">
        <v>1</v>
      </c>
      <c r="H8" s="3">
        <v>1</v>
      </c>
      <c r="I8" s="3">
        <v>0.5</v>
      </c>
      <c r="J8" s="4" t="str">
        <f>HYPERLINK("http://141.218.60.56/~jnz1568/getInfo.php?workbook=06_01.xlsx&amp;sheet=E0&amp;row=8&amp;col=10&amp;number=3512921.624&amp;sourceID=2","3512921.624")</f>
        <v>3512921.624</v>
      </c>
      <c r="K8" s="4" t="str">
        <f>HYPERLINK("http://141.218.60.56/~jnz1568/getInfo.php?workbook=06_01.xlsx&amp;sheet=E0&amp;row=8&amp;col=11&amp;number=3513118.0551&amp;sourceID=11","3513118.0551")</f>
        <v>3513118.0551</v>
      </c>
      <c r="L8" s="4" t="str">
        <f>HYPERLINK("http://141.218.60.56/~jnz1568/getInfo.php?workbook=06_01.xlsx&amp;sheet=E0&amp;row=8&amp;col=12&amp;number=3512922.1321&amp;sourceID=12","3512922.1321")</f>
        <v>3512922.1321</v>
      </c>
      <c r="M8" s="4" t="str">
        <f>HYPERLINK("http://141.218.60.56/~jnz1568/getInfo.php?workbook=06_01.xlsx&amp;sheet=E0&amp;row=8&amp;col=13&amp;number=3513278&amp;sourceID=13","3513278")</f>
        <v>3513278</v>
      </c>
    </row>
    <row r="9" spans="1:13">
      <c r="A9" s="3">
        <v>6</v>
      </c>
      <c r="B9" s="3">
        <v>1</v>
      </c>
      <c r="C9" s="3">
        <f/>
        <v>0</v>
      </c>
      <c r="D9" s="3" t="s">
        <v>22</v>
      </c>
      <c r="E9" s="3" t="s">
        <v>17</v>
      </c>
      <c r="F9" s="3">
        <v>2</v>
      </c>
      <c r="G9" s="3">
        <v>0</v>
      </c>
      <c r="H9" s="3">
        <v>0</v>
      </c>
      <c r="I9" s="3">
        <v>0.5</v>
      </c>
      <c r="J9" s="4" t="str">
        <f>HYPERLINK("http://141.218.60.56/~jnz1568/getInfo.php?workbook=06_01.xlsx&amp;sheet=E0&amp;row=9&amp;col=10&amp;number=3512929.43&amp;sourceID=2","3512929.43")</f>
        <v>3512929.43</v>
      </c>
      <c r="K9" s="4" t="str">
        <f>HYPERLINK("http://141.218.60.56/~jnz1568/getInfo.php?workbook=06_01.xlsx&amp;sheet=E0&amp;row=9&amp;col=11&amp;number=3513118.0551&amp;sourceID=11","3513118.0551")</f>
        <v>3513118.0551</v>
      </c>
      <c r="L9" s="4" t="str">
        <f>HYPERLINK("http://141.218.60.56/~jnz1568/getInfo.php?workbook=06_01.xlsx&amp;sheet=E0&amp;row=9&amp;col=12&amp;number=3512929.9381&amp;sourceID=12","3512929.9381")</f>
        <v>3512929.9381</v>
      </c>
      <c r="M9" s="4" t="str">
        <f>HYPERLINK("http://141.218.60.56/~jnz1568/getInfo.php?workbook=06_01.xlsx&amp;sheet=E0&amp;row=9&amp;col=13&amp;number=3513278&amp;sourceID=13","3513278")</f>
        <v>3513278</v>
      </c>
    </row>
    <row r="10" spans="1:13">
      <c r="A10" s="3">
        <v>6</v>
      </c>
      <c r="B10" s="3">
        <v>1</v>
      </c>
      <c r="C10" s="3">
        <f/>
        <v>0</v>
      </c>
      <c r="D10" s="3" t="s">
        <v>23</v>
      </c>
      <c r="E10" s="3" t="s">
        <v>24</v>
      </c>
      <c r="F10" s="3">
        <v>2</v>
      </c>
      <c r="G10" s="3">
        <v>2</v>
      </c>
      <c r="H10" s="3">
        <v>0</v>
      </c>
      <c r="I10" s="3">
        <v>1.5</v>
      </c>
      <c r="J10" s="4" t="str">
        <f>HYPERLINK("http://141.218.60.56/~jnz1568/getInfo.php?workbook=06_01.xlsx&amp;sheet=E0&amp;row=10&amp;col=10&amp;number=3513062.1247&amp;sourceID=2","3513062.1247")</f>
        <v>3513062.1247</v>
      </c>
      <c r="K10" s="4" t="str">
        <f>HYPERLINK("http://141.218.60.56/~jnz1568/getInfo.php?workbook=06_01.xlsx&amp;sheet=E0&amp;row=10&amp;col=11&amp;number=3513258.4704&amp;sourceID=11","3513258.4704")</f>
        <v>3513258.4704</v>
      </c>
      <c r="L10" s="4" t="str">
        <f>HYPERLINK("http://141.218.60.56/~jnz1568/getInfo.php?workbook=06_01.xlsx&amp;sheet=E0&amp;row=10&amp;col=12&amp;number=3513062.6328&amp;sourceID=12","3513062.6328")</f>
        <v>3513062.6328</v>
      </c>
      <c r="M10" s="4" t="str">
        <f>HYPERLINK("http://141.218.60.56/~jnz1568/getInfo.php?workbook=06_01.xlsx&amp;sheet=E0&amp;row=10&amp;col=13&amp;number=3513418&amp;sourceID=13","3513418")</f>
        <v>3513418</v>
      </c>
    </row>
    <row r="11" spans="1:13">
      <c r="A11" s="3">
        <v>6</v>
      </c>
      <c r="B11" s="3">
        <v>1</v>
      </c>
      <c r="C11" s="3">
        <f/>
        <v>0</v>
      </c>
      <c r="D11" s="3" t="s">
        <v>21</v>
      </c>
      <c r="E11" s="3" t="s">
        <v>19</v>
      </c>
      <c r="F11" s="3">
        <v>2</v>
      </c>
      <c r="G11" s="3">
        <v>1</v>
      </c>
      <c r="H11" s="3">
        <v>1</v>
      </c>
      <c r="I11" s="3">
        <v>1.5</v>
      </c>
      <c r="J11" s="4" t="str">
        <f>HYPERLINK("http://141.218.60.56/~jnz1568/getInfo.php?workbook=06_01.xlsx&amp;sheet=E0&amp;row=11&amp;col=10&amp;number=3513062.3593&amp;sourceID=2","3513062.3593")</f>
        <v>3513062.3593</v>
      </c>
      <c r="K11" s="4" t="str">
        <f>HYPERLINK("http://141.218.60.56/~jnz1568/getInfo.php?workbook=06_01.xlsx&amp;sheet=E0&amp;row=11&amp;col=11&amp;number=3513258.4704&amp;sourceID=11","3513258.4704")</f>
        <v>3513258.4704</v>
      </c>
      <c r="L11" s="4" t="str">
        <f>HYPERLINK("http://141.218.60.56/~jnz1568/getInfo.php?workbook=06_01.xlsx&amp;sheet=E0&amp;row=11&amp;col=12&amp;number=3513062.8674&amp;sourceID=12","3513062.8674")</f>
        <v>3513062.8674</v>
      </c>
      <c r="M11" s="4" t="str">
        <f>HYPERLINK("http://141.218.60.56/~jnz1568/getInfo.php?workbook=06_01.xlsx&amp;sheet=E0&amp;row=11&amp;col=13&amp;number=3513418&amp;sourceID=13","3513418")</f>
        <v>3513418</v>
      </c>
    </row>
    <row r="12" spans="1:13">
      <c r="A12" s="3">
        <v>6</v>
      </c>
      <c r="B12" s="3">
        <v>1</v>
      </c>
      <c r="C12" s="3">
        <f/>
        <v>0</v>
      </c>
      <c r="D12" s="3" t="s">
        <v>23</v>
      </c>
      <c r="E12" s="3" t="s">
        <v>24</v>
      </c>
      <c r="F12" s="3">
        <v>2</v>
      </c>
      <c r="G12" s="3">
        <v>2</v>
      </c>
      <c r="H12" s="3">
        <v>0</v>
      </c>
      <c r="I12" s="3">
        <v>2.5</v>
      </c>
      <c r="J12" s="4" t="str">
        <f>HYPERLINK("http://141.218.60.56/~jnz1568/getInfo.php?workbook=06_01.xlsx&amp;sheet=E0&amp;row=12&amp;col=10&amp;number=3513108.9958&amp;sourceID=2","3513108.9958")</f>
        <v>3513108.9958</v>
      </c>
      <c r="K12" s="4" t="str">
        <f>HYPERLINK("http://141.218.60.56/~jnz1568/getInfo.php?workbook=06_01.xlsx&amp;sheet=E0&amp;row=12&amp;col=11&amp;number=3513305.2331&amp;sourceID=11","3513305.2331")</f>
        <v>3513305.2331</v>
      </c>
      <c r="L12" s="4" t="str">
        <f>HYPERLINK("http://141.218.60.56/~jnz1568/getInfo.php?workbook=06_01.xlsx&amp;sheet=E0&amp;row=12&amp;col=12&amp;number=3513109.5038&amp;sourceID=12","3513109.5038")</f>
        <v>3513109.5038</v>
      </c>
      <c r="M12" s="4" t="str">
        <f>HYPERLINK("http://141.218.60.56/~jnz1568/getInfo.php?workbook=06_01.xlsx&amp;sheet=E0&amp;row=12&amp;col=13&amp;number=3513465&amp;sourceID=13","3513465")</f>
        <v>3513465</v>
      </c>
    </row>
    <row r="13" spans="1:13">
      <c r="A13" s="3">
        <v>6</v>
      </c>
      <c r="B13" s="3">
        <v>1</v>
      </c>
      <c r="C13" s="3">
        <f/>
        <v>0</v>
      </c>
      <c r="D13" s="3" t="s">
        <v>25</v>
      </c>
      <c r="E13" s="3" t="s">
        <v>19</v>
      </c>
      <c r="F13" s="3">
        <v>2</v>
      </c>
      <c r="G13" s="3">
        <v>1</v>
      </c>
      <c r="H13" s="3">
        <v>1</v>
      </c>
      <c r="I13" s="3">
        <v>0.5</v>
      </c>
      <c r="J13" s="4" t="str">
        <f>HYPERLINK("http://141.218.60.56/~jnz1568/getInfo.php?workbook=06_01.xlsx&amp;sheet=E0&amp;row=13&amp;col=10&amp;number=3705067.5657&amp;sourceID=2","3705067.5657")</f>
        <v>3705067.5657</v>
      </c>
      <c r="K13" s="4" t="str">
        <f>HYPERLINK("http://141.218.60.56/~jnz1568/getInfo.php?workbook=06_01.xlsx&amp;sheet=E0&amp;row=13&amp;col=11&amp;number=3705263.9081&amp;sourceID=11","3705263.9081")</f>
        <v>3705263.9081</v>
      </c>
      <c r="L13" s="4" t="str">
        <f>HYPERLINK("http://141.218.60.56/~jnz1568/getInfo.php?workbook=06_01.xlsx&amp;sheet=E0&amp;row=13&amp;col=12&amp;number=3705068.0738&amp;sourceID=12","3705068.0738")</f>
        <v>3705068.0738</v>
      </c>
      <c r="M13" s="4" t="str">
        <f>HYPERLINK("http://141.218.60.56/~jnz1568/getInfo.php?workbook=06_01.xlsx&amp;sheet=E0&amp;row=13&amp;col=13&amp;number=3705433&amp;sourceID=13","3705433")</f>
        <v>3705433</v>
      </c>
    </row>
    <row r="14" spans="1:13">
      <c r="A14" s="3">
        <v>6</v>
      </c>
      <c r="B14" s="3">
        <v>1</v>
      </c>
      <c r="C14" s="3">
        <f/>
        <v>0</v>
      </c>
      <c r="D14" s="3" t="s">
        <v>26</v>
      </c>
      <c r="E14" s="3" t="s">
        <v>17</v>
      </c>
      <c r="F14" s="3">
        <v>2</v>
      </c>
      <c r="G14" s="3">
        <v>0</v>
      </c>
      <c r="H14" s="3">
        <v>0</v>
      </c>
      <c r="I14" s="3">
        <v>0.5</v>
      </c>
      <c r="J14" s="4" t="str">
        <f>HYPERLINK("http://141.218.60.56/~jnz1568/getInfo.php?workbook=06_01.xlsx&amp;sheet=E0&amp;row=14&amp;col=10&amp;number=3705070.8687&amp;sourceID=2","3705070.8687")</f>
        <v>3705070.8687</v>
      </c>
      <c r="K14" s="4" t="str">
        <f>HYPERLINK("http://141.218.60.56/~jnz1568/getInfo.php?workbook=06_01.xlsx&amp;sheet=E0&amp;row=14&amp;col=11&amp;number=3705263.9081&amp;sourceID=11","3705263.9081")</f>
        <v>3705263.9081</v>
      </c>
      <c r="L14" s="4" t="str">
        <f>HYPERLINK("http://141.218.60.56/~jnz1568/getInfo.php?workbook=06_01.xlsx&amp;sheet=E0&amp;row=14&amp;col=12&amp;number=3705071.3768&amp;sourceID=12","3705071.3768")</f>
        <v>3705071.3768</v>
      </c>
      <c r="M14" s="4" t="str">
        <f>HYPERLINK("http://141.218.60.56/~jnz1568/getInfo.php?workbook=06_01.xlsx&amp;sheet=E0&amp;row=14&amp;col=13&amp;number=3705433&amp;sourceID=13","3705433")</f>
        <v>3705433</v>
      </c>
    </row>
    <row r="15" spans="1:13">
      <c r="A15" s="3">
        <v>6</v>
      </c>
      <c r="B15" s="3">
        <v>1</v>
      </c>
      <c r="C15" s="3">
        <f/>
        <v>0</v>
      </c>
      <c r="D15" s="3" t="s">
        <v>27</v>
      </c>
      <c r="E15" s="3" t="s">
        <v>24</v>
      </c>
      <c r="F15" s="3">
        <v>2</v>
      </c>
      <c r="G15" s="3">
        <v>2</v>
      </c>
      <c r="H15" s="3">
        <v>0</v>
      </c>
      <c r="I15" s="3">
        <v>1.5</v>
      </c>
      <c r="J15" s="4" t="str">
        <f>HYPERLINK("http://141.218.60.56/~jnz1568/getInfo.php?workbook=06_01.xlsx&amp;sheet=E0&amp;row=15&amp;col=10&amp;number=3705126.8359&amp;sourceID=2","3705126.8359")</f>
        <v>3705126.8359</v>
      </c>
      <c r="K15" s="4" t="str">
        <f>HYPERLINK("http://141.218.60.56/~jnz1568/getInfo.php?workbook=06_01.xlsx&amp;sheet=E0&amp;row=15&amp;col=11&amp;number=3705323.1434&amp;sourceID=11","3705323.1434")</f>
        <v>3705323.1434</v>
      </c>
      <c r="L15" s="4" t="str">
        <f>HYPERLINK("http://141.218.60.56/~jnz1568/getInfo.php?workbook=06_01.xlsx&amp;sheet=E0&amp;row=15&amp;col=12&amp;number=3705127.344&amp;sourceID=12","3705127.344")</f>
        <v>3705127.344</v>
      </c>
      <c r="M15" s="4" t="str">
        <f>HYPERLINK("http://141.218.60.56/~jnz1568/getInfo.php?workbook=06_01.xlsx&amp;sheet=E0&amp;row=15&amp;col=13&amp;number=3705492&amp;sourceID=13","3705492")</f>
        <v>3705492</v>
      </c>
    </row>
    <row r="16" spans="1:13">
      <c r="A16" s="3">
        <v>6</v>
      </c>
      <c r="B16" s="3">
        <v>1</v>
      </c>
      <c r="C16" s="3">
        <f/>
        <v>0</v>
      </c>
      <c r="D16" s="3" t="s">
        <v>25</v>
      </c>
      <c r="E16" s="3" t="s">
        <v>19</v>
      </c>
      <c r="F16" s="3">
        <v>2</v>
      </c>
      <c r="G16" s="3">
        <v>1</v>
      </c>
      <c r="H16" s="3">
        <v>1</v>
      </c>
      <c r="I16" s="3">
        <v>1.5</v>
      </c>
      <c r="J16" s="4" t="str">
        <f>HYPERLINK("http://141.218.60.56/~jnz1568/getInfo.php?workbook=06_01.xlsx&amp;sheet=E0&amp;row=16&amp;col=10&amp;number=3705126.9361&amp;sourceID=2","3705126.9361")</f>
        <v>3705126.9361</v>
      </c>
      <c r="K16" s="4" t="str">
        <f>HYPERLINK("http://141.218.60.56/~jnz1568/getInfo.php?workbook=06_01.xlsx&amp;sheet=E0&amp;row=16&amp;col=11&amp;number=3705323.1434&amp;sourceID=11","3705323.1434")</f>
        <v>3705323.1434</v>
      </c>
      <c r="L16" s="4" t="str">
        <f>HYPERLINK("http://141.218.60.56/~jnz1568/getInfo.php?workbook=06_01.xlsx&amp;sheet=E0&amp;row=16&amp;col=12&amp;number=3705127.4442&amp;sourceID=12","3705127.4442")</f>
        <v>3705127.4442</v>
      </c>
      <c r="M16" s="4" t="str">
        <f>HYPERLINK("http://141.218.60.56/~jnz1568/getInfo.php?workbook=06_01.xlsx&amp;sheet=E0&amp;row=16&amp;col=13&amp;number=3705492&amp;sourceID=13","3705492")</f>
        <v>3705492</v>
      </c>
    </row>
    <row r="17" spans="1:13">
      <c r="A17" s="3">
        <v>6</v>
      </c>
      <c r="B17" s="3">
        <v>1</v>
      </c>
      <c r="C17" s="3">
        <f/>
        <v>0</v>
      </c>
      <c r="D17" s="3" t="s">
        <v>28</v>
      </c>
      <c r="E17" s="3" t="s">
        <v>29</v>
      </c>
      <c r="F17" s="3">
        <v>2</v>
      </c>
      <c r="G17" s="3">
        <v>3</v>
      </c>
      <c r="H17" s="3">
        <v>1</v>
      </c>
      <c r="I17" s="3">
        <v>2.5</v>
      </c>
      <c r="J17" s="4" t="str">
        <f>HYPERLINK("http://141.218.60.56/~jnz1568/getInfo.php?workbook=06_01.xlsx&amp;sheet=E0&amp;row=17&amp;col=10&amp;number=3705146.5747&amp;sourceID=2","3705146.5747")</f>
        <v>3705146.5747</v>
      </c>
      <c r="K17" s="4" t="str">
        <f>HYPERLINK("http://141.218.60.56/~jnz1568/getInfo.php?workbook=06_01.xlsx&amp;sheet=E0&amp;row=17&amp;col=11&amp;number=3705342.8722&amp;sourceID=11","3705342.8722")</f>
        <v>3705342.8722</v>
      </c>
      <c r="L17" s="4" t="str">
        <f>HYPERLINK("http://141.218.60.56/~jnz1568/getInfo.php?workbook=06_01.xlsx&amp;sheet=E0&amp;row=17&amp;col=12&amp;number=3705147.0828&amp;sourceID=12","3705147.0828")</f>
        <v>3705147.0828</v>
      </c>
      <c r="M17" s="4" t="str">
        <f>HYPERLINK("http://141.218.60.56/~jnz1568/getInfo.php?workbook=06_01.xlsx&amp;sheet=E0&amp;row=17&amp;col=13&amp;number=3705511&amp;sourceID=13","3705511")</f>
        <v>3705511</v>
      </c>
    </row>
    <row r="18" spans="1:13">
      <c r="A18" s="3">
        <v>6</v>
      </c>
      <c r="B18" s="3">
        <v>1</v>
      </c>
      <c r="C18" s="3">
        <f/>
        <v>0</v>
      </c>
      <c r="D18" s="3" t="s">
        <v>27</v>
      </c>
      <c r="E18" s="3" t="s">
        <v>24</v>
      </c>
      <c r="F18" s="3">
        <v>2</v>
      </c>
      <c r="G18" s="3">
        <v>2</v>
      </c>
      <c r="H18" s="3">
        <v>0</v>
      </c>
      <c r="I18" s="3">
        <v>2.5</v>
      </c>
      <c r="J18" s="4" t="str">
        <f>HYPERLINK("http://141.218.60.56/~jnz1568/getInfo.php?workbook=06_01.xlsx&amp;sheet=E0&amp;row=18&amp;col=10&amp;number=3705146.6104&amp;sourceID=2","3705146.6104")</f>
        <v>3705146.6104</v>
      </c>
      <c r="K18" s="4" t="str">
        <f>HYPERLINK("http://141.218.60.56/~jnz1568/getInfo.php?workbook=06_01.xlsx&amp;sheet=E0&amp;row=18&amp;col=11&amp;number=3705342.8722&amp;sourceID=11","3705342.8722")</f>
        <v>3705342.8722</v>
      </c>
      <c r="L18" s="4" t="str">
        <f>HYPERLINK("http://141.218.60.56/~jnz1568/getInfo.php?workbook=06_01.xlsx&amp;sheet=E0&amp;row=18&amp;col=12&amp;number=3705147.1185&amp;sourceID=12","3705147.1185")</f>
        <v>3705147.1185</v>
      </c>
      <c r="M18" s="4" t="str">
        <f>HYPERLINK("http://141.218.60.56/~jnz1568/getInfo.php?workbook=06_01.xlsx&amp;sheet=E0&amp;row=18&amp;col=13&amp;number=3705511&amp;sourceID=13","3705511")</f>
        <v>3705511</v>
      </c>
    </row>
    <row r="19" spans="1:13">
      <c r="A19" s="3">
        <v>6</v>
      </c>
      <c r="B19" s="3">
        <v>1</v>
      </c>
      <c r="C19" s="3">
        <f/>
        <v>0</v>
      </c>
      <c r="D19" s="3" t="s">
        <v>28</v>
      </c>
      <c r="E19" s="3" t="s">
        <v>29</v>
      </c>
      <c r="F19" s="3">
        <v>2</v>
      </c>
      <c r="G19" s="3">
        <v>3</v>
      </c>
      <c r="H19" s="3">
        <v>1</v>
      </c>
      <c r="I19" s="3">
        <v>3.5</v>
      </c>
      <c r="J19" s="4" t="str">
        <f>HYPERLINK("http://141.218.60.56/~jnz1568/getInfo.php?workbook=06_01.xlsx&amp;sheet=E0&amp;row=19&amp;col=10&amp;number=3705156.4598&amp;sourceID=2","3705156.4598")</f>
        <v>3705156.4598</v>
      </c>
      <c r="K19" s="4" t="str">
        <f>HYPERLINK("http://141.218.60.56/~jnz1568/getInfo.php?workbook=06_01.xlsx&amp;sheet=E0&amp;row=19&amp;col=11&amp;number=3705352.7345&amp;sourceID=11","3705352.7345")</f>
        <v>3705352.7345</v>
      </c>
      <c r="L19" s="4" t="str">
        <f>HYPERLINK("http://141.218.60.56/~jnz1568/getInfo.php?workbook=06_01.xlsx&amp;sheet=E0&amp;row=19&amp;col=12&amp;number=3705156.9679&amp;sourceID=12","3705156.9679")</f>
        <v>3705156.9679</v>
      </c>
      <c r="M19" s="4" t="str">
        <f>HYPERLINK("http://141.218.60.56/~jnz1568/getInfo.php?workbook=06_01.xlsx&amp;sheet=E0&amp;row=19&amp;col=13&amp;number=&amp;sourceID=13","")</f>
        <v/>
      </c>
    </row>
    <row r="20" spans="1:13">
      <c r="A20" s="3">
        <v>6</v>
      </c>
      <c r="B20" s="3">
        <v>1</v>
      </c>
      <c r="C20" s="3">
        <f/>
        <v>0</v>
      </c>
      <c r="D20" s="3" t="s">
        <v>30</v>
      </c>
      <c r="E20" s="3" t="s">
        <v>19</v>
      </c>
      <c r="F20" s="3">
        <v>2</v>
      </c>
      <c r="G20" s="3">
        <v>1</v>
      </c>
      <c r="H20" s="3">
        <v>1</v>
      </c>
      <c r="I20" s="3">
        <v>0.5</v>
      </c>
      <c r="J20" s="4" t="str">
        <f>HYPERLINK("http://141.218.60.56/~jnz1568/getInfo.php?workbook=06_01.xlsx&amp;sheet=E0&amp;row=20&amp;col=10&amp;number=3793995.443&amp;sourceID=2","3793995.443")</f>
        <v>3793995.443</v>
      </c>
      <c r="K20" s="4" t="str">
        <f>HYPERLINK("http://141.218.60.56/~jnz1568/getInfo.php?workbook=06_01.xlsx&amp;sheet=E0&amp;row=20&amp;col=11&amp;number=3794191.755&amp;sourceID=11","3794191.755")</f>
        <v>3794191.755</v>
      </c>
      <c r="L20" s="4" t="str">
        <f>HYPERLINK("http://141.218.60.56/~jnz1568/getInfo.php?workbook=06_01.xlsx&amp;sheet=E0&amp;row=20&amp;col=12&amp;number=3793995.9511&amp;sourceID=12","3793995.9511")</f>
        <v>3793995.9511</v>
      </c>
      <c r="M20" s="4" t="str">
        <f>HYPERLINK("http://141.218.60.56/~jnz1568/getInfo.php?workbook=06_01.xlsx&amp;sheet=E0&amp;row=20&amp;col=13&amp;number=&amp;sourceID=13","")</f>
        <v/>
      </c>
    </row>
    <row r="21" spans="1:13">
      <c r="A21" s="3">
        <v>6</v>
      </c>
      <c r="B21" s="3">
        <v>1</v>
      </c>
      <c r="C21" s="3">
        <f/>
        <v>0</v>
      </c>
      <c r="D21" s="3" t="s">
        <v>31</v>
      </c>
      <c r="E21" s="3" t="s">
        <v>17</v>
      </c>
      <c r="F21" s="3">
        <v>2</v>
      </c>
      <c r="G21" s="3">
        <v>0</v>
      </c>
      <c r="H21" s="3">
        <v>0</v>
      </c>
      <c r="I21" s="3">
        <v>0.5</v>
      </c>
      <c r="J21" s="4" t="str">
        <f>HYPERLINK("http://141.218.60.56/~jnz1568/getInfo.php?workbook=06_01.xlsx&amp;sheet=E0&amp;row=21&amp;col=10&amp;number=3793997.1367&amp;sourceID=2","3793997.1367")</f>
        <v>3793997.1367</v>
      </c>
      <c r="K21" s="4" t="str">
        <f>HYPERLINK("http://141.218.60.56/~jnz1568/getInfo.php?workbook=06_01.xlsx&amp;sheet=E0&amp;row=21&amp;col=11&amp;number=3794191.755&amp;sourceID=11","3794191.755")</f>
        <v>3794191.755</v>
      </c>
      <c r="L21" s="4" t="str">
        <f>HYPERLINK("http://141.218.60.56/~jnz1568/getInfo.php?workbook=06_01.xlsx&amp;sheet=E0&amp;row=21&amp;col=12&amp;number=3793997.6448&amp;sourceID=12","3793997.6448")</f>
        <v>3793997.6448</v>
      </c>
      <c r="M21" s="4" t="str">
        <f>HYPERLINK("http://141.218.60.56/~jnz1568/getInfo.php?workbook=06_01.xlsx&amp;sheet=E0&amp;row=21&amp;col=13&amp;number=&amp;sourceID=13","")</f>
        <v/>
      </c>
    </row>
    <row r="22" spans="1:13">
      <c r="A22" s="3">
        <v>6</v>
      </c>
      <c r="B22" s="3">
        <v>1</v>
      </c>
      <c r="C22" s="3">
        <f/>
        <v>0</v>
      </c>
      <c r="D22" s="3" t="s">
        <v>32</v>
      </c>
      <c r="E22" s="3" t="s">
        <v>24</v>
      </c>
      <c r="F22" s="3">
        <v>2</v>
      </c>
      <c r="G22" s="3">
        <v>2</v>
      </c>
      <c r="H22" s="3">
        <v>0</v>
      </c>
      <c r="I22" s="3">
        <v>1.5</v>
      </c>
      <c r="J22" s="4" t="str">
        <f>HYPERLINK("http://141.218.60.56/~jnz1568/getInfo.php?workbook=06_01.xlsx&amp;sheet=E0&amp;row=22&amp;col=10&amp;number=3794025.7876&amp;sourceID=2","3794025.7876")</f>
        <v>3794025.7876</v>
      </c>
      <c r="K22" s="4" t="str">
        <f>HYPERLINK("http://141.218.60.56/~jnz1568/getInfo.php?workbook=06_01.xlsx&amp;sheet=E0&amp;row=22&amp;col=11&amp;number=3794222.0822&amp;sourceID=11","3794222.0822")</f>
        <v>3794222.0822</v>
      </c>
      <c r="L22" s="4" t="str">
        <f>HYPERLINK("http://141.218.60.56/~jnz1568/getInfo.php?workbook=06_01.xlsx&amp;sheet=E0&amp;row=22&amp;col=12&amp;number=3794026.2957&amp;sourceID=12","3794026.2957")</f>
        <v>3794026.2957</v>
      </c>
      <c r="M22" s="4" t="str">
        <f>HYPERLINK("http://141.218.60.56/~jnz1568/getInfo.php?workbook=06_01.xlsx&amp;sheet=E0&amp;row=22&amp;col=13&amp;number=&amp;sourceID=13","")</f>
        <v/>
      </c>
    </row>
    <row r="23" spans="1:13">
      <c r="A23" s="3">
        <v>6</v>
      </c>
      <c r="B23" s="3">
        <v>1</v>
      </c>
      <c r="C23" s="3">
        <f/>
        <v>0</v>
      </c>
      <c r="D23" s="3" t="s">
        <v>30</v>
      </c>
      <c r="E23" s="3" t="s">
        <v>19</v>
      </c>
      <c r="F23" s="3">
        <v>2</v>
      </c>
      <c r="G23" s="3">
        <v>1</v>
      </c>
      <c r="H23" s="3">
        <v>1</v>
      </c>
      <c r="I23" s="3">
        <v>1.5</v>
      </c>
      <c r="J23" s="4" t="str">
        <f>HYPERLINK("http://141.218.60.56/~jnz1568/getInfo.php?workbook=06_01.xlsx&amp;sheet=E0&amp;row=23&amp;col=10&amp;number=3794025.8393&amp;sourceID=2","3794025.8393")</f>
        <v>3794025.8393</v>
      </c>
      <c r="K23" s="4" t="str">
        <f>HYPERLINK("http://141.218.60.56/~jnz1568/getInfo.php?workbook=06_01.xlsx&amp;sheet=E0&amp;row=23&amp;col=11&amp;number=3794222.0822&amp;sourceID=11","3794222.0822")</f>
        <v>3794222.0822</v>
      </c>
      <c r="L23" s="4" t="str">
        <f>HYPERLINK("http://141.218.60.56/~jnz1568/getInfo.php?workbook=06_01.xlsx&amp;sheet=E0&amp;row=23&amp;col=12&amp;number=3794026.3474&amp;sourceID=12","3794026.3474")</f>
        <v>3794026.3474</v>
      </c>
      <c r="M23" s="4" t="str">
        <f>HYPERLINK("http://141.218.60.56/~jnz1568/getInfo.php?workbook=06_01.xlsx&amp;sheet=E0&amp;row=23&amp;col=13&amp;number=&amp;sourceID=13","")</f>
        <v/>
      </c>
    </row>
    <row r="24" spans="1:13">
      <c r="A24" s="3">
        <v>6</v>
      </c>
      <c r="B24" s="3">
        <v>1</v>
      </c>
      <c r="C24" s="3">
        <f/>
        <v>0</v>
      </c>
      <c r="D24" s="3" t="s">
        <v>33</v>
      </c>
      <c r="E24" s="3" t="s">
        <v>29</v>
      </c>
      <c r="F24" s="3">
        <v>2</v>
      </c>
      <c r="G24" s="3">
        <v>3</v>
      </c>
      <c r="H24" s="3">
        <v>1</v>
      </c>
      <c r="I24" s="3">
        <v>2.5</v>
      </c>
      <c r="J24" s="4" t="str">
        <f>HYPERLINK("http://141.218.60.56/~jnz1568/getInfo.php?workbook=06_01.xlsx&amp;sheet=E0&amp;row=24&amp;col=10&amp;number=3794035.8938&amp;sourceID=2","3794035.8938")</f>
        <v>3794035.8938</v>
      </c>
      <c r="K24" s="4" t="str">
        <f>HYPERLINK("http://141.218.60.56/~jnz1568/getInfo.php?workbook=06_01.xlsx&amp;sheet=E0&amp;row=24&amp;col=11&amp;number=3794232.1834&amp;sourceID=11","3794232.1834")</f>
        <v>3794232.1834</v>
      </c>
      <c r="L24" s="4" t="str">
        <f>HYPERLINK("http://141.218.60.56/~jnz1568/getInfo.php?workbook=06_01.xlsx&amp;sheet=E0&amp;row=24&amp;col=12&amp;number=3794036.4019&amp;sourceID=12","3794036.4019")</f>
        <v>3794036.4019</v>
      </c>
      <c r="M24" s="4" t="str">
        <f>HYPERLINK("http://141.218.60.56/~jnz1568/getInfo.php?workbook=06_01.xlsx&amp;sheet=E0&amp;row=24&amp;col=13&amp;number=&amp;sourceID=13","")</f>
        <v/>
      </c>
    </row>
    <row r="25" spans="1:13">
      <c r="A25" s="3">
        <v>6</v>
      </c>
      <c r="B25" s="3">
        <v>1</v>
      </c>
      <c r="C25" s="3">
        <f/>
        <v>0</v>
      </c>
      <c r="D25" s="3" t="s">
        <v>32</v>
      </c>
      <c r="E25" s="3" t="s">
        <v>24</v>
      </c>
      <c r="F25" s="3">
        <v>2</v>
      </c>
      <c r="G25" s="3">
        <v>2</v>
      </c>
      <c r="H25" s="3">
        <v>0</v>
      </c>
      <c r="I25" s="3">
        <v>2.5</v>
      </c>
      <c r="J25" s="4" t="str">
        <f>HYPERLINK("http://141.218.60.56/~jnz1568/getInfo.php?workbook=06_01.xlsx&amp;sheet=E0&amp;row=25&amp;col=10&amp;number=3794035.9122&amp;sourceID=2","3794035.9122")</f>
        <v>3794035.9122</v>
      </c>
      <c r="K25" s="4" t="str">
        <f>HYPERLINK("http://141.218.60.56/~jnz1568/getInfo.php?workbook=06_01.xlsx&amp;sheet=E0&amp;row=25&amp;col=11&amp;number=3794232.1834&amp;sourceID=11","3794232.1834")</f>
        <v>3794232.1834</v>
      </c>
      <c r="L25" s="4" t="str">
        <f>HYPERLINK("http://141.218.60.56/~jnz1568/getInfo.php?workbook=06_01.xlsx&amp;sheet=E0&amp;row=25&amp;col=12&amp;number=3794036.4203&amp;sourceID=12","3794036.4203")</f>
        <v>3794036.4203</v>
      </c>
      <c r="M25" s="4" t="str">
        <f>HYPERLINK("http://141.218.60.56/~jnz1568/getInfo.php?workbook=06_01.xlsx&amp;sheet=E0&amp;row=25&amp;col=13&amp;number=&amp;sourceID=13","")</f>
        <v/>
      </c>
    </row>
    <row r="26" spans="1:13">
      <c r="A26" s="3">
        <v>6</v>
      </c>
      <c r="B26" s="3">
        <v>1</v>
      </c>
      <c r="C26" s="3">
        <f/>
        <v>0</v>
      </c>
      <c r="D26" s="3" t="s">
        <v>34</v>
      </c>
      <c r="E26" s="3" t="s">
        <v>35</v>
      </c>
      <c r="F26" s="3">
        <v>2</v>
      </c>
      <c r="G26" s="3">
        <v>4</v>
      </c>
      <c r="H26" s="3">
        <v>0</v>
      </c>
      <c r="I26" s="3">
        <v>3.5</v>
      </c>
      <c r="J26" s="4" t="str">
        <f>HYPERLINK("http://141.218.60.56/~jnz1568/getInfo.php?workbook=06_01.xlsx&amp;sheet=E0&amp;row=26&amp;col=10&amp;number=3794040.9456&amp;sourceID=2","3794040.9456")</f>
        <v>3794040.9456</v>
      </c>
      <c r="K26" s="4" t="str">
        <f>HYPERLINK("http://141.218.60.56/~jnz1568/getInfo.php?workbook=06_01.xlsx&amp;sheet=E0&amp;row=26&amp;col=11&amp;number=3794237.2329&amp;sourceID=11","3794237.2329")</f>
        <v>3794237.2329</v>
      </c>
      <c r="L26" s="4" t="str">
        <f>HYPERLINK("http://141.218.60.56/~jnz1568/getInfo.php?workbook=06_01.xlsx&amp;sheet=E0&amp;row=26&amp;col=12&amp;number=3794041.4536&amp;sourceID=12","3794041.4536")</f>
        <v>3794041.4536</v>
      </c>
      <c r="M26" s="4" t="str">
        <f>HYPERLINK("http://141.218.60.56/~jnz1568/getInfo.php?workbook=06_01.xlsx&amp;sheet=E0&amp;row=26&amp;col=13&amp;number=&amp;sourceID=13","")</f>
        <v/>
      </c>
    </row>
    <row r="27" spans="1:13">
      <c r="A27" s="3">
        <v>6</v>
      </c>
      <c r="B27" s="3">
        <v>1</v>
      </c>
      <c r="C27" s="3">
        <f/>
        <v>0</v>
      </c>
      <c r="D27" s="3" t="s">
        <v>33</v>
      </c>
      <c r="E27" s="3" t="s">
        <v>29</v>
      </c>
      <c r="F27" s="3">
        <v>2</v>
      </c>
      <c r="G27" s="3">
        <v>3</v>
      </c>
      <c r="H27" s="3">
        <v>1</v>
      </c>
      <c r="I27" s="3">
        <v>3.5</v>
      </c>
      <c r="J27" s="4" t="str">
        <f>HYPERLINK("http://141.218.60.56/~jnz1568/getInfo.php?workbook=06_01.xlsx&amp;sheet=E0&amp;row=27&amp;col=10&amp;number=3794040.9551&amp;sourceID=2","3794040.9551")</f>
        <v>3794040.9551</v>
      </c>
      <c r="K27" s="4" t="str">
        <f>HYPERLINK("http://141.218.60.56/~jnz1568/getInfo.php?workbook=06_01.xlsx&amp;sheet=E0&amp;row=27&amp;col=11&amp;number=3794237.2329&amp;sourceID=11","3794237.2329")</f>
        <v>3794237.2329</v>
      </c>
      <c r="L27" s="4" t="str">
        <f>HYPERLINK("http://141.218.60.56/~jnz1568/getInfo.php?workbook=06_01.xlsx&amp;sheet=E0&amp;row=27&amp;col=12&amp;number=3794041.4632&amp;sourceID=12","3794041.4632")</f>
        <v>3794041.4632</v>
      </c>
      <c r="M27" s="4" t="str">
        <f>HYPERLINK("http://141.218.60.56/~jnz1568/getInfo.php?workbook=06_01.xlsx&amp;sheet=E0&amp;row=27&amp;col=13&amp;number=&amp;sourceID=13","")</f>
        <v/>
      </c>
    </row>
    <row r="28" spans="1:13">
      <c r="A28" s="3">
        <v>6</v>
      </c>
      <c r="B28" s="3">
        <v>1</v>
      </c>
      <c r="C28" s="3">
        <f/>
        <v>0</v>
      </c>
      <c r="D28" s="3" t="s">
        <v>34</v>
      </c>
      <c r="E28" s="3" t="s">
        <v>35</v>
      </c>
      <c r="F28" s="3">
        <v>2</v>
      </c>
      <c r="G28" s="3">
        <v>4</v>
      </c>
      <c r="H28" s="3">
        <v>0</v>
      </c>
      <c r="I28" s="3">
        <v>4.5</v>
      </c>
      <c r="J28" s="4" t="str">
        <f>HYPERLINK("http://141.218.60.56/~jnz1568/getInfo.php?workbook=06_01.xlsx&amp;sheet=E0&amp;row=28&amp;col=10&amp;number=3794043.9821&amp;sourceID=2","3794043.9821")</f>
        <v>3794043.9821</v>
      </c>
      <c r="K28" s="4" t="str">
        <f>HYPERLINK("http://141.218.60.56/~jnz1568/getInfo.php?workbook=06_01.xlsx&amp;sheet=E0&amp;row=28&amp;col=11&amp;number=3794240.2624&amp;sourceID=11","3794240.2624")</f>
        <v>3794240.2624</v>
      </c>
      <c r="L28" s="4" t="str">
        <f>HYPERLINK("http://141.218.60.56/~jnz1568/getInfo.php?workbook=06_01.xlsx&amp;sheet=E0&amp;row=28&amp;col=12&amp;number=3794044.4901&amp;sourceID=12","3794044.4901")</f>
        <v>3794044.4901</v>
      </c>
      <c r="M28" s="4" t="str">
        <f>HYPERLINK("http://141.218.60.56/~jnz1568/getInfo.php?workbook=06_01.xlsx&amp;sheet=E0&amp;row=28&amp;col=13&amp;number=&amp;sourceID=13","")</f>
        <v/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4"/>
  <sheetViews>
    <sheetView workbookViewId="0"/>
  </sheetViews>
  <sheetFormatPr defaultRowHeight="15"/>
  <cols>
    <col min="1" max="1" width="2.7109375" customWidth="1"/>
    <col min="2" max="2" width="2.7109375" customWidth="1"/>
    <col min="3" max="3" width="3.7109375" customWidth="1"/>
    <col min="4" max="4" width="3.7109375" customWidth="1"/>
    <col min="5" max="5" width="15.7109375" customWidth="1"/>
    <col min="6" max="6" width="11.7109375" customWidth="1"/>
    <col min="7" max="7" width="15.7109375" customWidth="1"/>
    <col min="8" max="8" width="13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3.7109375" customWidth="1"/>
    <col min="15" max="15" width="13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0" width="11.7109375" customWidth="1"/>
    <col min="21" max="21" width="15.7109375" customWidth="1"/>
    <col min="22" max="22" width="13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</cols>
  <sheetData>
    <row r="1" spans="1:26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2"/>
      <c r="C2" s="2"/>
      <c r="D2" s="2"/>
      <c r="E2" s="2"/>
      <c r="F2" s="2" t="s">
        <v>37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</row>
    <row r="3" spans="1:26">
      <c r="A3" s="2" t="s">
        <v>5</v>
      </c>
      <c r="B3" s="2" t="s">
        <v>6</v>
      </c>
      <c r="C3" s="2" t="s">
        <v>38</v>
      </c>
      <c r="D3" s="2" t="s">
        <v>7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</row>
    <row r="4" spans="1:26">
      <c r="A4" s="3">
        <v>6</v>
      </c>
      <c r="B4" s="3">
        <v>1</v>
      </c>
      <c r="C4" s="3">
        <v>2</v>
      </c>
      <c r="D4" s="3">
        <v>1</v>
      </c>
      <c r="E4" s="3">
        <f>((1/(INDEX(E0!J$4:J$28,C4,1)-INDEX(E0!J$4:J$28,D4,1))))*100000000</f>
        <v>0</v>
      </c>
      <c r="F4" s="4" t="str">
        <f>HYPERLINK("http://141.218.60.56/~jnz1568/getInfo.php?workbook=06_01.xlsx&amp;sheet=A0&amp;row=4&amp;col=6&amp;number=&amp;sourceID=18","")</f>
        <v/>
      </c>
      <c r="G4" s="4" t="str">
        <f>HYPERLINK("http://141.218.60.56/~jnz1568/getInfo.php?workbook=06_01.xlsx&amp;sheet=A0&amp;row=4&amp;col=7&amp;number==SUM(H4:M4)&amp;sourceID=11","=SUM(H4:M4)")</f>
        <v>=SUM(H4:M4)</v>
      </c>
      <c r="H4" s="4" t="str">
        <f>HYPERLINK("http://141.218.60.56/~jnz1568/getInfo.php?workbook=06_01.xlsx&amp;sheet=A0&amp;row=4&amp;col=8&amp;number=812520000000&amp;sourceID=11","812520000000")</f>
        <v>812520000000</v>
      </c>
      <c r="I4" s="4" t="str">
        <f>HYPERLINK("http://141.218.60.56/~jnz1568/getInfo.php?workbook=06_01.xlsx&amp;sheet=A0&amp;row=4&amp;col=9&amp;number=&amp;sourceID=11","")</f>
        <v/>
      </c>
      <c r="J4" s="4" t="str">
        <f>HYPERLINK("http://141.218.60.56/~jnz1568/getInfo.php?workbook=06_01.xlsx&amp;sheet=A0&amp;row=4&amp;col=10&amp;number=&amp;sourceID=11","")</f>
        <v/>
      </c>
      <c r="K4" s="4" t="str">
        <f>HYPERLINK("http://141.218.60.56/~jnz1568/getInfo.php?workbook=06_01.xlsx&amp;sheet=A0&amp;row=4&amp;col=11&amp;number=&amp;sourceID=11","")</f>
        <v/>
      </c>
      <c r="L4" s="4" t="str">
        <f>HYPERLINK("http://141.218.60.56/~jnz1568/getInfo.php?workbook=06_01.xlsx&amp;sheet=A0&amp;row=4&amp;col=12&amp;number=&amp;sourceID=11","")</f>
        <v/>
      </c>
      <c r="M4" s="4" t="str">
        <f>HYPERLINK("http://141.218.60.56/~jnz1568/getInfo.php?workbook=06_01.xlsx&amp;sheet=A0&amp;row=4&amp;col=13&amp;number=&amp;sourceID=11","")</f>
        <v/>
      </c>
      <c r="N4" s="4" t="str">
        <f>HYPERLINK("http://141.218.60.56/~jnz1568/getInfo.php?workbook=06_01.xlsx&amp;sheet=A0&amp;row=4&amp;col=14&amp;number=812560000000&amp;sourceID=12","812560000000")</f>
        <v>812560000000</v>
      </c>
      <c r="O4" s="4" t="str">
        <f>HYPERLINK("http://141.218.60.56/~jnz1568/getInfo.php?workbook=06_01.xlsx&amp;sheet=A0&amp;row=4&amp;col=15&amp;number=812560000000&amp;sourceID=12","812560000000")</f>
        <v>812560000000</v>
      </c>
      <c r="P4" s="4" t="str">
        <f>HYPERLINK("http://141.218.60.56/~jnz1568/getInfo.php?workbook=06_01.xlsx&amp;sheet=A0&amp;row=4&amp;col=16&amp;number=&amp;sourceID=12","")</f>
        <v/>
      </c>
      <c r="Q4" s="4" t="str">
        <f>HYPERLINK("http://141.218.60.56/~jnz1568/getInfo.php?workbook=06_01.xlsx&amp;sheet=A0&amp;row=4&amp;col=17&amp;number=&amp;sourceID=12","")</f>
        <v/>
      </c>
      <c r="R4" s="4" t="str">
        <f>HYPERLINK("http://141.218.60.56/~jnz1568/getInfo.php?workbook=06_01.xlsx&amp;sheet=A0&amp;row=4&amp;col=18&amp;number=&amp;sourceID=12","")</f>
        <v/>
      </c>
      <c r="S4" s="4" t="str">
        <f>HYPERLINK("http://141.218.60.56/~jnz1568/getInfo.php?workbook=06_01.xlsx&amp;sheet=A0&amp;row=4&amp;col=19&amp;number=&amp;sourceID=12","")</f>
        <v/>
      </c>
      <c r="T4" s="4" t="str">
        <f>HYPERLINK("http://141.218.60.56/~jnz1568/getInfo.php?workbook=06_01.xlsx&amp;sheet=A0&amp;row=4&amp;col=20&amp;number=&amp;sourceID=12","")</f>
        <v/>
      </c>
      <c r="U4" s="4" t="str">
        <f>HYPERLINK("http://141.218.60.56/~jnz1568/getInfo.php?workbook=06_01.xlsx&amp;sheet=A0&amp;row=4&amp;col=21&amp;number==SUM(V4:Z4)&amp;sourceID=13","=SUM(V4:Z4)")</f>
        <v>=SUM(V4:Z4)</v>
      </c>
      <c r="V4" s="4" t="str">
        <f>HYPERLINK("http://141.218.60.56/~jnz1568/getInfo.php?workbook=06_01.xlsx&amp;sheet=A0&amp;row=4&amp;col=22&amp;number=812000000000&amp;sourceID=13","812000000000")</f>
        <v>812000000000</v>
      </c>
      <c r="W4" s="4" t="str">
        <f>HYPERLINK("http://141.218.60.56/~jnz1568/getInfo.php?workbook=06_01.xlsx&amp;sheet=A0&amp;row=4&amp;col=23&amp;number=&amp;sourceID=13","")</f>
        <v/>
      </c>
      <c r="X4" s="4" t="str">
        <f>HYPERLINK("http://141.218.60.56/~jnz1568/getInfo.php?workbook=06_01.xlsx&amp;sheet=A0&amp;row=4&amp;col=24&amp;number=&amp;sourceID=13","")</f>
        <v/>
      </c>
      <c r="Y4" s="4" t="str">
        <f>HYPERLINK("http://141.218.60.56/~jnz1568/getInfo.php?workbook=06_01.xlsx&amp;sheet=A0&amp;row=4&amp;col=25&amp;number=&amp;sourceID=13","")</f>
        <v/>
      </c>
      <c r="Z4" s="4" t="str">
        <f>HYPERLINK("http://141.218.60.56/~jnz1568/getInfo.php?workbook=06_01.xlsx&amp;sheet=A0&amp;row=4&amp;col=26&amp;number=&amp;sourceID=13","")</f>
        <v/>
      </c>
    </row>
    <row r="5" spans="1:26">
      <c r="A5" s="3">
        <v>6</v>
      </c>
      <c r="B5" s="3">
        <v>1</v>
      </c>
      <c r="C5" s="3">
        <v>3</v>
      </c>
      <c r="D5" s="3">
        <v>1</v>
      </c>
      <c r="E5" s="3">
        <f>((1/(INDEX(E0!J$4:J$28,C5,1)-INDEX(E0!J$4:J$28,D5,1))))*100000000</f>
        <v>0</v>
      </c>
      <c r="F5" s="4" t="str">
        <f>HYPERLINK("http://141.218.60.56/~jnz1568/getInfo.php?workbook=06_01.xlsx&amp;sheet=A0&amp;row=5&amp;col=6&amp;number=383470&amp;sourceID=18","383470")</f>
        <v>383470</v>
      </c>
      <c r="G5" s="4" t="str">
        <f>HYPERLINK("http://141.218.60.56/~jnz1568/getInfo.php?workbook=06_01.xlsx&amp;sheet=A0&amp;row=5&amp;col=7&amp;number=&amp;sourceID=11","")</f>
        <v/>
      </c>
      <c r="H5" s="4" t="str">
        <f>HYPERLINK("http://141.218.60.56/~jnz1568/getInfo.php?workbook=06_01.xlsx&amp;sheet=A0&amp;row=5&amp;col=8&amp;number=&amp;sourceID=11","")</f>
        <v/>
      </c>
      <c r="I5" s="4" t="str">
        <f>HYPERLINK("http://141.218.60.56/~jnz1568/getInfo.php?workbook=06_01.xlsx&amp;sheet=A0&amp;row=5&amp;col=9&amp;number=&amp;sourceID=11","")</f>
        <v/>
      </c>
      <c r="J5" s="4" t="str">
        <f>HYPERLINK("http://141.218.60.56/~jnz1568/getInfo.php?workbook=06_01.xlsx&amp;sheet=A0&amp;row=5&amp;col=10&amp;number=&amp;sourceID=11","")</f>
        <v/>
      </c>
      <c r="K5" s="4" t="str">
        <f>HYPERLINK("http://141.218.60.56/~jnz1568/getInfo.php?workbook=06_01.xlsx&amp;sheet=A0&amp;row=5&amp;col=11&amp;number=151.21&amp;sourceID=11","151.21")</f>
        <v>151.21</v>
      </c>
      <c r="L5" s="4" t="str">
        <f>HYPERLINK("http://141.218.60.56/~jnz1568/getInfo.php?workbook=06_01.xlsx&amp;sheet=A0&amp;row=5&amp;col=12&amp;number=&amp;sourceID=11","")</f>
        <v/>
      </c>
      <c r="M5" s="4" t="str">
        <f>HYPERLINK("http://141.218.60.56/~jnz1568/getInfo.php?workbook=06_01.xlsx&amp;sheet=A0&amp;row=5&amp;col=13&amp;number=&amp;sourceID=11","")</f>
        <v/>
      </c>
      <c r="N5" s="4" t="str">
        <f>HYPERLINK("http://141.218.60.56/~jnz1568/getInfo.php?workbook=06_01.xlsx&amp;sheet=A0&amp;row=5&amp;col=14&amp;number=&amp;sourceID=12","")</f>
        <v/>
      </c>
      <c r="O5" s="4" t="str">
        <f>HYPERLINK("http://141.218.60.56/~jnz1568/getInfo.php?workbook=06_01.xlsx&amp;sheet=A0&amp;row=5&amp;col=15&amp;number=&amp;sourceID=12","")</f>
        <v/>
      </c>
      <c r="P5" s="4" t="str">
        <f>HYPERLINK("http://141.218.60.56/~jnz1568/getInfo.php?workbook=06_01.xlsx&amp;sheet=A0&amp;row=5&amp;col=16&amp;number=&amp;sourceID=12","")</f>
        <v/>
      </c>
      <c r="Q5" s="4" t="str">
        <f>HYPERLINK("http://141.218.60.56/~jnz1568/getInfo.php?workbook=06_01.xlsx&amp;sheet=A0&amp;row=5&amp;col=17&amp;number=&amp;sourceID=12","")</f>
        <v/>
      </c>
      <c r="R5" s="4" t="str">
        <f>HYPERLINK("http://141.218.60.56/~jnz1568/getInfo.php?workbook=06_01.xlsx&amp;sheet=A0&amp;row=5&amp;col=18&amp;number=151.22&amp;sourceID=12","151.22")</f>
        <v>151.22</v>
      </c>
      <c r="S5" s="4" t="str">
        <f>HYPERLINK("http://141.218.60.56/~jnz1568/getInfo.php?workbook=06_01.xlsx&amp;sheet=A0&amp;row=5&amp;col=19&amp;number=&amp;sourceID=12","")</f>
        <v/>
      </c>
      <c r="T5" s="4" t="str">
        <f>HYPERLINK("http://141.218.60.56/~jnz1568/getInfo.php?workbook=06_01.xlsx&amp;sheet=A0&amp;row=5&amp;col=20&amp;number=&amp;sourceID=12","")</f>
        <v/>
      </c>
      <c r="U5" s="4" t="str">
        <f>HYPERLINK("http://141.218.60.56/~jnz1568/getInfo.php?workbook=06_01.xlsx&amp;sheet=A0&amp;row=5&amp;col=21&amp;number=&amp;sourceID=13","")</f>
        <v/>
      </c>
      <c r="V5" s="4" t="str">
        <f>HYPERLINK("http://141.218.60.56/~jnz1568/getInfo.php?workbook=06_01.xlsx&amp;sheet=A0&amp;row=5&amp;col=22&amp;number=&amp;sourceID=13","")</f>
        <v/>
      </c>
      <c r="W5" s="4" t="str">
        <f>HYPERLINK("http://141.218.60.56/~jnz1568/getInfo.php?workbook=06_01.xlsx&amp;sheet=A0&amp;row=5&amp;col=23&amp;number=&amp;sourceID=13","")</f>
        <v/>
      </c>
      <c r="X5" s="4" t="str">
        <f>HYPERLINK("http://141.218.60.56/~jnz1568/getInfo.php?workbook=06_01.xlsx&amp;sheet=A0&amp;row=5&amp;col=24&amp;number=&amp;sourceID=13","")</f>
        <v/>
      </c>
      <c r="Y5" s="4" t="str">
        <f>HYPERLINK("http://141.218.60.56/~jnz1568/getInfo.php?workbook=06_01.xlsx&amp;sheet=A0&amp;row=5&amp;col=25&amp;number=151&amp;sourceID=13","151")</f>
        <v>151</v>
      </c>
      <c r="Z5" s="4" t="str">
        <f>HYPERLINK("http://141.218.60.56/~jnz1568/getInfo.php?workbook=06_01.xlsx&amp;sheet=A0&amp;row=5&amp;col=26&amp;number=&amp;sourceID=13","")</f>
        <v/>
      </c>
    </row>
    <row r="6" spans="1:26">
      <c r="A6" s="3">
        <v>6</v>
      </c>
      <c r="B6" s="3">
        <v>1</v>
      </c>
      <c r="C6" s="3">
        <v>4</v>
      </c>
      <c r="D6" s="3">
        <v>1</v>
      </c>
      <c r="E6" s="3">
        <f>((1/(INDEX(E0!J$4:J$28,C6,1)-INDEX(E0!J$4:J$28,D6,1))))*100000000</f>
        <v>0</v>
      </c>
      <c r="F6" s="4" t="str">
        <f>HYPERLINK("http://141.218.60.56/~jnz1568/getInfo.php?workbook=06_01.xlsx&amp;sheet=A0&amp;row=6&amp;col=6&amp;number=&amp;sourceID=18","")</f>
        <v/>
      </c>
      <c r="G6" s="4" t="str">
        <f>HYPERLINK("http://141.218.60.56/~jnz1568/getInfo.php?workbook=06_01.xlsx&amp;sheet=A0&amp;row=6&amp;col=7&amp;number==SUM(H6:M6)&amp;sourceID=11","=SUM(H6:M6)")</f>
        <v>=SUM(H6:M6)</v>
      </c>
      <c r="H6" s="4" t="str">
        <f>HYPERLINK("http://141.218.60.56/~jnz1568/getInfo.php?workbook=06_01.xlsx&amp;sheet=A0&amp;row=6&amp;col=8&amp;number=811980000000&amp;sourceID=11","811980000000")</f>
        <v>811980000000</v>
      </c>
      <c r="I6" s="4" t="str">
        <f>HYPERLINK("http://141.218.60.56/~jnz1568/getInfo.php?workbook=06_01.xlsx&amp;sheet=A0&amp;row=6&amp;col=9&amp;number=&amp;sourceID=11","")</f>
        <v/>
      </c>
      <c r="J6" s="4" t="str">
        <f>HYPERLINK("http://141.218.60.56/~jnz1568/getInfo.php?workbook=06_01.xlsx&amp;sheet=A0&amp;row=6&amp;col=10&amp;number=&amp;sourceID=11","")</f>
        <v/>
      </c>
      <c r="K6" s="4" t="str">
        <f>HYPERLINK("http://141.218.60.56/~jnz1568/getInfo.php?workbook=06_01.xlsx&amp;sheet=A0&amp;row=6&amp;col=11&amp;number=&amp;sourceID=11","")</f>
        <v/>
      </c>
      <c r="L6" s="4" t="str">
        <f>HYPERLINK("http://141.218.60.56/~jnz1568/getInfo.php?workbook=06_01.xlsx&amp;sheet=A0&amp;row=6&amp;col=12&amp;number=78759&amp;sourceID=11","78759")</f>
        <v>78759</v>
      </c>
      <c r="M6" s="4" t="str">
        <f>HYPERLINK("http://141.218.60.56/~jnz1568/getInfo.php?workbook=06_01.xlsx&amp;sheet=A0&amp;row=6&amp;col=13&amp;number=&amp;sourceID=11","")</f>
        <v/>
      </c>
      <c r="N6" s="4" t="str">
        <f>HYPERLINK("http://141.218.60.56/~jnz1568/getInfo.php?workbook=06_01.xlsx&amp;sheet=A0&amp;row=6&amp;col=14&amp;number=812010000000&amp;sourceID=12","812010000000")</f>
        <v>812010000000</v>
      </c>
      <c r="O6" s="4" t="str">
        <f>HYPERLINK("http://141.218.60.56/~jnz1568/getInfo.php?workbook=06_01.xlsx&amp;sheet=A0&amp;row=6&amp;col=15&amp;number=812010000000&amp;sourceID=12","812010000000")</f>
        <v>812010000000</v>
      </c>
      <c r="P6" s="4" t="str">
        <f>HYPERLINK("http://141.218.60.56/~jnz1568/getInfo.php?workbook=06_01.xlsx&amp;sheet=A0&amp;row=6&amp;col=16&amp;number=&amp;sourceID=12","")</f>
        <v/>
      </c>
      <c r="Q6" s="4" t="str">
        <f>HYPERLINK("http://141.218.60.56/~jnz1568/getInfo.php?workbook=06_01.xlsx&amp;sheet=A0&amp;row=6&amp;col=17&amp;number=&amp;sourceID=12","")</f>
        <v/>
      </c>
      <c r="R6" s="4" t="str">
        <f>HYPERLINK("http://141.218.60.56/~jnz1568/getInfo.php?workbook=06_01.xlsx&amp;sheet=A0&amp;row=6&amp;col=18&amp;number=&amp;sourceID=12","")</f>
        <v/>
      </c>
      <c r="S6" s="4" t="str">
        <f>HYPERLINK("http://141.218.60.56/~jnz1568/getInfo.php?workbook=06_01.xlsx&amp;sheet=A0&amp;row=6&amp;col=19&amp;number=78763&amp;sourceID=12","78763")</f>
        <v>78763</v>
      </c>
      <c r="T6" s="4" t="str">
        <f>HYPERLINK("http://141.218.60.56/~jnz1568/getInfo.php?workbook=06_01.xlsx&amp;sheet=A0&amp;row=6&amp;col=20&amp;number=&amp;sourceID=12","")</f>
        <v/>
      </c>
      <c r="U6" s="4" t="str">
        <f>HYPERLINK("http://141.218.60.56/~jnz1568/getInfo.php?workbook=06_01.xlsx&amp;sheet=A0&amp;row=6&amp;col=21&amp;number==SUM(V6:Z6)&amp;sourceID=13","=SUM(V6:Z6)")</f>
        <v>=SUM(V6:Z6)</v>
      </c>
      <c r="V6" s="4" t="str">
        <f>HYPERLINK("http://141.218.60.56/~jnz1568/getInfo.php?workbook=06_01.xlsx&amp;sheet=A0&amp;row=6&amp;col=22&amp;number=812000000000&amp;sourceID=13","812000000000")</f>
        <v>812000000000</v>
      </c>
      <c r="W6" s="4" t="str">
        <f>HYPERLINK("http://141.218.60.56/~jnz1568/getInfo.php?workbook=06_01.xlsx&amp;sheet=A0&amp;row=6&amp;col=23&amp;number=&amp;sourceID=13","")</f>
        <v/>
      </c>
      <c r="X6" s="4" t="str">
        <f>HYPERLINK("http://141.218.60.56/~jnz1568/getInfo.php?workbook=06_01.xlsx&amp;sheet=A0&amp;row=6&amp;col=24&amp;number=&amp;sourceID=13","")</f>
        <v/>
      </c>
      <c r="Y6" s="4" t="str">
        <f>HYPERLINK("http://141.218.60.56/~jnz1568/getInfo.php?workbook=06_01.xlsx&amp;sheet=A0&amp;row=6&amp;col=25&amp;number=&amp;sourceID=13","")</f>
        <v/>
      </c>
      <c r="Z6" s="4" t="str">
        <f>HYPERLINK("http://141.218.60.56/~jnz1568/getInfo.php?workbook=06_01.xlsx&amp;sheet=A0&amp;row=6&amp;col=26&amp;number=&amp;sourceID=13","")</f>
        <v/>
      </c>
    </row>
    <row r="7" spans="1:26">
      <c r="A7" s="3">
        <v>6</v>
      </c>
      <c r="B7" s="3">
        <v>1</v>
      </c>
      <c r="C7" s="3">
        <v>4</v>
      </c>
      <c r="D7" s="3">
        <v>2</v>
      </c>
      <c r="E7" s="3">
        <f>((1/(INDEX(E0!J$4:J$28,C7,1)-INDEX(E0!J$4:J$28,D7,1))))*100000000</f>
        <v>0</v>
      </c>
      <c r="F7" s="4" t="str">
        <f>HYPERLINK("http://141.218.60.56/~jnz1568/getInfo.php?workbook=06_01.xlsx&amp;sheet=A0&amp;row=7&amp;col=6&amp;number=&amp;sourceID=18","")</f>
        <v/>
      </c>
      <c r="G7" s="4" t="str">
        <f>HYPERLINK("http://141.218.60.56/~jnz1568/getInfo.php?workbook=06_01.xlsx&amp;sheet=A0&amp;row=7&amp;col=7&amp;number==&amp;sourceID=11","=")</f>
        <v>=</v>
      </c>
      <c r="H7" s="4" t="str">
        <f>HYPERLINK("http://141.218.60.56/~jnz1568/getInfo.php?workbook=06_01.xlsx&amp;sheet=A0&amp;row=7&amp;col=8&amp;number=&amp;sourceID=11","")</f>
        <v/>
      </c>
      <c r="I7" s="4" t="str">
        <f>HYPERLINK("http://141.218.60.56/~jnz1568/getInfo.php?workbook=06_01.xlsx&amp;sheet=A0&amp;row=7&amp;col=9&amp;number=3.7104e-10&amp;sourceID=11","3.7104e-10")</f>
        <v>3.7104e-10</v>
      </c>
      <c r="J7" s="4" t="str">
        <f>HYPERLINK("http://141.218.60.56/~jnz1568/getInfo.php?workbook=06_01.xlsx&amp;sheet=A0&amp;row=7&amp;col=10&amp;number=&amp;sourceID=11","")</f>
        <v/>
      </c>
      <c r="K7" s="4" t="str">
        <f>HYPERLINK("http://141.218.60.56/~jnz1568/getInfo.php?workbook=06_01.xlsx&amp;sheet=A0&amp;row=7&amp;col=11&amp;number=0.00095667&amp;sourceID=11","0.00095667")</f>
        <v>0.00095667</v>
      </c>
      <c r="L7" s="4" t="str">
        <f>HYPERLINK("http://141.218.60.56/~jnz1568/getInfo.php?workbook=06_01.xlsx&amp;sheet=A0&amp;row=7&amp;col=12&amp;number=&amp;sourceID=11","")</f>
        <v/>
      </c>
      <c r="M7" s="4" t="str">
        <f>HYPERLINK("http://141.218.60.56/~jnz1568/getInfo.php?workbook=06_01.xlsx&amp;sheet=A0&amp;row=7&amp;col=13&amp;number=&amp;sourceID=11","")</f>
        <v/>
      </c>
      <c r="N7" s="4" t="str">
        <f>HYPERLINK("http://141.218.60.56/~jnz1568/getInfo.php?workbook=06_01.xlsx&amp;sheet=A0&amp;row=7&amp;col=14&amp;number=0.00095672&amp;sourceID=12","0.00095672")</f>
        <v>0.00095672</v>
      </c>
      <c r="O7" s="4" t="str">
        <f>HYPERLINK("http://141.218.60.56/~jnz1568/getInfo.php?workbook=06_01.xlsx&amp;sheet=A0&amp;row=7&amp;col=15&amp;number=&amp;sourceID=12","")</f>
        <v/>
      </c>
      <c r="P7" s="4" t="str">
        <f>HYPERLINK("http://141.218.60.56/~jnz1568/getInfo.php?workbook=06_01.xlsx&amp;sheet=A0&amp;row=7&amp;col=16&amp;number=3.7106e-10&amp;sourceID=12","3.7106e-10")</f>
        <v>3.7106e-10</v>
      </c>
      <c r="Q7" s="4" t="str">
        <f>HYPERLINK("http://141.218.60.56/~jnz1568/getInfo.php?workbook=06_01.xlsx&amp;sheet=A0&amp;row=7&amp;col=17&amp;number=&amp;sourceID=12","")</f>
        <v/>
      </c>
      <c r="R7" s="4" t="str">
        <f>HYPERLINK("http://141.218.60.56/~jnz1568/getInfo.php?workbook=06_01.xlsx&amp;sheet=A0&amp;row=7&amp;col=18&amp;number=0.00095672&amp;sourceID=12","0.00095672")</f>
        <v>0.00095672</v>
      </c>
      <c r="S7" s="4" t="str">
        <f>HYPERLINK("http://141.218.60.56/~jnz1568/getInfo.php?workbook=06_01.xlsx&amp;sheet=A0&amp;row=7&amp;col=19&amp;number=&amp;sourceID=12","")</f>
        <v/>
      </c>
      <c r="T7" s="4" t="str">
        <f>HYPERLINK("http://141.218.60.56/~jnz1568/getInfo.php?workbook=06_01.xlsx&amp;sheet=A0&amp;row=7&amp;col=20&amp;number=&amp;sourceID=12","")</f>
        <v/>
      </c>
      <c r="U7" s="4" t="str">
        <f>HYPERLINK("http://141.218.60.56/~jnz1568/getInfo.php?workbook=06_01.xlsx&amp;sheet=A0&amp;row=7&amp;col=21&amp;number==&amp;sourceID=13","=")</f>
        <v>=</v>
      </c>
      <c r="V7" s="4" t="str">
        <f>HYPERLINK("http://141.218.60.56/~jnz1568/getInfo.php?workbook=06_01.xlsx&amp;sheet=A0&amp;row=7&amp;col=22&amp;number=&amp;sourceID=13","")</f>
        <v/>
      </c>
      <c r="W7" s="4" t="str">
        <f>HYPERLINK("http://141.218.60.56/~jnz1568/getInfo.php?workbook=06_01.xlsx&amp;sheet=A0&amp;row=7&amp;col=23&amp;number=3.7e-10&amp;sourceID=13","3.7e-10")</f>
        <v>3.7e-10</v>
      </c>
      <c r="X7" s="4" t="str">
        <f>HYPERLINK("http://141.218.60.56/~jnz1568/getInfo.php?workbook=06_01.xlsx&amp;sheet=A0&amp;row=7&amp;col=24&amp;number=&amp;sourceID=13","")</f>
        <v/>
      </c>
      <c r="Y7" s="4" t="str">
        <f>HYPERLINK("http://141.218.60.56/~jnz1568/getInfo.php?workbook=06_01.xlsx&amp;sheet=A0&amp;row=7&amp;col=25&amp;number=0.000954&amp;sourceID=13","0.000954")</f>
        <v>0.000954</v>
      </c>
      <c r="Z7" s="4" t="str">
        <f>HYPERLINK("http://141.218.60.56/~jnz1568/getInfo.php?workbook=06_01.xlsx&amp;sheet=A0&amp;row=7&amp;col=26&amp;number=&amp;sourceID=13","")</f>
        <v/>
      </c>
    </row>
    <row r="8" spans="1:26">
      <c r="A8" s="3">
        <v>6</v>
      </c>
      <c r="B8" s="3">
        <v>1</v>
      </c>
      <c r="C8" s="3">
        <v>4</v>
      </c>
      <c r="D8" s="3">
        <v>3</v>
      </c>
      <c r="E8" s="3">
        <f>((1/(INDEX(E0!J$4:J$28,C8,1)-INDEX(E0!J$4:J$28,D8,1))))*100000000</f>
        <v>0</v>
      </c>
      <c r="F8" s="4" t="str">
        <f>HYPERLINK("http://141.218.60.56/~jnz1568/getInfo.php?workbook=06_01.xlsx&amp;sheet=A0&amp;row=8&amp;col=6&amp;number=&amp;sourceID=18","")</f>
        <v/>
      </c>
      <c r="G8" s="4" t="str">
        <f>HYPERLINK("http://141.218.60.56/~jnz1568/getInfo.php?workbook=06_01.xlsx&amp;sheet=A0&amp;row=8&amp;col=7&amp;number==&amp;sourceID=11","=")</f>
        <v>=</v>
      </c>
      <c r="H8" s="4" t="str">
        <f>HYPERLINK("http://141.218.60.56/~jnz1568/getInfo.php?workbook=06_01.xlsx&amp;sheet=A0&amp;row=8&amp;col=8&amp;number=53.874&amp;sourceID=11","53.874")</f>
        <v>53.874</v>
      </c>
      <c r="I8" s="4" t="str">
        <f>HYPERLINK("http://141.218.60.56/~jnz1568/getInfo.php?workbook=06_01.xlsx&amp;sheet=A0&amp;row=8&amp;col=9&amp;number=&amp;sourceID=11","")</f>
        <v/>
      </c>
      <c r="J8" s="4" t="str">
        <f>HYPERLINK("http://141.218.60.56/~jnz1568/getInfo.php?workbook=06_01.xlsx&amp;sheet=A0&amp;row=8&amp;col=10&amp;number=&amp;sourceID=11","")</f>
        <v/>
      </c>
      <c r="K8" s="4" t="str">
        <f>HYPERLINK("http://141.218.60.56/~jnz1568/getInfo.php?workbook=06_01.xlsx&amp;sheet=A0&amp;row=8&amp;col=11&amp;number=&amp;sourceID=11","")</f>
        <v/>
      </c>
      <c r="L8" s="4" t="str">
        <f>HYPERLINK("http://141.218.60.56/~jnz1568/getInfo.php?workbook=06_01.xlsx&amp;sheet=A0&amp;row=8&amp;col=12&amp;number=1.34e-13&amp;sourceID=11","1.34e-13")</f>
        <v>1.34e-13</v>
      </c>
      <c r="M8" s="4" t="str">
        <f>HYPERLINK("http://141.218.60.56/~jnz1568/getInfo.php?workbook=06_01.xlsx&amp;sheet=A0&amp;row=8&amp;col=13&amp;number=&amp;sourceID=11","")</f>
        <v/>
      </c>
      <c r="N8" s="4" t="str">
        <f>HYPERLINK("http://141.218.60.56/~jnz1568/getInfo.php?workbook=06_01.xlsx&amp;sheet=A0&amp;row=8&amp;col=14&amp;number=53.877&amp;sourceID=12","53.877")</f>
        <v>53.877</v>
      </c>
      <c r="O8" s="4" t="str">
        <f>HYPERLINK("http://141.218.60.56/~jnz1568/getInfo.php?workbook=06_01.xlsx&amp;sheet=A0&amp;row=8&amp;col=15&amp;number=53.877&amp;sourceID=12","53.877")</f>
        <v>53.877</v>
      </c>
      <c r="P8" s="4" t="str">
        <f>HYPERLINK("http://141.218.60.56/~jnz1568/getInfo.php?workbook=06_01.xlsx&amp;sheet=A0&amp;row=8&amp;col=16&amp;number=&amp;sourceID=12","")</f>
        <v/>
      </c>
      <c r="Q8" s="4" t="str">
        <f>HYPERLINK("http://141.218.60.56/~jnz1568/getInfo.php?workbook=06_01.xlsx&amp;sheet=A0&amp;row=8&amp;col=17&amp;number=&amp;sourceID=12","")</f>
        <v/>
      </c>
      <c r="R8" s="4" t="str">
        <f>HYPERLINK("http://141.218.60.56/~jnz1568/getInfo.php?workbook=06_01.xlsx&amp;sheet=A0&amp;row=8&amp;col=18&amp;number=&amp;sourceID=12","")</f>
        <v/>
      </c>
      <c r="S8" s="4" t="str">
        <f>HYPERLINK("http://141.218.60.56/~jnz1568/getInfo.php?workbook=06_01.xlsx&amp;sheet=A0&amp;row=8&amp;col=19&amp;number=1.34e-13&amp;sourceID=12","1.34e-13")</f>
        <v>1.34e-13</v>
      </c>
      <c r="T8" s="4" t="str">
        <f>HYPERLINK("http://141.218.60.56/~jnz1568/getInfo.php?workbook=06_01.xlsx&amp;sheet=A0&amp;row=8&amp;col=20&amp;number=&amp;sourceID=12","")</f>
        <v/>
      </c>
      <c r="U8" s="4" t="str">
        <f>HYPERLINK("http://141.218.60.56/~jnz1568/getInfo.php?workbook=06_01.xlsx&amp;sheet=A0&amp;row=8&amp;col=21&amp;number==&amp;sourceID=13","=")</f>
        <v>=</v>
      </c>
      <c r="V8" s="4" t="str">
        <f>HYPERLINK("http://141.218.60.56/~jnz1568/getInfo.php?workbook=06_01.xlsx&amp;sheet=A0&amp;row=8&amp;col=22&amp;number=53.3&amp;sourceID=13","53.3")</f>
        <v>53.3</v>
      </c>
      <c r="W8" s="4" t="str">
        <f>HYPERLINK("http://141.218.60.56/~jnz1568/getInfo.php?workbook=06_01.xlsx&amp;sheet=A0&amp;row=8&amp;col=23&amp;number=&amp;sourceID=13","")</f>
        <v/>
      </c>
      <c r="X8" s="4" t="str">
        <f>HYPERLINK("http://141.218.60.56/~jnz1568/getInfo.php?workbook=06_01.xlsx&amp;sheet=A0&amp;row=8&amp;col=24&amp;number=&amp;sourceID=13","")</f>
        <v/>
      </c>
      <c r="Y8" s="4" t="str">
        <f>HYPERLINK("http://141.218.60.56/~jnz1568/getInfo.php?workbook=06_01.xlsx&amp;sheet=A0&amp;row=8&amp;col=25&amp;number=&amp;sourceID=13","")</f>
        <v/>
      </c>
      <c r="Z8" s="4" t="str">
        <f>HYPERLINK("http://141.218.60.56/~jnz1568/getInfo.php?workbook=06_01.xlsx&amp;sheet=A0&amp;row=8&amp;col=26&amp;number=&amp;sourceID=13","")</f>
        <v/>
      </c>
    </row>
    <row r="9" spans="1:26">
      <c r="A9" s="3">
        <v>6</v>
      </c>
      <c r="B9" s="3">
        <v>1</v>
      </c>
      <c r="C9" s="3">
        <v>5</v>
      </c>
      <c r="D9" s="3">
        <v>1</v>
      </c>
      <c r="E9" s="3">
        <f>((1/(INDEX(E0!J$4:J$28,C9,1)-INDEX(E0!J$4:J$28,D9,1))))*100000000</f>
        <v>0</v>
      </c>
      <c r="F9" s="4" t="str">
        <f>HYPERLINK("http://141.218.60.56/~jnz1568/getInfo.php?workbook=06_01.xlsx&amp;sheet=A0&amp;row=9&amp;col=6&amp;number=&amp;sourceID=18","")</f>
        <v/>
      </c>
      <c r="G9" s="4" t="str">
        <f>HYPERLINK("http://141.218.60.56/~jnz1568/getInfo.php?workbook=06_01.xlsx&amp;sheet=A0&amp;row=9&amp;col=7&amp;number==&amp;sourceID=11","=")</f>
        <v>=</v>
      </c>
      <c r="H9" s="4" t="str">
        <f>HYPERLINK("http://141.218.60.56/~jnz1568/getInfo.php?workbook=06_01.xlsx&amp;sheet=A0&amp;row=9&amp;col=8&amp;number=216800000000&amp;sourceID=11","216800000000")</f>
        <v>216800000000</v>
      </c>
      <c r="I9" s="4" t="str">
        <f>HYPERLINK("http://141.218.60.56/~jnz1568/getInfo.php?workbook=06_01.xlsx&amp;sheet=A0&amp;row=9&amp;col=9&amp;number=&amp;sourceID=11","")</f>
        <v/>
      </c>
      <c r="J9" s="4" t="str">
        <f>HYPERLINK("http://141.218.60.56/~jnz1568/getInfo.php?workbook=06_01.xlsx&amp;sheet=A0&amp;row=9&amp;col=10&amp;number=&amp;sourceID=11","")</f>
        <v/>
      </c>
      <c r="K9" s="4" t="str">
        <f>HYPERLINK("http://141.218.60.56/~jnz1568/getInfo.php?workbook=06_01.xlsx&amp;sheet=A0&amp;row=9&amp;col=11&amp;number=&amp;sourceID=11","")</f>
        <v/>
      </c>
      <c r="L9" s="4" t="str">
        <f>HYPERLINK("http://141.218.60.56/~jnz1568/getInfo.php?workbook=06_01.xlsx&amp;sheet=A0&amp;row=9&amp;col=12&amp;number=&amp;sourceID=11","")</f>
        <v/>
      </c>
      <c r="M9" s="4" t="str">
        <f>HYPERLINK("http://141.218.60.56/~jnz1568/getInfo.php?workbook=06_01.xlsx&amp;sheet=A0&amp;row=9&amp;col=13&amp;number=&amp;sourceID=11","")</f>
        <v/>
      </c>
      <c r="N9" s="4" t="str">
        <f>HYPERLINK("http://141.218.60.56/~jnz1568/getInfo.php?workbook=06_01.xlsx&amp;sheet=A0&amp;row=9&amp;col=14&amp;number=216810000000&amp;sourceID=12","216810000000")</f>
        <v>216810000000</v>
      </c>
      <c r="O9" s="4" t="str">
        <f>HYPERLINK("http://141.218.60.56/~jnz1568/getInfo.php?workbook=06_01.xlsx&amp;sheet=A0&amp;row=9&amp;col=15&amp;number=216810000000&amp;sourceID=12","216810000000")</f>
        <v>216810000000</v>
      </c>
      <c r="P9" s="4" t="str">
        <f>HYPERLINK("http://141.218.60.56/~jnz1568/getInfo.php?workbook=06_01.xlsx&amp;sheet=A0&amp;row=9&amp;col=16&amp;number=&amp;sourceID=12","")</f>
        <v/>
      </c>
      <c r="Q9" s="4" t="str">
        <f>HYPERLINK("http://141.218.60.56/~jnz1568/getInfo.php?workbook=06_01.xlsx&amp;sheet=A0&amp;row=9&amp;col=17&amp;number=&amp;sourceID=12","")</f>
        <v/>
      </c>
      <c r="R9" s="4" t="str">
        <f>HYPERLINK("http://141.218.60.56/~jnz1568/getInfo.php?workbook=06_01.xlsx&amp;sheet=A0&amp;row=9&amp;col=18&amp;number=&amp;sourceID=12","")</f>
        <v/>
      </c>
      <c r="S9" s="4" t="str">
        <f>HYPERLINK("http://141.218.60.56/~jnz1568/getInfo.php?workbook=06_01.xlsx&amp;sheet=A0&amp;row=9&amp;col=19&amp;number=&amp;sourceID=12","")</f>
        <v/>
      </c>
      <c r="T9" s="4" t="str">
        <f>HYPERLINK("http://141.218.60.56/~jnz1568/getInfo.php?workbook=06_01.xlsx&amp;sheet=A0&amp;row=9&amp;col=20&amp;number=&amp;sourceID=12","")</f>
        <v/>
      </c>
      <c r="U9" s="4" t="str">
        <f>HYPERLINK("http://141.218.60.56/~jnz1568/getInfo.php?workbook=06_01.xlsx&amp;sheet=A0&amp;row=9&amp;col=21&amp;number==&amp;sourceID=13","=")</f>
        <v>=</v>
      </c>
      <c r="V9" s="4" t="str">
        <f>HYPERLINK("http://141.218.60.56/~jnz1568/getInfo.php?workbook=06_01.xlsx&amp;sheet=A0&amp;row=9&amp;col=22&amp;number=216000000000&amp;sourceID=13","216000000000")</f>
        <v>216000000000</v>
      </c>
      <c r="W9" s="4" t="str">
        <f>HYPERLINK("http://141.218.60.56/~jnz1568/getInfo.php?workbook=06_01.xlsx&amp;sheet=A0&amp;row=9&amp;col=23&amp;number=&amp;sourceID=13","")</f>
        <v/>
      </c>
      <c r="X9" s="4" t="str">
        <f>HYPERLINK("http://141.218.60.56/~jnz1568/getInfo.php?workbook=06_01.xlsx&amp;sheet=A0&amp;row=9&amp;col=24&amp;number=&amp;sourceID=13","")</f>
        <v/>
      </c>
      <c r="Y9" s="4" t="str">
        <f>HYPERLINK("http://141.218.60.56/~jnz1568/getInfo.php?workbook=06_01.xlsx&amp;sheet=A0&amp;row=9&amp;col=25&amp;number=&amp;sourceID=13","")</f>
        <v/>
      </c>
      <c r="Z9" s="4" t="str">
        <f>HYPERLINK("http://141.218.60.56/~jnz1568/getInfo.php?workbook=06_01.xlsx&amp;sheet=A0&amp;row=9&amp;col=26&amp;number=&amp;sourceID=13","")</f>
        <v/>
      </c>
    </row>
    <row r="10" spans="1:26">
      <c r="A10" s="3">
        <v>6</v>
      </c>
      <c r="B10" s="3">
        <v>1</v>
      </c>
      <c r="C10" s="3">
        <v>5</v>
      </c>
      <c r="D10" s="3">
        <v>2</v>
      </c>
      <c r="E10" s="3">
        <f>((1/(INDEX(E0!J$4:J$28,C10,1)-INDEX(E0!J$4:J$28,D10,1))))*100000000</f>
        <v>0</v>
      </c>
      <c r="F10" s="4" t="str">
        <f>HYPERLINK("http://141.218.60.56/~jnz1568/getInfo.php?workbook=06_01.xlsx&amp;sheet=A0&amp;row=10&amp;col=6&amp;number=&amp;sourceID=18","")</f>
        <v/>
      </c>
      <c r="G10" s="4" t="str">
        <f>HYPERLINK("http://141.218.60.56/~jnz1568/getInfo.php?workbook=06_01.xlsx&amp;sheet=A0&amp;row=10&amp;col=7&amp;number==&amp;sourceID=11","=")</f>
        <v>=</v>
      </c>
      <c r="H10" s="4" t="str">
        <f>HYPERLINK("http://141.218.60.56/~jnz1568/getInfo.php?workbook=06_01.xlsx&amp;sheet=A0&amp;row=10&amp;col=8&amp;number=&amp;sourceID=11","")</f>
        <v/>
      </c>
      <c r="I10" s="4" t="str">
        <f>HYPERLINK("http://141.218.60.56/~jnz1568/getInfo.php?workbook=06_01.xlsx&amp;sheet=A0&amp;row=10&amp;col=9&amp;number=&amp;sourceID=11","")</f>
        <v/>
      </c>
      <c r="J10" s="4" t="str">
        <f>HYPERLINK("http://141.218.60.56/~jnz1568/getInfo.php?workbook=06_01.xlsx&amp;sheet=A0&amp;row=10&amp;col=10&amp;number=&amp;sourceID=11","")</f>
        <v/>
      </c>
      <c r="K10" s="4" t="str">
        <f>HYPERLINK("http://141.218.60.56/~jnz1568/getInfo.php?workbook=06_01.xlsx&amp;sheet=A0&amp;row=10&amp;col=11&amp;number=0.02976&amp;sourceID=11","0.02976")</f>
        <v>0.02976</v>
      </c>
      <c r="L10" s="4" t="str">
        <f>HYPERLINK("http://141.218.60.56/~jnz1568/getInfo.php?workbook=06_01.xlsx&amp;sheet=A0&amp;row=10&amp;col=12&amp;number=&amp;sourceID=11","")</f>
        <v/>
      </c>
      <c r="M10" s="4" t="str">
        <f>HYPERLINK("http://141.218.60.56/~jnz1568/getInfo.php?workbook=06_01.xlsx&amp;sheet=A0&amp;row=10&amp;col=13&amp;number=&amp;sourceID=11","")</f>
        <v/>
      </c>
      <c r="N10" s="4" t="str">
        <f>HYPERLINK("http://141.218.60.56/~jnz1568/getInfo.php?workbook=06_01.xlsx&amp;sheet=A0&amp;row=10&amp;col=14&amp;number=0.029762&amp;sourceID=12","0.029762")</f>
        <v>0.029762</v>
      </c>
      <c r="O10" s="4" t="str">
        <f>HYPERLINK("http://141.218.60.56/~jnz1568/getInfo.php?workbook=06_01.xlsx&amp;sheet=A0&amp;row=10&amp;col=15&amp;number=&amp;sourceID=12","")</f>
        <v/>
      </c>
      <c r="P10" s="4" t="str">
        <f>HYPERLINK("http://141.218.60.56/~jnz1568/getInfo.php?workbook=06_01.xlsx&amp;sheet=A0&amp;row=10&amp;col=16&amp;number=&amp;sourceID=12","")</f>
        <v/>
      </c>
      <c r="Q10" s="4" t="str">
        <f>HYPERLINK("http://141.218.60.56/~jnz1568/getInfo.php?workbook=06_01.xlsx&amp;sheet=A0&amp;row=10&amp;col=17&amp;number=&amp;sourceID=12","")</f>
        <v/>
      </c>
      <c r="R10" s="4" t="str">
        <f>HYPERLINK("http://141.218.60.56/~jnz1568/getInfo.php?workbook=06_01.xlsx&amp;sheet=A0&amp;row=10&amp;col=18&amp;number=0.029762&amp;sourceID=12","0.029762")</f>
        <v>0.029762</v>
      </c>
      <c r="S10" s="4" t="str">
        <f>HYPERLINK("http://141.218.60.56/~jnz1568/getInfo.php?workbook=06_01.xlsx&amp;sheet=A0&amp;row=10&amp;col=19&amp;number=&amp;sourceID=12","")</f>
        <v/>
      </c>
      <c r="T10" s="4" t="str">
        <f>HYPERLINK("http://141.218.60.56/~jnz1568/getInfo.php?workbook=06_01.xlsx&amp;sheet=A0&amp;row=10&amp;col=20&amp;number=&amp;sourceID=12","")</f>
        <v/>
      </c>
      <c r="U10" s="4" t="str">
        <f>HYPERLINK("http://141.218.60.56/~jnz1568/getInfo.php?workbook=06_01.xlsx&amp;sheet=A0&amp;row=10&amp;col=21&amp;number==&amp;sourceID=13","=")</f>
        <v>=</v>
      </c>
      <c r="V10" s="4" t="str">
        <f>HYPERLINK("http://141.218.60.56/~jnz1568/getInfo.php?workbook=06_01.xlsx&amp;sheet=A0&amp;row=10&amp;col=22&amp;number=&amp;sourceID=13","")</f>
        <v/>
      </c>
      <c r="W10" s="4" t="str">
        <f>HYPERLINK("http://141.218.60.56/~jnz1568/getInfo.php?workbook=06_01.xlsx&amp;sheet=A0&amp;row=10&amp;col=23&amp;number=&amp;sourceID=13","")</f>
        <v/>
      </c>
      <c r="X10" s="4" t="str">
        <f>HYPERLINK("http://141.218.60.56/~jnz1568/getInfo.php?workbook=06_01.xlsx&amp;sheet=A0&amp;row=10&amp;col=24&amp;number=&amp;sourceID=13","")</f>
        <v/>
      </c>
      <c r="Y10" s="4" t="str">
        <f>HYPERLINK("http://141.218.60.56/~jnz1568/getInfo.php?workbook=06_01.xlsx&amp;sheet=A0&amp;row=10&amp;col=25&amp;number=0.0297&amp;sourceID=13","0.0297")</f>
        <v>0.0297</v>
      </c>
      <c r="Z10" s="4" t="str">
        <f>HYPERLINK("http://141.218.60.56/~jnz1568/getInfo.php?workbook=06_01.xlsx&amp;sheet=A0&amp;row=10&amp;col=26&amp;number=&amp;sourceID=13","")</f>
        <v/>
      </c>
    </row>
    <row r="11" spans="1:26">
      <c r="A11" s="3">
        <v>6</v>
      </c>
      <c r="B11" s="3">
        <v>1</v>
      </c>
      <c r="C11" s="3">
        <v>5</v>
      </c>
      <c r="D11" s="3">
        <v>3</v>
      </c>
      <c r="E11" s="3">
        <f>((1/(INDEX(E0!J$4:J$28,C11,1)-INDEX(E0!J$4:J$28,D11,1))))*100000000</f>
        <v>0</v>
      </c>
      <c r="F11" s="4" t="str">
        <f>HYPERLINK("http://141.218.60.56/~jnz1568/getInfo.php?workbook=06_01.xlsx&amp;sheet=A0&amp;row=11&amp;col=6&amp;number=&amp;sourceID=18","")</f>
        <v/>
      </c>
      <c r="G11" s="4" t="str">
        <f>HYPERLINK("http://141.218.60.56/~jnz1568/getInfo.php?workbook=06_01.xlsx&amp;sheet=A0&amp;row=11&amp;col=7&amp;number==&amp;sourceID=11","=")</f>
        <v>=</v>
      </c>
      <c r="H11" s="4" t="str">
        <f>HYPERLINK("http://141.218.60.56/~jnz1568/getInfo.php?workbook=06_01.xlsx&amp;sheet=A0&amp;row=11&amp;col=8&amp;number=29145000000&amp;sourceID=11","29145000000")</f>
        <v>29145000000</v>
      </c>
      <c r="I11" s="4" t="str">
        <f>HYPERLINK("http://141.218.60.56/~jnz1568/getInfo.php?workbook=06_01.xlsx&amp;sheet=A0&amp;row=11&amp;col=9&amp;number=&amp;sourceID=11","")</f>
        <v/>
      </c>
      <c r="J11" s="4" t="str">
        <f>HYPERLINK("http://141.218.60.56/~jnz1568/getInfo.php?workbook=06_01.xlsx&amp;sheet=A0&amp;row=11&amp;col=10&amp;number=&amp;sourceID=11","")</f>
        <v/>
      </c>
      <c r="K11" s="4" t="str">
        <f>HYPERLINK("http://141.218.60.56/~jnz1568/getInfo.php?workbook=06_01.xlsx&amp;sheet=A0&amp;row=11&amp;col=11&amp;number=&amp;sourceID=11","")</f>
        <v/>
      </c>
      <c r="L11" s="4" t="str">
        <f>HYPERLINK("http://141.218.60.56/~jnz1568/getInfo.php?workbook=06_01.xlsx&amp;sheet=A0&amp;row=11&amp;col=12&amp;number=&amp;sourceID=11","")</f>
        <v/>
      </c>
      <c r="M11" s="4" t="str">
        <f>HYPERLINK("http://141.218.60.56/~jnz1568/getInfo.php?workbook=06_01.xlsx&amp;sheet=A0&amp;row=11&amp;col=13&amp;number=&amp;sourceID=11","")</f>
        <v/>
      </c>
      <c r="N11" s="4" t="str">
        <f>HYPERLINK("http://141.218.60.56/~jnz1568/getInfo.php?workbook=06_01.xlsx&amp;sheet=A0&amp;row=11&amp;col=14&amp;number=29146000000&amp;sourceID=12","29146000000")</f>
        <v>29146000000</v>
      </c>
      <c r="O11" s="4" t="str">
        <f>HYPERLINK("http://141.218.60.56/~jnz1568/getInfo.php?workbook=06_01.xlsx&amp;sheet=A0&amp;row=11&amp;col=15&amp;number=29146000000&amp;sourceID=12","29146000000")</f>
        <v>29146000000</v>
      </c>
      <c r="P11" s="4" t="str">
        <f>HYPERLINK("http://141.218.60.56/~jnz1568/getInfo.php?workbook=06_01.xlsx&amp;sheet=A0&amp;row=11&amp;col=16&amp;number=&amp;sourceID=12","")</f>
        <v/>
      </c>
      <c r="Q11" s="4" t="str">
        <f>HYPERLINK("http://141.218.60.56/~jnz1568/getInfo.php?workbook=06_01.xlsx&amp;sheet=A0&amp;row=11&amp;col=17&amp;number=&amp;sourceID=12","")</f>
        <v/>
      </c>
      <c r="R11" s="4" t="str">
        <f>HYPERLINK("http://141.218.60.56/~jnz1568/getInfo.php?workbook=06_01.xlsx&amp;sheet=A0&amp;row=11&amp;col=18&amp;number=&amp;sourceID=12","")</f>
        <v/>
      </c>
      <c r="S11" s="4" t="str">
        <f>HYPERLINK("http://141.218.60.56/~jnz1568/getInfo.php?workbook=06_01.xlsx&amp;sheet=A0&amp;row=11&amp;col=19&amp;number=&amp;sourceID=12","")</f>
        <v/>
      </c>
      <c r="T11" s="4" t="str">
        <f>HYPERLINK("http://141.218.60.56/~jnz1568/getInfo.php?workbook=06_01.xlsx&amp;sheet=A0&amp;row=11&amp;col=20&amp;number=&amp;sourceID=12","")</f>
        <v/>
      </c>
      <c r="U11" s="4" t="str">
        <f>HYPERLINK("http://141.218.60.56/~jnz1568/getInfo.php?workbook=06_01.xlsx&amp;sheet=A0&amp;row=11&amp;col=21&amp;number==&amp;sourceID=13","=")</f>
        <v>=</v>
      </c>
      <c r="V11" s="4" t="str">
        <f>HYPERLINK("http://141.218.60.56/~jnz1568/getInfo.php?workbook=06_01.xlsx&amp;sheet=A0&amp;row=11&amp;col=22&amp;number=29100000000&amp;sourceID=13","29100000000")</f>
        <v>29100000000</v>
      </c>
      <c r="W11" s="4" t="str">
        <f>HYPERLINK("http://141.218.60.56/~jnz1568/getInfo.php?workbook=06_01.xlsx&amp;sheet=A0&amp;row=11&amp;col=23&amp;number=&amp;sourceID=13","")</f>
        <v/>
      </c>
      <c r="X11" s="4" t="str">
        <f>HYPERLINK("http://141.218.60.56/~jnz1568/getInfo.php?workbook=06_01.xlsx&amp;sheet=A0&amp;row=11&amp;col=24&amp;number=&amp;sourceID=13","")</f>
        <v/>
      </c>
      <c r="Y11" s="4" t="str">
        <f>HYPERLINK("http://141.218.60.56/~jnz1568/getInfo.php?workbook=06_01.xlsx&amp;sheet=A0&amp;row=11&amp;col=25&amp;number=&amp;sourceID=13","")</f>
        <v/>
      </c>
      <c r="Z11" s="4" t="str">
        <f>HYPERLINK("http://141.218.60.56/~jnz1568/getInfo.php?workbook=06_01.xlsx&amp;sheet=A0&amp;row=11&amp;col=26&amp;number=&amp;sourceID=13","")</f>
        <v/>
      </c>
    </row>
    <row r="12" spans="1:26">
      <c r="A12" s="3">
        <v>6</v>
      </c>
      <c r="B12" s="3">
        <v>1</v>
      </c>
      <c r="C12" s="3">
        <v>5</v>
      </c>
      <c r="D12" s="3">
        <v>4</v>
      </c>
      <c r="E12" s="3">
        <f>((1/(INDEX(E0!J$4:J$28,C12,1)-INDEX(E0!J$4:J$28,D12,1))))*100000000</f>
        <v>0</v>
      </c>
      <c r="F12" s="4" t="str">
        <f>HYPERLINK("http://141.218.60.56/~jnz1568/getInfo.php?workbook=06_01.xlsx&amp;sheet=A0&amp;row=12&amp;col=6&amp;number=&amp;sourceID=18","")</f>
        <v/>
      </c>
      <c r="G12" s="4" t="str">
        <f>HYPERLINK("http://141.218.60.56/~jnz1568/getInfo.php?workbook=06_01.xlsx&amp;sheet=A0&amp;row=12&amp;col=7&amp;number==&amp;sourceID=11","=")</f>
        <v>=</v>
      </c>
      <c r="H12" s="4" t="str">
        <f>HYPERLINK("http://141.218.60.56/~jnz1568/getInfo.php?workbook=06_01.xlsx&amp;sheet=A0&amp;row=12&amp;col=8&amp;number=&amp;sourceID=11","")</f>
        <v/>
      </c>
      <c r="I12" s="4" t="str">
        <f>HYPERLINK("http://141.218.60.56/~jnz1568/getInfo.php?workbook=06_01.xlsx&amp;sheet=A0&amp;row=12&amp;col=9&amp;number=1116300&amp;sourceID=11","1116300")</f>
        <v>1116300</v>
      </c>
      <c r="J12" s="4" t="str">
        <f>HYPERLINK("http://141.218.60.56/~jnz1568/getInfo.php?workbook=06_01.xlsx&amp;sheet=A0&amp;row=12&amp;col=10&amp;number=&amp;sourceID=11","")</f>
        <v/>
      </c>
      <c r="K12" s="4" t="str">
        <f>HYPERLINK("http://141.218.60.56/~jnz1568/getInfo.php?workbook=06_01.xlsx&amp;sheet=A0&amp;row=12&amp;col=11&amp;number=0.78105&amp;sourceID=11","0.78105")</f>
        <v>0.78105</v>
      </c>
      <c r="L12" s="4" t="str">
        <f>HYPERLINK("http://141.218.60.56/~jnz1568/getInfo.php?workbook=06_01.xlsx&amp;sheet=A0&amp;row=12&amp;col=12&amp;number=&amp;sourceID=11","")</f>
        <v/>
      </c>
      <c r="M12" s="4" t="str">
        <f>HYPERLINK("http://141.218.60.56/~jnz1568/getInfo.php?workbook=06_01.xlsx&amp;sheet=A0&amp;row=12&amp;col=13&amp;number=&amp;sourceID=11","")</f>
        <v/>
      </c>
      <c r="N12" s="4" t="str">
        <f>HYPERLINK("http://141.218.60.56/~jnz1568/getInfo.php?workbook=06_01.xlsx&amp;sheet=A0&amp;row=12&amp;col=14&amp;number=1116400&amp;sourceID=12","1116400")</f>
        <v>1116400</v>
      </c>
      <c r="O12" s="4" t="str">
        <f>HYPERLINK("http://141.218.60.56/~jnz1568/getInfo.php?workbook=06_01.xlsx&amp;sheet=A0&amp;row=12&amp;col=15&amp;number=&amp;sourceID=12","")</f>
        <v/>
      </c>
      <c r="P12" s="4" t="str">
        <f>HYPERLINK("http://141.218.60.56/~jnz1568/getInfo.php?workbook=06_01.xlsx&amp;sheet=A0&amp;row=12&amp;col=16&amp;number=1116400&amp;sourceID=12","1116400")</f>
        <v>1116400</v>
      </c>
      <c r="Q12" s="4" t="str">
        <f>HYPERLINK("http://141.218.60.56/~jnz1568/getInfo.php?workbook=06_01.xlsx&amp;sheet=A0&amp;row=12&amp;col=17&amp;number=&amp;sourceID=12","")</f>
        <v/>
      </c>
      <c r="R12" s="4" t="str">
        <f>HYPERLINK("http://141.218.60.56/~jnz1568/getInfo.php?workbook=06_01.xlsx&amp;sheet=A0&amp;row=12&amp;col=18&amp;number=0.78108&amp;sourceID=12","0.78108")</f>
        <v>0.78108</v>
      </c>
      <c r="S12" s="4" t="str">
        <f>HYPERLINK("http://141.218.60.56/~jnz1568/getInfo.php?workbook=06_01.xlsx&amp;sheet=A0&amp;row=12&amp;col=19&amp;number=&amp;sourceID=12","")</f>
        <v/>
      </c>
      <c r="T12" s="4" t="str">
        <f>HYPERLINK("http://141.218.60.56/~jnz1568/getInfo.php?workbook=06_01.xlsx&amp;sheet=A0&amp;row=12&amp;col=20&amp;number=&amp;sourceID=12","")</f>
        <v/>
      </c>
      <c r="U12" s="4" t="str">
        <f>HYPERLINK("http://141.218.60.56/~jnz1568/getInfo.php?workbook=06_01.xlsx&amp;sheet=A0&amp;row=12&amp;col=21&amp;number==&amp;sourceID=13","=")</f>
        <v>=</v>
      </c>
      <c r="V12" s="4" t="str">
        <f>HYPERLINK("http://141.218.60.56/~jnz1568/getInfo.php?workbook=06_01.xlsx&amp;sheet=A0&amp;row=12&amp;col=22&amp;number=&amp;sourceID=13","")</f>
        <v/>
      </c>
      <c r="W12" s="4" t="str">
        <f>HYPERLINK("http://141.218.60.56/~jnz1568/getInfo.php?workbook=06_01.xlsx&amp;sheet=A0&amp;row=12&amp;col=23&amp;number=1120000&amp;sourceID=13","1120000")</f>
        <v>1120000</v>
      </c>
      <c r="X12" s="4" t="str">
        <f>HYPERLINK("http://141.218.60.56/~jnz1568/getInfo.php?workbook=06_01.xlsx&amp;sheet=A0&amp;row=12&amp;col=24&amp;number=&amp;sourceID=13","")</f>
        <v/>
      </c>
      <c r="Y12" s="4" t="str">
        <f>HYPERLINK("http://141.218.60.56/~jnz1568/getInfo.php?workbook=06_01.xlsx&amp;sheet=A0&amp;row=12&amp;col=25&amp;number=0.855&amp;sourceID=13","0.855")</f>
        <v>0.855</v>
      </c>
      <c r="Z12" s="4" t="str">
        <f>HYPERLINK("http://141.218.60.56/~jnz1568/getInfo.php?workbook=06_01.xlsx&amp;sheet=A0&amp;row=12&amp;col=26&amp;number=&amp;sourceID=13","")</f>
        <v/>
      </c>
    </row>
    <row r="13" spans="1:26">
      <c r="A13" s="3">
        <v>6</v>
      </c>
      <c r="B13" s="3">
        <v>1</v>
      </c>
      <c r="C13" s="3">
        <v>6</v>
      </c>
      <c r="D13" s="3">
        <v>1</v>
      </c>
      <c r="E13" s="3">
        <f>((1/(INDEX(E0!J$4:J$28,C13,1)-INDEX(E0!J$4:J$28,D13,1))))*100000000</f>
        <v>0</v>
      </c>
      <c r="F13" s="4" t="str">
        <f>HYPERLINK("http://141.218.60.56/~jnz1568/getInfo.php?workbook=06_01.xlsx&amp;sheet=A0&amp;row=13&amp;col=6&amp;number=&amp;sourceID=18","")</f>
        <v/>
      </c>
      <c r="G13" s="4" t="str">
        <f>HYPERLINK("http://141.218.60.56/~jnz1568/getInfo.php?workbook=06_01.xlsx&amp;sheet=A0&amp;row=13&amp;col=7&amp;number==&amp;sourceID=11","=")</f>
        <v>=</v>
      </c>
      <c r="H13" s="4" t="str">
        <f>HYPERLINK("http://141.218.60.56/~jnz1568/getInfo.php?workbook=06_01.xlsx&amp;sheet=A0&amp;row=13&amp;col=8&amp;number=&amp;sourceID=11","")</f>
        <v/>
      </c>
      <c r="I13" s="4" t="str">
        <f>HYPERLINK("http://141.218.60.56/~jnz1568/getInfo.php?workbook=06_01.xlsx&amp;sheet=A0&amp;row=13&amp;col=9&amp;number=&amp;sourceID=11","")</f>
        <v/>
      </c>
      <c r="J13" s="4" t="str">
        <f>HYPERLINK("http://141.218.60.56/~jnz1568/getInfo.php?workbook=06_01.xlsx&amp;sheet=A0&amp;row=13&amp;col=10&amp;number=&amp;sourceID=11","")</f>
        <v/>
      </c>
      <c r="K13" s="4" t="str">
        <f>HYPERLINK("http://141.218.60.56/~jnz1568/getInfo.php?workbook=06_01.xlsx&amp;sheet=A0&amp;row=13&amp;col=11&amp;number=67.192&amp;sourceID=11","67.192")</f>
        <v>67.192</v>
      </c>
      <c r="L13" s="4" t="str">
        <f>HYPERLINK("http://141.218.60.56/~jnz1568/getInfo.php?workbook=06_01.xlsx&amp;sheet=A0&amp;row=13&amp;col=12&amp;number=&amp;sourceID=11","")</f>
        <v/>
      </c>
      <c r="M13" s="4" t="str">
        <f>HYPERLINK("http://141.218.60.56/~jnz1568/getInfo.php?workbook=06_01.xlsx&amp;sheet=A0&amp;row=13&amp;col=13&amp;number=&amp;sourceID=11","")</f>
        <v/>
      </c>
      <c r="N13" s="4" t="str">
        <f>HYPERLINK("http://141.218.60.56/~jnz1568/getInfo.php?workbook=06_01.xlsx&amp;sheet=A0&amp;row=13&amp;col=14&amp;number=67.197&amp;sourceID=12","67.197")</f>
        <v>67.197</v>
      </c>
      <c r="O13" s="4" t="str">
        <f>HYPERLINK("http://141.218.60.56/~jnz1568/getInfo.php?workbook=06_01.xlsx&amp;sheet=A0&amp;row=13&amp;col=15&amp;number=&amp;sourceID=12","")</f>
        <v/>
      </c>
      <c r="P13" s="4" t="str">
        <f>HYPERLINK("http://141.218.60.56/~jnz1568/getInfo.php?workbook=06_01.xlsx&amp;sheet=A0&amp;row=13&amp;col=16&amp;number=&amp;sourceID=12","")</f>
        <v/>
      </c>
      <c r="Q13" s="4" t="str">
        <f>HYPERLINK("http://141.218.60.56/~jnz1568/getInfo.php?workbook=06_01.xlsx&amp;sheet=A0&amp;row=13&amp;col=17&amp;number=&amp;sourceID=12","")</f>
        <v/>
      </c>
      <c r="R13" s="4" t="str">
        <f>HYPERLINK("http://141.218.60.56/~jnz1568/getInfo.php?workbook=06_01.xlsx&amp;sheet=A0&amp;row=13&amp;col=18&amp;number=67.197&amp;sourceID=12","67.197")</f>
        <v>67.197</v>
      </c>
      <c r="S13" s="4" t="str">
        <f>HYPERLINK("http://141.218.60.56/~jnz1568/getInfo.php?workbook=06_01.xlsx&amp;sheet=A0&amp;row=13&amp;col=19&amp;number=&amp;sourceID=12","")</f>
        <v/>
      </c>
      <c r="T13" s="4" t="str">
        <f>HYPERLINK("http://141.218.60.56/~jnz1568/getInfo.php?workbook=06_01.xlsx&amp;sheet=A0&amp;row=13&amp;col=20&amp;number=&amp;sourceID=12","")</f>
        <v/>
      </c>
      <c r="U13" s="4" t="str">
        <f>HYPERLINK("http://141.218.60.56/~jnz1568/getInfo.php?workbook=06_01.xlsx&amp;sheet=A0&amp;row=13&amp;col=21&amp;number==&amp;sourceID=13","=")</f>
        <v>=</v>
      </c>
      <c r="V13" s="4" t="str">
        <f>HYPERLINK("http://141.218.60.56/~jnz1568/getInfo.php?workbook=06_01.xlsx&amp;sheet=A0&amp;row=13&amp;col=22&amp;number=&amp;sourceID=13","")</f>
        <v/>
      </c>
      <c r="W13" s="4" t="str">
        <f>HYPERLINK("http://141.218.60.56/~jnz1568/getInfo.php?workbook=06_01.xlsx&amp;sheet=A0&amp;row=13&amp;col=23&amp;number=&amp;sourceID=13","")</f>
        <v/>
      </c>
      <c r="X13" s="4" t="str">
        <f>HYPERLINK("http://141.218.60.56/~jnz1568/getInfo.php?workbook=06_01.xlsx&amp;sheet=A0&amp;row=13&amp;col=24&amp;number=&amp;sourceID=13","")</f>
        <v/>
      </c>
      <c r="Y13" s="4" t="str">
        <f>HYPERLINK("http://141.218.60.56/~jnz1568/getInfo.php?workbook=06_01.xlsx&amp;sheet=A0&amp;row=13&amp;col=25&amp;number=67.7&amp;sourceID=13","67.7")</f>
        <v>67.7</v>
      </c>
      <c r="Z13" s="4" t="str">
        <f>HYPERLINK("http://141.218.60.56/~jnz1568/getInfo.php?workbook=06_01.xlsx&amp;sheet=A0&amp;row=13&amp;col=26&amp;number=&amp;sourceID=13","")</f>
        <v/>
      </c>
    </row>
    <row r="14" spans="1:26">
      <c r="A14" s="3">
        <v>6</v>
      </c>
      <c r="B14" s="3">
        <v>1</v>
      </c>
      <c r="C14" s="3">
        <v>6</v>
      </c>
      <c r="D14" s="3">
        <v>2</v>
      </c>
      <c r="E14" s="3">
        <f>((1/(INDEX(E0!J$4:J$28,C14,1)-INDEX(E0!J$4:J$28,D14,1))))*100000000</f>
        <v>0</v>
      </c>
      <c r="F14" s="4" t="str">
        <f>HYPERLINK("http://141.218.60.56/~jnz1568/getInfo.php?workbook=06_01.xlsx&amp;sheet=A0&amp;row=14&amp;col=6&amp;number=&amp;sourceID=18","")</f>
        <v/>
      </c>
      <c r="G14" s="4" t="str">
        <f>HYPERLINK("http://141.218.60.56/~jnz1568/getInfo.php?workbook=06_01.xlsx&amp;sheet=A0&amp;row=14&amp;col=7&amp;number==&amp;sourceID=11","=")</f>
        <v>=</v>
      </c>
      <c r="H14" s="4" t="str">
        <f>HYPERLINK("http://141.218.60.56/~jnz1568/getInfo.php?workbook=06_01.xlsx&amp;sheet=A0&amp;row=14&amp;col=8&amp;number=2732100000&amp;sourceID=11","2732100000")</f>
        <v>2732100000</v>
      </c>
      <c r="I14" s="4" t="str">
        <f>HYPERLINK("http://141.218.60.56/~jnz1568/getInfo.php?workbook=06_01.xlsx&amp;sheet=A0&amp;row=14&amp;col=9&amp;number=&amp;sourceID=11","")</f>
        <v/>
      </c>
      <c r="J14" s="4" t="str">
        <f>HYPERLINK("http://141.218.60.56/~jnz1568/getInfo.php?workbook=06_01.xlsx&amp;sheet=A0&amp;row=14&amp;col=10&amp;number=&amp;sourceID=11","")</f>
        <v/>
      </c>
      <c r="K14" s="4" t="str">
        <f>HYPERLINK("http://141.218.60.56/~jnz1568/getInfo.php?workbook=06_01.xlsx&amp;sheet=A0&amp;row=14&amp;col=11&amp;number=&amp;sourceID=11","")</f>
        <v/>
      </c>
      <c r="L14" s="4" t="str">
        <f>HYPERLINK("http://141.218.60.56/~jnz1568/getInfo.php?workbook=06_01.xlsx&amp;sheet=A0&amp;row=14&amp;col=12&amp;number=&amp;sourceID=11","")</f>
        <v/>
      </c>
      <c r="M14" s="4" t="str">
        <f>HYPERLINK("http://141.218.60.56/~jnz1568/getInfo.php?workbook=06_01.xlsx&amp;sheet=A0&amp;row=14&amp;col=13&amp;number=&amp;sourceID=11","")</f>
        <v/>
      </c>
      <c r="N14" s="4" t="str">
        <f>HYPERLINK("http://141.218.60.56/~jnz1568/getInfo.php?workbook=06_01.xlsx&amp;sheet=A0&amp;row=14&amp;col=14&amp;number=2732200000&amp;sourceID=12","2732200000")</f>
        <v>2732200000</v>
      </c>
      <c r="O14" s="4" t="str">
        <f>HYPERLINK("http://141.218.60.56/~jnz1568/getInfo.php?workbook=06_01.xlsx&amp;sheet=A0&amp;row=14&amp;col=15&amp;number=2732200000&amp;sourceID=12","2732200000")</f>
        <v>2732200000</v>
      </c>
      <c r="P14" s="4" t="str">
        <f>HYPERLINK("http://141.218.60.56/~jnz1568/getInfo.php?workbook=06_01.xlsx&amp;sheet=A0&amp;row=14&amp;col=16&amp;number=&amp;sourceID=12","")</f>
        <v/>
      </c>
      <c r="Q14" s="4" t="str">
        <f>HYPERLINK("http://141.218.60.56/~jnz1568/getInfo.php?workbook=06_01.xlsx&amp;sheet=A0&amp;row=14&amp;col=17&amp;number=&amp;sourceID=12","")</f>
        <v/>
      </c>
      <c r="R14" s="4" t="str">
        <f>HYPERLINK("http://141.218.60.56/~jnz1568/getInfo.php?workbook=06_01.xlsx&amp;sheet=A0&amp;row=14&amp;col=18&amp;number=&amp;sourceID=12","")</f>
        <v/>
      </c>
      <c r="S14" s="4" t="str">
        <f>HYPERLINK("http://141.218.60.56/~jnz1568/getInfo.php?workbook=06_01.xlsx&amp;sheet=A0&amp;row=14&amp;col=19&amp;number=&amp;sourceID=12","")</f>
        <v/>
      </c>
      <c r="T14" s="4" t="str">
        <f>HYPERLINK("http://141.218.60.56/~jnz1568/getInfo.php?workbook=06_01.xlsx&amp;sheet=A0&amp;row=14&amp;col=20&amp;number=&amp;sourceID=12","")</f>
        <v/>
      </c>
      <c r="U14" s="4" t="str">
        <f>HYPERLINK("http://141.218.60.56/~jnz1568/getInfo.php?workbook=06_01.xlsx&amp;sheet=A0&amp;row=14&amp;col=21&amp;number==&amp;sourceID=13","=")</f>
        <v>=</v>
      </c>
      <c r="V14" s="4" t="str">
        <f>HYPERLINK("http://141.218.60.56/~jnz1568/getInfo.php?workbook=06_01.xlsx&amp;sheet=A0&amp;row=14&amp;col=22&amp;number=2720000000&amp;sourceID=13","2720000000")</f>
        <v>2720000000</v>
      </c>
      <c r="W14" s="4" t="str">
        <f>HYPERLINK("http://141.218.60.56/~jnz1568/getInfo.php?workbook=06_01.xlsx&amp;sheet=A0&amp;row=14&amp;col=23&amp;number=&amp;sourceID=13","")</f>
        <v/>
      </c>
      <c r="X14" s="4" t="str">
        <f>HYPERLINK("http://141.218.60.56/~jnz1568/getInfo.php?workbook=06_01.xlsx&amp;sheet=A0&amp;row=14&amp;col=24&amp;number=&amp;sourceID=13","")</f>
        <v/>
      </c>
      <c r="Y14" s="4" t="str">
        <f>HYPERLINK("http://141.218.60.56/~jnz1568/getInfo.php?workbook=06_01.xlsx&amp;sheet=A0&amp;row=14&amp;col=25&amp;number=&amp;sourceID=13","")</f>
        <v/>
      </c>
      <c r="Z14" s="4" t="str">
        <f>HYPERLINK("http://141.218.60.56/~jnz1568/getInfo.php?workbook=06_01.xlsx&amp;sheet=A0&amp;row=14&amp;col=26&amp;number=&amp;sourceID=13","")</f>
        <v/>
      </c>
    </row>
    <row r="15" spans="1:26">
      <c r="A15" s="3">
        <v>6</v>
      </c>
      <c r="B15" s="3">
        <v>1</v>
      </c>
      <c r="C15" s="3">
        <v>6</v>
      </c>
      <c r="D15" s="3">
        <v>3</v>
      </c>
      <c r="E15" s="3">
        <f>((1/(INDEX(E0!J$4:J$28,C15,1)-INDEX(E0!J$4:J$28,D15,1))))*100000000</f>
        <v>0</v>
      </c>
      <c r="F15" s="4" t="str">
        <f>HYPERLINK("http://141.218.60.56/~jnz1568/getInfo.php?workbook=06_01.xlsx&amp;sheet=A0&amp;row=15&amp;col=6&amp;number=&amp;sourceID=18","")</f>
        <v/>
      </c>
      <c r="G15" s="4" t="str">
        <f>HYPERLINK("http://141.218.60.56/~jnz1568/getInfo.php?workbook=06_01.xlsx&amp;sheet=A0&amp;row=15&amp;col=7&amp;number==&amp;sourceID=11","=")</f>
        <v>=</v>
      </c>
      <c r="H15" s="4" t="str">
        <f>HYPERLINK("http://141.218.60.56/~jnz1568/getInfo.php?workbook=06_01.xlsx&amp;sheet=A0&amp;row=15&amp;col=8&amp;number=&amp;sourceID=11","")</f>
        <v/>
      </c>
      <c r="I15" s="4" t="str">
        <f>HYPERLINK("http://141.218.60.56/~jnz1568/getInfo.php?workbook=06_01.xlsx&amp;sheet=A0&amp;row=15&amp;col=9&amp;number=&amp;sourceID=11","")</f>
        <v/>
      </c>
      <c r="J15" s="4" t="str">
        <f>HYPERLINK("http://141.218.60.56/~jnz1568/getInfo.php?workbook=06_01.xlsx&amp;sheet=A0&amp;row=15&amp;col=10&amp;number=&amp;sourceID=11","")</f>
        <v/>
      </c>
      <c r="K15" s="4" t="str">
        <f>HYPERLINK("http://141.218.60.56/~jnz1568/getInfo.php?workbook=06_01.xlsx&amp;sheet=A0&amp;row=15&amp;col=11&amp;number=0.11388&amp;sourceID=11","0.11388")</f>
        <v>0.11388</v>
      </c>
      <c r="L15" s="4" t="str">
        <f>HYPERLINK("http://141.218.60.56/~jnz1568/getInfo.php?workbook=06_01.xlsx&amp;sheet=A0&amp;row=15&amp;col=12&amp;number=&amp;sourceID=11","")</f>
        <v/>
      </c>
      <c r="M15" s="4" t="str">
        <f>HYPERLINK("http://141.218.60.56/~jnz1568/getInfo.php?workbook=06_01.xlsx&amp;sheet=A0&amp;row=15&amp;col=13&amp;number=&amp;sourceID=11","")</f>
        <v/>
      </c>
      <c r="N15" s="4" t="str">
        <f>HYPERLINK("http://141.218.60.56/~jnz1568/getInfo.php?workbook=06_01.xlsx&amp;sheet=A0&amp;row=15&amp;col=14&amp;number=0.11389&amp;sourceID=12","0.11389")</f>
        <v>0.11389</v>
      </c>
      <c r="O15" s="4" t="str">
        <f>HYPERLINK("http://141.218.60.56/~jnz1568/getInfo.php?workbook=06_01.xlsx&amp;sheet=A0&amp;row=15&amp;col=15&amp;number=&amp;sourceID=12","")</f>
        <v/>
      </c>
      <c r="P15" s="4" t="str">
        <f>HYPERLINK("http://141.218.60.56/~jnz1568/getInfo.php?workbook=06_01.xlsx&amp;sheet=A0&amp;row=15&amp;col=16&amp;number=&amp;sourceID=12","")</f>
        <v/>
      </c>
      <c r="Q15" s="4" t="str">
        <f>HYPERLINK("http://141.218.60.56/~jnz1568/getInfo.php?workbook=06_01.xlsx&amp;sheet=A0&amp;row=15&amp;col=17&amp;number=&amp;sourceID=12","")</f>
        <v/>
      </c>
      <c r="R15" s="4" t="str">
        <f>HYPERLINK("http://141.218.60.56/~jnz1568/getInfo.php?workbook=06_01.xlsx&amp;sheet=A0&amp;row=15&amp;col=18&amp;number=0.11389&amp;sourceID=12","0.11389")</f>
        <v>0.11389</v>
      </c>
      <c r="S15" s="4" t="str">
        <f>HYPERLINK("http://141.218.60.56/~jnz1568/getInfo.php?workbook=06_01.xlsx&amp;sheet=A0&amp;row=15&amp;col=19&amp;number=&amp;sourceID=12","")</f>
        <v/>
      </c>
      <c r="T15" s="4" t="str">
        <f>HYPERLINK("http://141.218.60.56/~jnz1568/getInfo.php?workbook=06_01.xlsx&amp;sheet=A0&amp;row=15&amp;col=20&amp;number=&amp;sourceID=12","")</f>
        <v/>
      </c>
      <c r="U15" s="4" t="str">
        <f>HYPERLINK("http://141.218.60.56/~jnz1568/getInfo.php?workbook=06_01.xlsx&amp;sheet=A0&amp;row=15&amp;col=21&amp;number==&amp;sourceID=13","=")</f>
        <v>=</v>
      </c>
      <c r="V15" s="4" t="str">
        <f>HYPERLINK("http://141.218.60.56/~jnz1568/getInfo.php?workbook=06_01.xlsx&amp;sheet=A0&amp;row=15&amp;col=22&amp;number=&amp;sourceID=13","")</f>
        <v/>
      </c>
      <c r="W15" s="4" t="str">
        <f>HYPERLINK("http://141.218.60.56/~jnz1568/getInfo.php?workbook=06_01.xlsx&amp;sheet=A0&amp;row=15&amp;col=23&amp;number=&amp;sourceID=13","")</f>
        <v/>
      </c>
      <c r="X15" s="4" t="str">
        <f>HYPERLINK("http://141.218.60.56/~jnz1568/getInfo.php?workbook=06_01.xlsx&amp;sheet=A0&amp;row=15&amp;col=24&amp;number=&amp;sourceID=13","")</f>
        <v/>
      </c>
      <c r="Y15" s="4" t="str">
        <f>HYPERLINK("http://141.218.60.56/~jnz1568/getInfo.php?workbook=06_01.xlsx&amp;sheet=A0&amp;row=15&amp;col=25&amp;number=0.113&amp;sourceID=13","0.113")</f>
        <v>0.113</v>
      </c>
      <c r="Z15" s="4" t="str">
        <f>HYPERLINK("http://141.218.60.56/~jnz1568/getInfo.php?workbook=06_01.xlsx&amp;sheet=A0&amp;row=15&amp;col=26&amp;number=&amp;sourceID=13","")</f>
        <v/>
      </c>
    </row>
    <row r="16" spans="1:26">
      <c r="A16" s="3">
        <v>6</v>
      </c>
      <c r="B16" s="3">
        <v>1</v>
      </c>
      <c r="C16" s="3">
        <v>6</v>
      </c>
      <c r="D16" s="3">
        <v>4</v>
      </c>
      <c r="E16" s="3">
        <f>((1/(INDEX(E0!J$4:J$28,C16,1)-INDEX(E0!J$4:J$28,D16,1))))*100000000</f>
        <v>0</v>
      </c>
      <c r="F16" s="4" t="str">
        <f>HYPERLINK("http://141.218.60.56/~jnz1568/getInfo.php?workbook=06_01.xlsx&amp;sheet=A0&amp;row=16&amp;col=6&amp;number=&amp;sourceID=18","")</f>
        <v/>
      </c>
      <c r="G16" s="4" t="str">
        <f>HYPERLINK("http://141.218.60.56/~jnz1568/getInfo.php?workbook=06_01.xlsx&amp;sheet=A0&amp;row=16&amp;col=7&amp;number==&amp;sourceID=11","=")</f>
        <v>=</v>
      </c>
      <c r="H16" s="4" t="str">
        <f>HYPERLINK("http://141.218.60.56/~jnz1568/getInfo.php?workbook=06_01.xlsx&amp;sheet=A0&amp;row=16&amp;col=8&amp;number=5486000000&amp;sourceID=11","5486000000")</f>
        <v>5486000000</v>
      </c>
      <c r="I16" s="4" t="str">
        <f>HYPERLINK("http://141.218.60.56/~jnz1568/getInfo.php?workbook=06_01.xlsx&amp;sheet=A0&amp;row=16&amp;col=9&amp;number=&amp;sourceID=11","")</f>
        <v/>
      </c>
      <c r="J16" s="4" t="str">
        <f>HYPERLINK("http://141.218.60.56/~jnz1568/getInfo.php?workbook=06_01.xlsx&amp;sheet=A0&amp;row=16&amp;col=10&amp;number=&amp;sourceID=11","")</f>
        <v/>
      </c>
      <c r="K16" s="4" t="str">
        <f>HYPERLINK("http://141.218.60.56/~jnz1568/getInfo.php?workbook=06_01.xlsx&amp;sheet=A0&amp;row=16&amp;col=11&amp;number=&amp;sourceID=11","")</f>
        <v/>
      </c>
      <c r="L16" s="4" t="str">
        <f>HYPERLINK("http://141.218.60.56/~jnz1568/getInfo.php?workbook=06_01.xlsx&amp;sheet=A0&amp;row=16&amp;col=12&amp;number=18.231&amp;sourceID=11","18.231")</f>
        <v>18.231</v>
      </c>
      <c r="M16" s="4" t="str">
        <f>HYPERLINK("http://141.218.60.56/~jnz1568/getInfo.php?workbook=06_01.xlsx&amp;sheet=A0&amp;row=16&amp;col=13&amp;number=&amp;sourceID=11","")</f>
        <v/>
      </c>
      <c r="N16" s="4" t="str">
        <f>HYPERLINK("http://141.218.60.56/~jnz1568/getInfo.php?workbook=06_01.xlsx&amp;sheet=A0&amp;row=16&amp;col=14&amp;number=5486300000&amp;sourceID=12","5486300000")</f>
        <v>5486300000</v>
      </c>
      <c r="O16" s="4" t="str">
        <f>HYPERLINK("http://141.218.60.56/~jnz1568/getInfo.php?workbook=06_01.xlsx&amp;sheet=A0&amp;row=16&amp;col=15&amp;number=5486300000&amp;sourceID=12","5486300000")</f>
        <v>5486300000</v>
      </c>
      <c r="P16" s="4" t="str">
        <f>HYPERLINK("http://141.218.60.56/~jnz1568/getInfo.php?workbook=06_01.xlsx&amp;sheet=A0&amp;row=16&amp;col=16&amp;number=&amp;sourceID=12","")</f>
        <v/>
      </c>
      <c r="Q16" s="4" t="str">
        <f>HYPERLINK("http://141.218.60.56/~jnz1568/getInfo.php?workbook=06_01.xlsx&amp;sheet=A0&amp;row=16&amp;col=17&amp;number=&amp;sourceID=12","")</f>
        <v/>
      </c>
      <c r="R16" s="4" t="str">
        <f>HYPERLINK("http://141.218.60.56/~jnz1568/getInfo.php?workbook=06_01.xlsx&amp;sheet=A0&amp;row=16&amp;col=18&amp;number=&amp;sourceID=12","")</f>
        <v/>
      </c>
      <c r="S16" s="4" t="str">
        <f>HYPERLINK("http://141.218.60.56/~jnz1568/getInfo.php?workbook=06_01.xlsx&amp;sheet=A0&amp;row=16&amp;col=19&amp;number=18.232&amp;sourceID=12","18.232")</f>
        <v>18.232</v>
      </c>
      <c r="T16" s="4" t="str">
        <f>HYPERLINK("http://141.218.60.56/~jnz1568/getInfo.php?workbook=06_01.xlsx&amp;sheet=A0&amp;row=16&amp;col=20&amp;number=&amp;sourceID=12","")</f>
        <v/>
      </c>
      <c r="U16" s="4" t="str">
        <f>HYPERLINK("http://141.218.60.56/~jnz1568/getInfo.php?workbook=06_01.xlsx&amp;sheet=A0&amp;row=16&amp;col=21&amp;number==&amp;sourceID=13","=")</f>
        <v>=</v>
      </c>
      <c r="V16" s="4" t="str">
        <f>HYPERLINK("http://141.218.60.56/~jnz1568/getInfo.php?workbook=06_01.xlsx&amp;sheet=A0&amp;row=16&amp;col=22&amp;number=5470000000&amp;sourceID=13","5470000000")</f>
        <v>5470000000</v>
      </c>
      <c r="W16" s="4" t="str">
        <f>HYPERLINK("http://141.218.60.56/~jnz1568/getInfo.php?workbook=06_01.xlsx&amp;sheet=A0&amp;row=16&amp;col=23&amp;number=&amp;sourceID=13","")</f>
        <v/>
      </c>
      <c r="X16" s="4" t="str">
        <f>HYPERLINK("http://141.218.60.56/~jnz1568/getInfo.php?workbook=06_01.xlsx&amp;sheet=A0&amp;row=16&amp;col=24&amp;number=&amp;sourceID=13","")</f>
        <v/>
      </c>
      <c r="Y16" s="4" t="str">
        <f>HYPERLINK("http://141.218.60.56/~jnz1568/getInfo.php?workbook=06_01.xlsx&amp;sheet=A0&amp;row=16&amp;col=25&amp;number=&amp;sourceID=13","")</f>
        <v/>
      </c>
      <c r="Z16" s="4" t="str">
        <f>HYPERLINK("http://141.218.60.56/~jnz1568/getInfo.php?workbook=06_01.xlsx&amp;sheet=A0&amp;row=16&amp;col=26&amp;number=&amp;sourceID=13","")</f>
        <v/>
      </c>
    </row>
    <row r="17" spans="1:26">
      <c r="A17" s="3">
        <v>6</v>
      </c>
      <c r="B17" s="3">
        <v>1</v>
      </c>
      <c r="C17" s="3">
        <v>7</v>
      </c>
      <c r="D17" s="3">
        <v>1</v>
      </c>
      <c r="E17" s="3">
        <f>((1/(INDEX(E0!J$4:J$28,C17,1)-INDEX(E0!J$4:J$28,D17,1))))*100000000</f>
        <v>0</v>
      </c>
      <c r="F17" s="4" t="str">
        <f>HYPERLINK("http://141.218.60.56/~jnz1568/getInfo.php?workbook=06_01.xlsx&amp;sheet=A0&amp;row=17&amp;col=6&amp;number=&amp;sourceID=18","")</f>
        <v/>
      </c>
      <c r="G17" s="4" t="str">
        <f>HYPERLINK("http://141.218.60.56/~jnz1568/getInfo.php?workbook=06_01.xlsx&amp;sheet=A0&amp;row=17&amp;col=7&amp;number==&amp;sourceID=11","=")</f>
        <v>=</v>
      </c>
      <c r="H17" s="4" t="str">
        <f>HYPERLINK("http://141.218.60.56/~jnz1568/getInfo.php?workbook=06_01.xlsx&amp;sheet=A0&amp;row=17&amp;col=8&amp;number=&amp;sourceID=11","")</f>
        <v/>
      </c>
      <c r="I17" s="4" t="str">
        <f>HYPERLINK("http://141.218.60.56/~jnz1568/getInfo.php?workbook=06_01.xlsx&amp;sheet=A0&amp;row=17&amp;col=9&amp;number=27700000&amp;sourceID=11","27700000")</f>
        <v>27700000</v>
      </c>
      <c r="J17" s="4" t="str">
        <f>HYPERLINK("http://141.218.60.56/~jnz1568/getInfo.php?workbook=06_01.xlsx&amp;sheet=A0&amp;row=17&amp;col=10&amp;number=&amp;sourceID=11","")</f>
        <v/>
      </c>
      <c r="K17" s="4" t="str">
        <f>HYPERLINK("http://141.218.60.56/~jnz1568/getInfo.php?workbook=06_01.xlsx&amp;sheet=A0&amp;row=17&amp;col=11&amp;number=0.41938&amp;sourceID=11","0.41938")</f>
        <v>0.41938</v>
      </c>
      <c r="L17" s="4" t="str">
        <f>HYPERLINK("http://141.218.60.56/~jnz1568/getInfo.php?workbook=06_01.xlsx&amp;sheet=A0&amp;row=17&amp;col=12&amp;number=&amp;sourceID=11","")</f>
        <v/>
      </c>
      <c r="M17" s="4" t="str">
        <f>HYPERLINK("http://141.218.60.56/~jnz1568/getInfo.php?workbook=06_01.xlsx&amp;sheet=A0&amp;row=17&amp;col=13&amp;number=&amp;sourceID=11","")</f>
        <v/>
      </c>
      <c r="N17" s="4" t="str">
        <f>HYPERLINK("http://141.218.60.56/~jnz1568/getInfo.php?workbook=06_01.xlsx&amp;sheet=A0&amp;row=17&amp;col=14&amp;number=27701000&amp;sourceID=12","27701000")</f>
        <v>27701000</v>
      </c>
      <c r="O17" s="4" t="str">
        <f>HYPERLINK("http://141.218.60.56/~jnz1568/getInfo.php?workbook=06_01.xlsx&amp;sheet=A0&amp;row=17&amp;col=15&amp;number=&amp;sourceID=12","")</f>
        <v/>
      </c>
      <c r="P17" s="4" t="str">
        <f>HYPERLINK("http://141.218.60.56/~jnz1568/getInfo.php?workbook=06_01.xlsx&amp;sheet=A0&amp;row=17&amp;col=16&amp;number=27701000&amp;sourceID=12","27701000")</f>
        <v>27701000</v>
      </c>
      <c r="Q17" s="4" t="str">
        <f>HYPERLINK("http://141.218.60.56/~jnz1568/getInfo.php?workbook=06_01.xlsx&amp;sheet=A0&amp;row=17&amp;col=17&amp;number=&amp;sourceID=12","")</f>
        <v/>
      </c>
      <c r="R17" s="4" t="str">
        <f>HYPERLINK("http://141.218.60.56/~jnz1568/getInfo.php?workbook=06_01.xlsx&amp;sheet=A0&amp;row=17&amp;col=18&amp;number=0.41937&amp;sourceID=12","0.41937")</f>
        <v>0.41937</v>
      </c>
      <c r="S17" s="4" t="str">
        <f>HYPERLINK("http://141.218.60.56/~jnz1568/getInfo.php?workbook=06_01.xlsx&amp;sheet=A0&amp;row=17&amp;col=19&amp;number=&amp;sourceID=12","")</f>
        <v/>
      </c>
      <c r="T17" s="4" t="str">
        <f>HYPERLINK("http://141.218.60.56/~jnz1568/getInfo.php?workbook=06_01.xlsx&amp;sheet=A0&amp;row=17&amp;col=20&amp;number=&amp;sourceID=12","")</f>
        <v/>
      </c>
      <c r="U17" s="4" t="str">
        <f>HYPERLINK("http://141.218.60.56/~jnz1568/getInfo.php?workbook=06_01.xlsx&amp;sheet=A0&amp;row=17&amp;col=21&amp;number==&amp;sourceID=13","=")</f>
        <v>=</v>
      </c>
      <c r="V17" s="4" t="str">
        <f>HYPERLINK("http://141.218.60.56/~jnz1568/getInfo.php?workbook=06_01.xlsx&amp;sheet=A0&amp;row=17&amp;col=22&amp;number=&amp;sourceID=13","")</f>
        <v/>
      </c>
      <c r="W17" s="4" t="str">
        <f>HYPERLINK("http://141.218.60.56/~jnz1568/getInfo.php?workbook=06_01.xlsx&amp;sheet=A0&amp;row=17&amp;col=23&amp;number=27800000&amp;sourceID=13","27800000")</f>
        <v>27800000</v>
      </c>
      <c r="X17" s="4" t="str">
        <f>HYPERLINK("http://141.218.60.56/~jnz1568/getInfo.php?workbook=06_01.xlsx&amp;sheet=A0&amp;row=17&amp;col=24&amp;number=&amp;sourceID=13","")</f>
        <v/>
      </c>
      <c r="Y17" s="4" t="str">
        <f>HYPERLINK("http://141.218.60.56/~jnz1568/getInfo.php?workbook=06_01.xlsx&amp;sheet=A0&amp;row=17&amp;col=25&amp;number=1.16&amp;sourceID=13","1.16")</f>
        <v>1.16</v>
      </c>
      <c r="Z17" s="4" t="str">
        <f>HYPERLINK("http://141.218.60.56/~jnz1568/getInfo.php?workbook=06_01.xlsx&amp;sheet=A0&amp;row=17&amp;col=26&amp;number=&amp;sourceID=13","")</f>
        <v/>
      </c>
    </row>
    <row r="18" spans="1:26">
      <c r="A18" s="3">
        <v>6</v>
      </c>
      <c r="B18" s="3">
        <v>1</v>
      </c>
      <c r="C18" s="3">
        <v>7</v>
      </c>
      <c r="D18" s="3">
        <v>2</v>
      </c>
      <c r="E18" s="3">
        <f>((1/(INDEX(E0!J$4:J$28,C18,1)-INDEX(E0!J$4:J$28,D18,1))))*100000000</f>
        <v>0</v>
      </c>
      <c r="F18" s="4" t="str">
        <f>HYPERLINK("http://141.218.60.56/~jnz1568/getInfo.php?workbook=06_01.xlsx&amp;sheet=A0&amp;row=18&amp;col=6&amp;number=&amp;sourceID=18","")</f>
        <v/>
      </c>
      <c r="G18" s="4" t="str">
        <f>HYPERLINK("http://141.218.60.56/~jnz1568/getInfo.php?workbook=06_01.xlsx&amp;sheet=A0&amp;row=18&amp;col=7&amp;number==&amp;sourceID=11","=")</f>
        <v>=</v>
      </c>
      <c r="H18" s="4" t="str">
        <f>HYPERLINK("http://141.218.60.56/~jnz1568/getInfo.php?workbook=06_01.xlsx&amp;sheet=A0&amp;row=18&amp;col=8&amp;number=69914000000&amp;sourceID=11","69914000000")</f>
        <v>69914000000</v>
      </c>
      <c r="I18" s="4" t="str">
        <f>HYPERLINK("http://141.218.60.56/~jnz1568/getInfo.php?workbook=06_01.xlsx&amp;sheet=A0&amp;row=18&amp;col=9&amp;number=&amp;sourceID=11","")</f>
        <v/>
      </c>
      <c r="J18" s="4" t="str">
        <f>HYPERLINK("http://141.218.60.56/~jnz1568/getInfo.php?workbook=06_01.xlsx&amp;sheet=A0&amp;row=18&amp;col=10&amp;number=&amp;sourceID=11","")</f>
        <v/>
      </c>
      <c r="K18" s="4" t="str">
        <f>HYPERLINK("http://141.218.60.56/~jnz1568/getInfo.php?workbook=06_01.xlsx&amp;sheet=A0&amp;row=18&amp;col=11&amp;number=&amp;sourceID=11","")</f>
        <v/>
      </c>
      <c r="L18" s="4" t="str">
        <f>HYPERLINK("http://141.218.60.56/~jnz1568/getInfo.php?workbook=06_01.xlsx&amp;sheet=A0&amp;row=18&amp;col=12&amp;number=9.3069&amp;sourceID=11","9.3069")</f>
        <v>9.3069</v>
      </c>
      <c r="M18" s="4" t="str">
        <f>HYPERLINK("http://141.218.60.56/~jnz1568/getInfo.php?workbook=06_01.xlsx&amp;sheet=A0&amp;row=18&amp;col=13&amp;number=&amp;sourceID=11","")</f>
        <v/>
      </c>
      <c r="N18" s="4" t="str">
        <f>HYPERLINK("http://141.218.60.56/~jnz1568/getInfo.php?workbook=06_01.xlsx&amp;sheet=A0&amp;row=18&amp;col=14&amp;number=69917000000&amp;sourceID=12","69917000000")</f>
        <v>69917000000</v>
      </c>
      <c r="O18" s="4" t="str">
        <f>HYPERLINK("http://141.218.60.56/~jnz1568/getInfo.php?workbook=06_01.xlsx&amp;sheet=A0&amp;row=18&amp;col=15&amp;number=69917000000&amp;sourceID=12","69917000000")</f>
        <v>69917000000</v>
      </c>
      <c r="P18" s="4" t="str">
        <f>HYPERLINK("http://141.218.60.56/~jnz1568/getInfo.php?workbook=06_01.xlsx&amp;sheet=A0&amp;row=18&amp;col=16&amp;number=&amp;sourceID=12","")</f>
        <v/>
      </c>
      <c r="Q18" s="4" t="str">
        <f>HYPERLINK("http://141.218.60.56/~jnz1568/getInfo.php?workbook=06_01.xlsx&amp;sheet=A0&amp;row=18&amp;col=17&amp;number=&amp;sourceID=12","")</f>
        <v/>
      </c>
      <c r="R18" s="4" t="str">
        <f>HYPERLINK("http://141.218.60.56/~jnz1568/getInfo.php?workbook=06_01.xlsx&amp;sheet=A0&amp;row=18&amp;col=18&amp;number=&amp;sourceID=12","")</f>
        <v/>
      </c>
      <c r="S18" s="4" t="str">
        <f>HYPERLINK("http://141.218.60.56/~jnz1568/getInfo.php?workbook=06_01.xlsx&amp;sheet=A0&amp;row=18&amp;col=19&amp;number=9.3073&amp;sourceID=12","9.3073")</f>
        <v>9.3073</v>
      </c>
      <c r="T18" s="4" t="str">
        <f>HYPERLINK("http://141.218.60.56/~jnz1568/getInfo.php?workbook=06_01.xlsx&amp;sheet=A0&amp;row=18&amp;col=20&amp;number=&amp;sourceID=12","")</f>
        <v/>
      </c>
      <c r="U18" s="4" t="str">
        <f>HYPERLINK("http://141.218.60.56/~jnz1568/getInfo.php?workbook=06_01.xlsx&amp;sheet=A0&amp;row=18&amp;col=21&amp;number==&amp;sourceID=13","=")</f>
        <v>=</v>
      </c>
      <c r="V18" s="4" t="str">
        <f>HYPERLINK("http://141.218.60.56/~jnz1568/getInfo.php?workbook=06_01.xlsx&amp;sheet=A0&amp;row=18&amp;col=22&amp;number=69900000000&amp;sourceID=13","69900000000")</f>
        <v>69900000000</v>
      </c>
      <c r="W18" s="4" t="str">
        <f>HYPERLINK("http://141.218.60.56/~jnz1568/getInfo.php?workbook=06_01.xlsx&amp;sheet=A0&amp;row=18&amp;col=23&amp;number=&amp;sourceID=13","")</f>
        <v/>
      </c>
      <c r="X18" s="4" t="str">
        <f>HYPERLINK("http://141.218.60.56/~jnz1568/getInfo.php?workbook=06_01.xlsx&amp;sheet=A0&amp;row=18&amp;col=24&amp;number=&amp;sourceID=13","")</f>
        <v/>
      </c>
      <c r="Y18" s="4" t="str">
        <f>HYPERLINK("http://141.218.60.56/~jnz1568/getInfo.php?workbook=06_01.xlsx&amp;sheet=A0&amp;row=18&amp;col=25&amp;number=&amp;sourceID=13","")</f>
        <v/>
      </c>
      <c r="Z18" s="4" t="str">
        <f>HYPERLINK("http://141.218.60.56/~jnz1568/getInfo.php?workbook=06_01.xlsx&amp;sheet=A0&amp;row=18&amp;col=26&amp;number=&amp;sourceID=13","")</f>
        <v/>
      </c>
    </row>
    <row r="19" spans="1:26">
      <c r="A19" s="3">
        <v>6</v>
      </c>
      <c r="B19" s="3">
        <v>1</v>
      </c>
      <c r="C19" s="3">
        <v>7</v>
      </c>
      <c r="D19" s="3">
        <v>3</v>
      </c>
      <c r="E19" s="3">
        <f>((1/(INDEX(E0!J$4:J$28,C19,1)-INDEX(E0!J$4:J$28,D19,1))))*100000000</f>
        <v>0</v>
      </c>
      <c r="F19" s="4" t="str">
        <f>HYPERLINK("http://141.218.60.56/~jnz1568/getInfo.php?workbook=06_01.xlsx&amp;sheet=A0&amp;row=19&amp;col=6&amp;number=&amp;sourceID=18","")</f>
        <v/>
      </c>
      <c r="G19" s="4" t="str">
        <f>HYPERLINK("http://141.218.60.56/~jnz1568/getInfo.php?workbook=06_01.xlsx&amp;sheet=A0&amp;row=19&amp;col=7&amp;number==&amp;sourceID=11","=")</f>
        <v>=</v>
      </c>
      <c r="H19" s="4" t="str">
        <f>HYPERLINK("http://141.218.60.56/~jnz1568/getInfo.php?workbook=06_01.xlsx&amp;sheet=A0&amp;row=19&amp;col=8&amp;number=&amp;sourceID=11","")</f>
        <v/>
      </c>
      <c r="I19" s="4" t="str">
        <f>HYPERLINK("http://141.218.60.56/~jnz1568/getInfo.php?workbook=06_01.xlsx&amp;sheet=A0&amp;row=19&amp;col=9&amp;number=2386000&amp;sourceID=11","2386000")</f>
        <v>2386000</v>
      </c>
      <c r="J19" s="4" t="str">
        <f>HYPERLINK("http://141.218.60.56/~jnz1568/getInfo.php?workbook=06_01.xlsx&amp;sheet=A0&amp;row=19&amp;col=10&amp;number=&amp;sourceID=11","")</f>
        <v/>
      </c>
      <c r="K19" s="4" t="str">
        <f>HYPERLINK("http://141.218.60.56/~jnz1568/getInfo.php?workbook=06_01.xlsx&amp;sheet=A0&amp;row=19&amp;col=11&amp;number=0.0063689&amp;sourceID=11","0.0063689")</f>
        <v>0.0063689</v>
      </c>
      <c r="L19" s="4" t="str">
        <f>HYPERLINK("http://141.218.60.56/~jnz1568/getInfo.php?workbook=06_01.xlsx&amp;sheet=A0&amp;row=19&amp;col=12&amp;number=&amp;sourceID=11","")</f>
        <v/>
      </c>
      <c r="M19" s="4" t="str">
        <f>HYPERLINK("http://141.218.60.56/~jnz1568/getInfo.php?workbook=06_01.xlsx&amp;sheet=A0&amp;row=19&amp;col=13&amp;number=&amp;sourceID=11","")</f>
        <v/>
      </c>
      <c r="N19" s="4" t="str">
        <f>HYPERLINK("http://141.218.60.56/~jnz1568/getInfo.php?workbook=06_01.xlsx&amp;sheet=A0&amp;row=19&amp;col=14&amp;number=2386100&amp;sourceID=12","2386100")</f>
        <v>2386100</v>
      </c>
      <c r="O19" s="4" t="str">
        <f>HYPERLINK("http://141.218.60.56/~jnz1568/getInfo.php?workbook=06_01.xlsx&amp;sheet=A0&amp;row=19&amp;col=15&amp;number=&amp;sourceID=12","")</f>
        <v/>
      </c>
      <c r="P19" s="4" t="str">
        <f>HYPERLINK("http://141.218.60.56/~jnz1568/getInfo.php?workbook=06_01.xlsx&amp;sheet=A0&amp;row=19&amp;col=16&amp;number=2386100&amp;sourceID=12","2386100")</f>
        <v>2386100</v>
      </c>
      <c r="Q19" s="4" t="str">
        <f>HYPERLINK("http://141.218.60.56/~jnz1568/getInfo.php?workbook=06_01.xlsx&amp;sheet=A0&amp;row=19&amp;col=17&amp;number=&amp;sourceID=12","")</f>
        <v/>
      </c>
      <c r="R19" s="4" t="str">
        <f>HYPERLINK("http://141.218.60.56/~jnz1568/getInfo.php?workbook=06_01.xlsx&amp;sheet=A0&amp;row=19&amp;col=18&amp;number=0.0063692&amp;sourceID=12","0.0063692")</f>
        <v>0.0063692</v>
      </c>
      <c r="S19" s="4" t="str">
        <f>HYPERLINK("http://141.218.60.56/~jnz1568/getInfo.php?workbook=06_01.xlsx&amp;sheet=A0&amp;row=19&amp;col=19&amp;number=&amp;sourceID=12","")</f>
        <v/>
      </c>
      <c r="T19" s="4" t="str">
        <f>HYPERLINK("http://141.218.60.56/~jnz1568/getInfo.php?workbook=06_01.xlsx&amp;sheet=A0&amp;row=19&amp;col=20&amp;number=&amp;sourceID=12","")</f>
        <v/>
      </c>
      <c r="U19" s="4" t="str">
        <f>HYPERLINK("http://141.218.60.56/~jnz1568/getInfo.php?workbook=06_01.xlsx&amp;sheet=A0&amp;row=19&amp;col=21&amp;number==&amp;sourceID=13","=")</f>
        <v>=</v>
      </c>
      <c r="V19" s="4" t="str">
        <f>HYPERLINK("http://141.218.60.56/~jnz1568/getInfo.php?workbook=06_01.xlsx&amp;sheet=A0&amp;row=19&amp;col=22&amp;number=&amp;sourceID=13","")</f>
        <v/>
      </c>
      <c r="W19" s="4" t="str">
        <f>HYPERLINK("http://141.218.60.56/~jnz1568/getInfo.php?workbook=06_01.xlsx&amp;sheet=A0&amp;row=19&amp;col=23&amp;number=2380000&amp;sourceID=13","2380000")</f>
        <v>2380000</v>
      </c>
      <c r="X19" s="4" t="str">
        <f>HYPERLINK("http://141.218.60.56/~jnz1568/getInfo.php?workbook=06_01.xlsx&amp;sheet=A0&amp;row=19&amp;col=24&amp;number=&amp;sourceID=13","")</f>
        <v/>
      </c>
      <c r="Y19" s="4" t="str">
        <f>HYPERLINK("http://141.218.60.56/~jnz1568/getInfo.php?workbook=06_01.xlsx&amp;sheet=A0&amp;row=19&amp;col=25&amp;number=0.0123&amp;sourceID=13","0.0123")</f>
        <v>0.0123</v>
      </c>
      <c r="Z19" s="4" t="str">
        <f>HYPERLINK("http://141.218.60.56/~jnz1568/getInfo.php?workbook=06_01.xlsx&amp;sheet=A0&amp;row=19&amp;col=26&amp;number=&amp;sourceID=13","")</f>
        <v/>
      </c>
    </row>
    <row r="20" spans="1:26">
      <c r="A20" s="3">
        <v>6</v>
      </c>
      <c r="B20" s="3">
        <v>1</v>
      </c>
      <c r="C20" s="3">
        <v>7</v>
      </c>
      <c r="D20" s="3">
        <v>4</v>
      </c>
      <c r="E20" s="3">
        <f>((1/(INDEX(E0!J$4:J$28,C20,1)-INDEX(E0!J$4:J$28,D20,1))))*100000000</f>
        <v>0</v>
      </c>
      <c r="F20" s="4" t="str">
        <f>HYPERLINK("http://141.218.60.56/~jnz1568/getInfo.php?workbook=06_01.xlsx&amp;sheet=A0&amp;row=20&amp;col=6&amp;number=&amp;sourceID=18","")</f>
        <v/>
      </c>
      <c r="G20" s="4" t="str">
        <f>HYPERLINK("http://141.218.60.56/~jnz1568/getInfo.php?workbook=06_01.xlsx&amp;sheet=A0&amp;row=20&amp;col=7&amp;number==&amp;sourceID=11","=")</f>
        <v>=</v>
      </c>
      <c r="H20" s="4" t="str">
        <f>HYPERLINK("http://141.218.60.56/~jnz1568/getInfo.php?workbook=06_01.xlsx&amp;sheet=A0&amp;row=20&amp;col=8&amp;number=13970000000&amp;sourceID=11","13970000000")</f>
        <v>13970000000</v>
      </c>
      <c r="I20" s="4" t="str">
        <f>HYPERLINK("http://141.218.60.56/~jnz1568/getInfo.php?workbook=06_01.xlsx&amp;sheet=A0&amp;row=20&amp;col=9&amp;number=&amp;sourceID=11","")</f>
        <v/>
      </c>
      <c r="J20" s="4" t="str">
        <f>HYPERLINK("http://141.218.60.56/~jnz1568/getInfo.php?workbook=06_01.xlsx&amp;sheet=A0&amp;row=20&amp;col=10&amp;number=38.017&amp;sourceID=11","38.017")</f>
        <v>38.017</v>
      </c>
      <c r="K20" s="4" t="str">
        <f>HYPERLINK("http://141.218.60.56/~jnz1568/getInfo.php?workbook=06_01.xlsx&amp;sheet=A0&amp;row=20&amp;col=11&amp;number=&amp;sourceID=11","")</f>
        <v/>
      </c>
      <c r="L20" s="4" t="str">
        <f>HYPERLINK("http://141.218.60.56/~jnz1568/getInfo.php?workbook=06_01.xlsx&amp;sheet=A0&amp;row=20&amp;col=12&amp;number=&amp;sourceID=11","")</f>
        <v/>
      </c>
      <c r="M20" s="4" t="str">
        <f>HYPERLINK("http://141.218.60.56/~jnz1568/getInfo.php?workbook=06_01.xlsx&amp;sheet=A0&amp;row=20&amp;col=13&amp;number=&amp;sourceID=11","")</f>
        <v/>
      </c>
      <c r="N20" s="4" t="str">
        <f>HYPERLINK("http://141.218.60.56/~jnz1568/getInfo.php?workbook=06_01.xlsx&amp;sheet=A0&amp;row=20&amp;col=14&amp;number=13970000000&amp;sourceID=12","13970000000")</f>
        <v>13970000000</v>
      </c>
      <c r="O20" s="4" t="str">
        <f>HYPERLINK("http://141.218.60.56/~jnz1568/getInfo.php?workbook=06_01.xlsx&amp;sheet=A0&amp;row=20&amp;col=15&amp;number=13970000000&amp;sourceID=12","13970000000")</f>
        <v>13970000000</v>
      </c>
      <c r="P20" s="4" t="str">
        <f>HYPERLINK("http://141.218.60.56/~jnz1568/getInfo.php?workbook=06_01.xlsx&amp;sheet=A0&amp;row=20&amp;col=16&amp;number=&amp;sourceID=12","")</f>
        <v/>
      </c>
      <c r="Q20" s="4" t="str">
        <f>HYPERLINK("http://141.218.60.56/~jnz1568/getInfo.php?workbook=06_01.xlsx&amp;sheet=A0&amp;row=20&amp;col=17&amp;number=38.018&amp;sourceID=12","38.018")</f>
        <v>38.018</v>
      </c>
      <c r="R20" s="4" t="str">
        <f>HYPERLINK("http://141.218.60.56/~jnz1568/getInfo.php?workbook=06_01.xlsx&amp;sheet=A0&amp;row=20&amp;col=18&amp;number=&amp;sourceID=12","")</f>
        <v/>
      </c>
      <c r="S20" s="4" t="str">
        <f>HYPERLINK("http://141.218.60.56/~jnz1568/getInfo.php?workbook=06_01.xlsx&amp;sheet=A0&amp;row=20&amp;col=19&amp;number=&amp;sourceID=12","")</f>
        <v/>
      </c>
      <c r="T20" s="4" t="str">
        <f>HYPERLINK("http://141.218.60.56/~jnz1568/getInfo.php?workbook=06_01.xlsx&amp;sheet=A0&amp;row=20&amp;col=20&amp;number=&amp;sourceID=12","")</f>
        <v/>
      </c>
      <c r="U20" s="4" t="str">
        <f>HYPERLINK("http://141.218.60.56/~jnz1568/getInfo.php?workbook=06_01.xlsx&amp;sheet=A0&amp;row=20&amp;col=21&amp;number==&amp;sourceID=13","=")</f>
        <v>=</v>
      </c>
      <c r="V20" s="4" t="str">
        <f>HYPERLINK("http://141.218.60.56/~jnz1568/getInfo.php?workbook=06_01.xlsx&amp;sheet=A0&amp;row=20&amp;col=22&amp;number=14000000000&amp;sourceID=13","14000000000")</f>
        <v>14000000000</v>
      </c>
      <c r="W20" s="4" t="str">
        <f>HYPERLINK("http://141.218.60.56/~jnz1568/getInfo.php?workbook=06_01.xlsx&amp;sheet=A0&amp;row=20&amp;col=23&amp;number=&amp;sourceID=13","")</f>
        <v/>
      </c>
      <c r="X20" s="4" t="str">
        <f>HYPERLINK("http://141.218.60.56/~jnz1568/getInfo.php?workbook=06_01.xlsx&amp;sheet=A0&amp;row=20&amp;col=24&amp;number=&amp;sourceID=13","")</f>
        <v/>
      </c>
      <c r="Y20" s="4" t="str">
        <f>HYPERLINK("http://141.218.60.56/~jnz1568/getInfo.php?workbook=06_01.xlsx&amp;sheet=A0&amp;row=20&amp;col=25&amp;number=&amp;sourceID=13","")</f>
        <v/>
      </c>
      <c r="Z20" s="4" t="str">
        <f>HYPERLINK("http://141.218.60.56/~jnz1568/getInfo.php?workbook=06_01.xlsx&amp;sheet=A0&amp;row=20&amp;col=26&amp;number=&amp;sourceID=13","")</f>
        <v/>
      </c>
    </row>
    <row r="21" spans="1:26">
      <c r="A21" s="3">
        <v>6</v>
      </c>
      <c r="B21" s="3">
        <v>1</v>
      </c>
      <c r="C21" s="3">
        <v>7</v>
      </c>
      <c r="D21" s="3">
        <v>5</v>
      </c>
      <c r="E21" s="3">
        <f>((1/(INDEX(E0!J$4:J$28,C21,1)-INDEX(E0!J$4:J$28,D21,1))))*100000000</f>
        <v>0</v>
      </c>
      <c r="F21" s="4" t="str">
        <f>HYPERLINK("http://141.218.60.56/~jnz1568/getInfo.php?workbook=06_01.xlsx&amp;sheet=A0&amp;row=21&amp;col=6&amp;number=&amp;sourceID=18","")</f>
        <v/>
      </c>
      <c r="G21" s="4" t="str">
        <f>HYPERLINK("http://141.218.60.56/~jnz1568/getInfo.php?workbook=06_01.xlsx&amp;sheet=A0&amp;row=21&amp;col=7&amp;number==&amp;sourceID=11","=")</f>
        <v>=</v>
      </c>
      <c r="H21" s="4" t="str">
        <f>HYPERLINK("http://141.218.60.56/~jnz1568/getInfo.php?workbook=06_01.xlsx&amp;sheet=A0&amp;row=21&amp;col=8&amp;number=5.2578&amp;sourceID=11","5.2578")</f>
        <v>5.2578</v>
      </c>
      <c r="I21" s="4" t="str">
        <f>HYPERLINK("http://141.218.60.56/~jnz1568/getInfo.php?workbook=06_01.xlsx&amp;sheet=A0&amp;row=21&amp;col=9&amp;number=&amp;sourceID=11","")</f>
        <v/>
      </c>
      <c r="J21" s="4" t="str">
        <f>HYPERLINK("http://141.218.60.56/~jnz1568/getInfo.php?workbook=06_01.xlsx&amp;sheet=A0&amp;row=21&amp;col=10&amp;number=&amp;sourceID=11","")</f>
        <v/>
      </c>
      <c r="K21" s="4" t="str">
        <f>HYPERLINK("http://141.218.60.56/~jnz1568/getInfo.php?workbook=06_01.xlsx&amp;sheet=A0&amp;row=21&amp;col=11&amp;number=&amp;sourceID=11","")</f>
        <v/>
      </c>
      <c r="L21" s="4" t="str">
        <f>HYPERLINK("http://141.218.60.56/~jnz1568/getInfo.php?workbook=06_01.xlsx&amp;sheet=A0&amp;row=21&amp;col=12&amp;number=0&amp;sourceID=11","0")</f>
        <v>0</v>
      </c>
      <c r="M21" s="4" t="str">
        <f>HYPERLINK("http://141.218.60.56/~jnz1568/getInfo.php?workbook=06_01.xlsx&amp;sheet=A0&amp;row=21&amp;col=13&amp;number=&amp;sourceID=11","")</f>
        <v/>
      </c>
      <c r="N21" s="4" t="str">
        <f>HYPERLINK("http://141.218.60.56/~jnz1568/getInfo.php?workbook=06_01.xlsx&amp;sheet=A0&amp;row=21&amp;col=14&amp;number=5.258&amp;sourceID=12","5.258")</f>
        <v>5.258</v>
      </c>
      <c r="O21" s="4" t="str">
        <f>HYPERLINK("http://141.218.60.56/~jnz1568/getInfo.php?workbook=06_01.xlsx&amp;sheet=A0&amp;row=21&amp;col=15&amp;number=5.258&amp;sourceID=12","5.258")</f>
        <v>5.258</v>
      </c>
      <c r="P21" s="4" t="str">
        <f>HYPERLINK("http://141.218.60.56/~jnz1568/getInfo.php?workbook=06_01.xlsx&amp;sheet=A0&amp;row=21&amp;col=16&amp;number=&amp;sourceID=12","")</f>
        <v/>
      </c>
      <c r="Q21" s="4" t="str">
        <f>HYPERLINK("http://141.218.60.56/~jnz1568/getInfo.php?workbook=06_01.xlsx&amp;sheet=A0&amp;row=21&amp;col=17&amp;number=&amp;sourceID=12","")</f>
        <v/>
      </c>
      <c r="R21" s="4" t="str">
        <f>HYPERLINK("http://141.218.60.56/~jnz1568/getInfo.php?workbook=06_01.xlsx&amp;sheet=A0&amp;row=21&amp;col=18&amp;number=&amp;sourceID=12","")</f>
        <v/>
      </c>
      <c r="S21" s="4" t="str">
        <f>HYPERLINK("http://141.218.60.56/~jnz1568/getInfo.php?workbook=06_01.xlsx&amp;sheet=A0&amp;row=21&amp;col=19&amp;number=0&amp;sourceID=12","0")</f>
        <v>0</v>
      </c>
      <c r="T21" s="4" t="str">
        <f>HYPERLINK("http://141.218.60.56/~jnz1568/getInfo.php?workbook=06_01.xlsx&amp;sheet=A0&amp;row=21&amp;col=20&amp;number=&amp;sourceID=12","")</f>
        <v/>
      </c>
      <c r="U21" s="4" t="str">
        <f>HYPERLINK("http://141.218.60.56/~jnz1568/getInfo.php?workbook=06_01.xlsx&amp;sheet=A0&amp;row=21&amp;col=21&amp;number==&amp;sourceID=13","=")</f>
        <v>=</v>
      </c>
      <c r="V21" s="4" t="str">
        <f>HYPERLINK("http://141.218.60.56/~jnz1568/getInfo.php?workbook=06_01.xlsx&amp;sheet=A0&amp;row=21&amp;col=22&amp;number=5.22&amp;sourceID=13","5.22")</f>
        <v>5.22</v>
      </c>
      <c r="W21" s="4" t="str">
        <f>HYPERLINK("http://141.218.60.56/~jnz1568/getInfo.php?workbook=06_01.xlsx&amp;sheet=A0&amp;row=21&amp;col=23&amp;number=&amp;sourceID=13","")</f>
        <v/>
      </c>
      <c r="X21" s="4" t="str">
        <f>HYPERLINK("http://141.218.60.56/~jnz1568/getInfo.php?workbook=06_01.xlsx&amp;sheet=A0&amp;row=21&amp;col=24&amp;number=&amp;sourceID=13","")</f>
        <v/>
      </c>
      <c r="Y21" s="4" t="str">
        <f>HYPERLINK("http://141.218.60.56/~jnz1568/getInfo.php?workbook=06_01.xlsx&amp;sheet=A0&amp;row=21&amp;col=25&amp;number=&amp;sourceID=13","")</f>
        <v/>
      </c>
      <c r="Z21" s="4" t="str">
        <f>HYPERLINK("http://141.218.60.56/~jnz1568/getInfo.php?workbook=06_01.xlsx&amp;sheet=A0&amp;row=21&amp;col=26&amp;number=&amp;sourceID=13","")</f>
        <v/>
      </c>
    </row>
    <row r="22" spans="1:26">
      <c r="A22" s="3">
        <v>6</v>
      </c>
      <c r="B22" s="3">
        <v>1</v>
      </c>
      <c r="C22" s="3">
        <v>7</v>
      </c>
      <c r="D22" s="3">
        <v>6</v>
      </c>
      <c r="E22" s="3">
        <f>((1/(INDEX(E0!J$4:J$28,C22,1)-INDEX(E0!J$4:J$28,D22,1))))*100000000</f>
        <v>0</v>
      </c>
      <c r="F22" s="4" t="str">
        <f>HYPERLINK("http://141.218.60.56/~jnz1568/getInfo.php?workbook=06_01.xlsx&amp;sheet=A0&amp;row=22&amp;col=6&amp;number=&amp;sourceID=18","")</f>
        <v/>
      </c>
      <c r="G22" s="4" t="str">
        <f>HYPERLINK("http://141.218.60.56/~jnz1568/getInfo.php?workbook=06_01.xlsx&amp;sheet=A0&amp;row=22&amp;col=7&amp;number==&amp;sourceID=11","=")</f>
        <v>=</v>
      </c>
      <c r="H22" s="4" t="str">
        <f>HYPERLINK("http://141.218.60.56/~jnz1568/getInfo.php?workbook=06_01.xlsx&amp;sheet=A0&amp;row=22&amp;col=8&amp;number=&amp;sourceID=11","")</f>
        <v/>
      </c>
      <c r="I22" s="4" t="str">
        <f>HYPERLINK("http://141.218.60.56/~jnz1568/getInfo.php?workbook=06_01.xlsx&amp;sheet=A0&amp;row=22&amp;col=9&amp;number=1.9089e-11&amp;sourceID=11","1.9089e-11")</f>
        <v>1.9089e-11</v>
      </c>
      <c r="J22" s="4" t="str">
        <f>HYPERLINK("http://141.218.60.56/~jnz1568/getInfo.php?workbook=06_01.xlsx&amp;sheet=A0&amp;row=22&amp;col=10&amp;number=&amp;sourceID=11","")</f>
        <v/>
      </c>
      <c r="K22" s="4" t="str">
        <f>HYPERLINK("http://141.218.60.56/~jnz1568/getInfo.php?workbook=06_01.xlsx&amp;sheet=A0&amp;row=22&amp;col=11&amp;number=7e-15&amp;sourceID=11","7e-15")</f>
        <v>7e-15</v>
      </c>
      <c r="L22" s="4" t="str">
        <f>HYPERLINK("http://141.218.60.56/~jnz1568/getInfo.php?workbook=06_01.xlsx&amp;sheet=A0&amp;row=22&amp;col=12&amp;number=&amp;sourceID=11","")</f>
        <v/>
      </c>
      <c r="M22" s="4" t="str">
        <f>HYPERLINK("http://141.218.60.56/~jnz1568/getInfo.php?workbook=06_01.xlsx&amp;sheet=A0&amp;row=22&amp;col=13&amp;number=&amp;sourceID=11","")</f>
        <v/>
      </c>
      <c r="N22" s="4" t="str">
        <f>HYPERLINK("http://141.218.60.56/~jnz1568/getInfo.php?workbook=06_01.xlsx&amp;sheet=A0&amp;row=22&amp;col=14&amp;number=1.9097e-11&amp;sourceID=12","1.9097e-11")</f>
        <v>1.9097e-11</v>
      </c>
      <c r="O22" s="4" t="str">
        <f>HYPERLINK("http://141.218.60.56/~jnz1568/getInfo.php?workbook=06_01.xlsx&amp;sheet=A0&amp;row=22&amp;col=15&amp;number=&amp;sourceID=12","")</f>
        <v/>
      </c>
      <c r="P22" s="4" t="str">
        <f>HYPERLINK("http://141.218.60.56/~jnz1568/getInfo.php?workbook=06_01.xlsx&amp;sheet=A0&amp;row=22&amp;col=16&amp;number=1.909e-11&amp;sourceID=12","1.909e-11")</f>
        <v>1.909e-11</v>
      </c>
      <c r="Q22" s="4" t="str">
        <f>HYPERLINK("http://141.218.60.56/~jnz1568/getInfo.php?workbook=06_01.xlsx&amp;sheet=A0&amp;row=22&amp;col=17&amp;number=&amp;sourceID=12","")</f>
        <v/>
      </c>
      <c r="R22" s="4" t="str">
        <f>HYPERLINK("http://141.218.60.56/~jnz1568/getInfo.php?workbook=06_01.xlsx&amp;sheet=A0&amp;row=22&amp;col=18&amp;number=7e-15&amp;sourceID=12","7e-15")</f>
        <v>7e-15</v>
      </c>
      <c r="S22" s="4" t="str">
        <f>HYPERLINK("http://141.218.60.56/~jnz1568/getInfo.php?workbook=06_01.xlsx&amp;sheet=A0&amp;row=22&amp;col=19&amp;number=&amp;sourceID=12","")</f>
        <v/>
      </c>
      <c r="T22" s="4" t="str">
        <f>HYPERLINK("http://141.218.60.56/~jnz1568/getInfo.php?workbook=06_01.xlsx&amp;sheet=A0&amp;row=22&amp;col=20&amp;number=&amp;sourceID=12","")</f>
        <v/>
      </c>
      <c r="U22" s="4" t="str">
        <f>HYPERLINK("http://141.218.60.56/~jnz1568/getInfo.php?workbook=06_01.xlsx&amp;sheet=A0&amp;row=22&amp;col=21&amp;number=&amp;sourceID=13","")</f>
        <v/>
      </c>
      <c r="V22" s="4" t="str">
        <f>HYPERLINK("http://141.218.60.56/~jnz1568/getInfo.php?workbook=06_01.xlsx&amp;sheet=A0&amp;row=22&amp;col=22&amp;number=&amp;sourceID=13","")</f>
        <v/>
      </c>
      <c r="W22" s="4" t="str">
        <f>HYPERLINK("http://141.218.60.56/~jnz1568/getInfo.php?workbook=06_01.xlsx&amp;sheet=A0&amp;row=22&amp;col=23&amp;number=&amp;sourceID=13","")</f>
        <v/>
      </c>
      <c r="X22" s="4" t="str">
        <f>HYPERLINK("http://141.218.60.56/~jnz1568/getInfo.php?workbook=06_01.xlsx&amp;sheet=A0&amp;row=22&amp;col=24&amp;number=&amp;sourceID=13","")</f>
        <v/>
      </c>
      <c r="Y22" s="4" t="str">
        <f>HYPERLINK("http://141.218.60.56/~jnz1568/getInfo.php?workbook=06_01.xlsx&amp;sheet=A0&amp;row=22&amp;col=25&amp;number=&amp;sourceID=13","")</f>
        <v/>
      </c>
      <c r="Z22" s="4" t="str">
        <f>HYPERLINK("http://141.218.60.56/~jnz1568/getInfo.php?workbook=06_01.xlsx&amp;sheet=A0&amp;row=22&amp;col=26&amp;number=&amp;sourceID=13","")</f>
        <v/>
      </c>
    </row>
    <row r="23" spans="1:26">
      <c r="A23" s="3">
        <v>6</v>
      </c>
      <c r="B23" s="3">
        <v>1</v>
      </c>
      <c r="C23" s="3">
        <v>8</v>
      </c>
      <c r="D23" s="3">
        <v>1</v>
      </c>
      <c r="E23" s="3">
        <f>((1/(INDEX(E0!J$4:J$28,C23,1)-INDEX(E0!J$4:J$28,D23,1))))*100000000</f>
        <v>0</v>
      </c>
      <c r="F23" s="4" t="str">
        <f>HYPERLINK("http://141.218.60.56/~jnz1568/getInfo.php?workbook=06_01.xlsx&amp;sheet=A0&amp;row=23&amp;col=6&amp;number=&amp;sourceID=18","")</f>
        <v/>
      </c>
      <c r="G23" s="4" t="str">
        <f>HYPERLINK("http://141.218.60.56/~jnz1568/getInfo.php?workbook=06_01.xlsx&amp;sheet=A0&amp;row=23&amp;col=7&amp;number==&amp;sourceID=11","=")</f>
        <v>=</v>
      </c>
      <c r="H23" s="4" t="str">
        <f>HYPERLINK("http://141.218.60.56/~jnz1568/getInfo.php?workbook=06_01.xlsx&amp;sheet=A0&amp;row=23&amp;col=8&amp;number=216820000000&amp;sourceID=11","216820000000")</f>
        <v>216820000000</v>
      </c>
      <c r="I23" s="4" t="str">
        <f>HYPERLINK("http://141.218.60.56/~jnz1568/getInfo.php?workbook=06_01.xlsx&amp;sheet=A0&amp;row=23&amp;col=9&amp;number=&amp;sourceID=11","")</f>
        <v/>
      </c>
      <c r="J23" s="4" t="str">
        <f>HYPERLINK("http://141.218.60.56/~jnz1568/getInfo.php?workbook=06_01.xlsx&amp;sheet=A0&amp;row=23&amp;col=10&amp;number=&amp;sourceID=11","")</f>
        <v/>
      </c>
      <c r="K23" s="4" t="str">
        <f>HYPERLINK("http://141.218.60.56/~jnz1568/getInfo.php?workbook=06_01.xlsx&amp;sheet=A0&amp;row=23&amp;col=11&amp;number=&amp;sourceID=11","")</f>
        <v/>
      </c>
      <c r="L23" s="4" t="str">
        <f>HYPERLINK("http://141.218.60.56/~jnz1568/getInfo.php?workbook=06_01.xlsx&amp;sheet=A0&amp;row=23&amp;col=12&amp;number=29529&amp;sourceID=11","29529")</f>
        <v>29529</v>
      </c>
      <c r="M23" s="4" t="str">
        <f>HYPERLINK("http://141.218.60.56/~jnz1568/getInfo.php?workbook=06_01.xlsx&amp;sheet=A0&amp;row=23&amp;col=13&amp;number=&amp;sourceID=11","")</f>
        <v/>
      </c>
      <c r="N23" s="4" t="str">
        <f>HYPERLINK("http://141.218.60.56/~jnz1568/getInfo.php?workbook=06_01.xlsx&amp;sheet=A0&amp;row=23&amp;col=14&amp;number=216830000000&amp;sourceID=12","216830000000")</f>
        <v>216830000000</v>
      </c>
      <c r="O23" s="4" t="str">
        <f>HYPERLINK("http://141.218.60.56/~jnz1568/getInfo.php?workbook=06_01.xlsx&amp;sheet=A0&amp;row=23&amp;col=15&amp;number=216830000000&amp;sourceID=12","216830000000")</f>
        <v>216830000000</v>
      </c>
      <c r="P23" s="4" t="str">
        <f>HYPERLINK("http://141.218.60.56/~jnz1568/getInfo.php?workbook=06_01.xlsx&amp;sheet=A0&amp;row=23&amp;col=16&amp;number=&amp;sourceID=12","")</f>
        <v/>
      </c>
      <c r="Q23" s="4" t="str">
        <f>HYPERLINK("http://141.218.60.56/~jnz1568/getInfo.php?workbook=06_01.xlsx&amp;sheet=A0&amp;row=23&amp;col=17&amp;number=&amp;sourceID=12","")</f>
        <v/>
      </c>
      <c r="R23" s="4" t="str">
        <f>HYPERLINK("http://141.218.60.56/~jnz1568/getInfo.php?workbook=06_01.xlsx&amp;sheet=A0&amp;row=23&amp;col=18&amp;number=&amp;sourceID=12","")</f>
        <v/>
      </c>
      <c r="S23" s="4" t="str">
        <f>HYPERLINK("http://141.218.60.56/~jnz1568/getInfo.php?workbook=06_01.xlsx&amp;sheet=A0&amp;row=23&amp;col=19&amp;number=29531&amp;sourceID=12","29531")</f>
        <v>29531</v>
      </c>
      <c r="T23" s="4" t="str">
        <f>HYPERLINK("http://141.218.60.56/~jnz1568/getInfo.php?workbook=06_01.xlsx&amp;sheet=A0&amp;row=23&amp;col=20&amp;number=&amp;sourceID=12","")</f>
        <v/>
      </c>
      <c r="U23" s="4" t="str">
        <f>HYPERLINK("http://141.218.60.56/~jnz1568/getInfo.php?workbook=06_01.xlsx&amp;sheet=A0&amp;row=23&amp;col=21&amp;number==SUM(V23:Z23)&amp;sourceID=13","=SUM(V23:Z23)")</f>
        <v>=SUM(V23:Z23)</v>
      </c>
      <c r="V23" s="4" t="str">
        <f>HYPERLINK("http://141.218.60.56/~jnz1568/getInfo.php?workbook=06_01.xlsx&amp;sheet=A0&amp;row=23&amp;col=22&amp;number=216000000000&amp;sourceID=13","216000000000")</f>
        <v>216000000000</v>
      </c>
      <c r="W23" s="4" t="str">
        <f>HYPERLINK("http://141.218.60.56/~jnz1568/getInfo.php?workbook=06_01.xlsx&amp;sheet=A0&amp;row=23&amp;col=23&amp;number=&amp;sourceID=13","")</f>
        <v/>
      </c>
      <c r="X23" s="4" t="str">
        <f>HYPERLINK("http://141.218.60.56/~jnz1568/getInfo.php?workbook=06_01.xlsx&amp;sheet=A0&amp;row=23&amp;col=24&amp;number=&amp;sourceID=13","")</f>
        <v/>
      </c>
      <c r="Y23" s="4" t="str">
        <f>HYPERLINK("http://141.218.60.56/~jnz1568/getInfo.php?workbook=06_01.xlsx&amp;sheet=A0&amp;row=23&amp;col=25&amp;number=&amp;sourceID=13","")</f>
        <v/>
      </c>
      <c r="Z23" s="4" t="str">
        <f>HYPERLINK("http://141.218.60.56/~jnz1568/getInfo.php?workbook=06_01.xlsx&amp;sheet=A0&amp;row=23&amp;col=26&amp;number=&amp;sourceID=13","")</f>
        <v/>
      </c>
    </row>
    <row r="24" spans="1:26">
      <c r="A24" s="3">
        <v>6</v>
      </c>
      <c r="B24" s="3">
        <v>1</v>
      </c>
      <c r="C24" s="3">
        <v>8</v>
      </c>
      <c r="D24" s="3">
        <v>2</v>
      </c>
      <c r="E24" s="3">
        <f>((1/(INDEX(E0!J$4:J$28,C24,1)-INDEX(E0!J$4:J$28,D24,1))))*100000000</f>
        <v>0</v>
      </c>
      <c r="F24" s="4" t="str">
        <f>HYPERLINK("http://141.218.60.56/~jnz1568/getInfo.php?workbook=06_01.xlsx&amp;sheet=A0&amp;row=24&amp;col=6&amp;number=&amp;sourceID=18","")</f>
        <v/>
      </c>
      <c r="G24" s="4" t="str">
        <f>HYPERLINK("http://141.218.60.56/~jnz1568/getInfo.php?workbook=06_01.xlsx&amp;sheet=A0&amp;row=24&amp;col=7&amp;number==&amp;sourceID=11","=")</f>
        <v>=</v>
      </c>
      <c r="H24" s="4" t="str">
        <f>HYPERLINK("http://141.218.60.56/~jnz1568/getInfo.php?workbook=06_01.xlsx&amp;sheet=A0&amp;row=24&amp;col=8&amp;number=&amp;sourceID=11","")</f>
        <v/>
      </c>
      <c r="I24" s="4" t="str">
        <f>HYPERLINK("http://141.218.60.56/~jnz1568/getInfo.php?workbook=06_01.xlsx&amp;sheet=A0&amp;row=24&amp;col=9&amp;number=558470&amp;sourceID=11","558470")</f>
        <v>558470</v>
      </c>
      <c r="J24" s="4" t="str">
        <f>HYPERLINK("http://141.218.60.56/~jnz1568/getInfo.php?workbook=06_01.xlsx&amp;sheet=A0&amp;row=24&amp;col=10&amp;number=&amp;sourceID=11","")</f>
        <v/>
      </c>
      <c r="K24" s="4" t="str">
        <f>HYPERLINK("http://141.218.60.56/~jnz1568/getInfo.php?workbook=06_01.xlsx&amp;sheet=A0&amp;row=24&amp;col=11&amp;number=0.20516&amp;sourceID=11","0.20516")</f>
        <v>0.20516</v>
      </c>
      <c r="L24" s="4" t="str">
        <f>HYPERLINK("http://141.218.60.56/~jnz1568/getInfo.php?workbook=06_01.xlsx&amp;sheet=A0&amp;row=24&amp;col=12&amp;number=&amp;sourceID=11","")</f>
        <v/>
      </c>
      <c r="M24" s="4" t="str">
        <f>HYPERLINK("http://141.218.60.56/~jnz1568/getInfo.php?workbook=06_01.xlsx&amp;sheet=A0&amp;row=24&amp;col=13&amp;number=&amp;sourceID=11","")</f>
        <v/>
      </c>
      <c r="N24" s="4" t="str">
        <f>HYPERLINK("http://141.218.60.56/~jnz1568/getInfo.php?workbook=06_01.xlsx&amp;sheet=A0&amp;row=24&amp;col=14&amp;number=558500&amp;sourceID=12","558500")</f>
        <v>558500</v>
      </c>
      <c r="O24" s="4" t="str">
        <f>HYPERLINK("http://141.218.60.56/~jnz1568/getInfo.php?workbook=06_01.xlsx&amp;sheet=A0&amp;row=24&amp;col=15&amp;number=&amp;sourceID=12","")</f>
        <v/>
      </c>
      <c r="P24" s="4" t="str">
        <f>HYPERLINK("http://141.218.60.56/~jnz1568/getInfo.php?workbook=06_01.xlsx&amp;sheet=A0&amp;row=24&amp;col=16&amp;number=558500&amp;sourceID=12","558500")</f>
        <v>558500</v>
      </c>
      <c r="Q24" s="4" t="str">
        <f>HYPERLINK("http://141.218.60.56/~jnz1568/getInfo.php?workbook=06_01.xlsx&amp;sheet=A0&amp;row=24&amp;col=17&amp;number=&amp;sourceID=12","")</f>
        <v/>
      </c>
      <c r="R24" s="4" t="str">
        <f>HYPERLINK("http://141.218.60.56/~jnz1568/getInfo.php?workbook=06_01.xlsx&amp;sheet=A0&amp;row=24&amp;col=18&amp;number=0.20517&amp;sourceID=12","0.20517")</f>
        <v>0.20517</v>
      </c>
      <c r="S24" s="4" t="str">
        <f>HYPERLINK("http://141.218.60.56/~jnz1568/getInfo.php?workbook=06_01.xlsx&amp;sheet=A0&amp;row=24&amp;col=19&amp;number=&amp;sourceID=12","")</f>
        <v/>
      </c>
      <c r="T24" s="4" t="str">
        <f>HYPERLINK("http://141.218.60.56/~jnz1568/getInfo.php?workbook=06_01.xlsx&amp;sheet=A0&amp;row=24&amp;col=20&amp;number=&amp;sourceID=12","")</f>
        <v/>
      </c>
      <c r="U24" s="4" t="str">
        <f>HYPERLINK("http://141.218.60.56/~jnz1568/getInfo.php?workbook=06_01.xlsx&amp;sheet=A0&amp;row=24&amp;col=21&amp;number==&amp;sourceID=13","=")</f>
        <v>=</v>
      </c>
      <c r="V24" s="4" t="str">
        <f>HYPERLINK("http://141.218.60.56/~jnz1568/getInfo.php?workbook=06_01.xlsx&amp;sheet=A0&amp;row=24&amp;col=22&amp;number=&amp;sourceID=13","")</f>
        <v/>
      </c>
      <c r="W24" s="4" t="str">
        <f>HYPERLINK("http://141.218.60.56/~jnz1568/getInfo.php?workbook=06_01.xlsx&amp;sheet=A0&amp;row=24&amp;col=23&amp;number=558000&amp;sourceID=13","558000")</f>
        <v>558000</v>
      </c>
      <c r="X24" s="4" t="str">
        <f>HYPERLINK("http://141.218.60.56/~jnz1568/getInfo.php?workbook=06_01.xlsx&amp;sheet=A0&amp;row=24&amp;col=24&amp;number=&amp;sourceID=13","")</f>
        <v/>
      </c>
      <c r="Y24" s="4" t="str">
        <f>HYPERLINK("http://141.218.60.56/~jnz1568/getInfo.php?workbook=06_01.xlsx&amp;sheet=A0&amp;row=24&amp;col=25&amp;number=0.178&amp;sourceID=13","0.178")</f>
        <v>0.178</v>
      </c>
      <c r="Z24" s="4" t="str">
        <f>HYPERLINK("http://141.218.60.56/~jnz1568/getInfo.php?workbook=06_01.xlsx&amp;sheet=A0&amp;row=24&amp;col=26&amp;number=&amp;sourceID=13","")</f>
        <v/>
      </c>
    </row>
    <row r="25" spans="1:26">
      <c r="A25" s="3">
        <v>6</v>
      </c>
      <c r="B25" s="3">
        <v>1</v>
      </c>
      <c r="C25" s="3">
        <v>8</v>
      </c>
      <c r="D25" s="3">
        <v>3</v>
      </c>
      <c r="E25" s="3">
        <f>((1/(INDEX(E0!J$4:J$28,C25,1)-INDEX(E0!J$4:J$28,D25,1))))*100000000</f>
        <v>0</v>
      </c>
      <c r="F25" s="4" t="str">
        <f>HYPERLINK("http://141.218.60.56/~jnz1568/getInfo.php?workbook=06_01.xlsx&amp;sheet=A0&amp;row=25&amp;col=6&amp;number=&amp;sourceID=18","")</f>
        <v/>
      </c>
      <c r="G25" s="4" t="str">
        <f>HYPERLINK("http://141.218.60.56/~jnz1568/getInfo.php?workbook=06_01.xlsx&amp;sheet=A0&amp;row=25&amp;col=7&amp;number==&amp;sourceID=11","=")</f>
        <v>=</v>
      </c>
      <c r="H25" s="4" t="str">
        <f>HYPERLINK("http://141.218.60.56/~jnz1568/getInfo.php?workbook=06_01.xlsx&amp;sheet=A0&amp;row=25&amp;col=8&amp;number=29094000000&amp;sourceID=11","29094000000")</f>
        <v>29094000000</v>
      </c>
      <c r="I25" s="4" t="str">
        <f>HYPERLINK("http://141.218.60.56/~jnz1568/getInfo.php?workbook=06_01.xlsx&amp;sheet=A0&amp;row=25&amp;col=9&amp;number=&amp;sourceID=11","")</f>
        <v/>
      </c>
      <c r="J25" s="4" t="str">
        <f>HYPERLINK("http://141.218.60.56/~jnz1568/getInfo.php?workbook=06_01.xlsx&amp;sheet=A0&amp;row=25&amp;col=10&amp;number=&amp;sourceID=11","")</f>
        <v/>
      </c>
      <c r="K25" s="4" t="str">
        <f>HYPERLINK("http://141.218.60.56/~jnz1568/getInfo.php?workbook=06_01.xlsx&amp;sheet=A0&amp;row=25&amp;col=11&amp;number=&amp;sourceID=11","")</f>
        <v/>
      </c>
      <c r="L25" s="4" t="str">
        <f>HYPERLINK("http://141.218.60.56/~jnz1568/getInfo.php?workbook=06_01.xlsx&amp;sheet=A0&amp;row=25&amp;col=12&amp;number=96.869&amp;sourceID=11","96.869")</f>
        <v>96.869</v>
      </c>
      <c r="M25" s="4" t="str">
        <f>HYPERLINK("http://141.218.60.56/~jnz1568/getInfo.php?workbook=06_01.xlsx&amp;sheet=A0&amp;row=25&amp;col=13&amp;number=&amp;sourceID=11","")</f>
        <v/>
      </c>
      <c r="N25" s="4" t="str">
        <f>HYPERLINK("http://141.218.60.56/~jnz1568/getInfo.php?workbook=06_01.xlsx&amp;sheet=A0&amp;row=25&amp;col=14&amp;number=29095000000&amp;sourceID=12","29095000000")</f>
        <v>29095000000</v>
      </c>
      <c r="O25" s="4" t="str">
        <f>HYPERLINK("http://141.218.60.56/~jnz1568/getInfo.php?workbook=06_01.xlsx&amp;sheet=A0&amp;row=25&amp;col=15&amp;number=29095000000&amp;sourceID=12","29095000000")</f>
        <v>29095000000</v>
      </c>
      <c r="P25" s="4" t="str">
        <f>HYPERLINK("http://141.218.60.56/~jnz1568/getInfo.php?workbook=06_01.xlsx&amp;sheet=A0&amp;row=25&amp;col=16&amp;number=&amp;sourceID=12","")</f>
        <v/>
      </c>
      <c r="Q25" s="4" t="str">
        <f>HYPERLINK("http://141.218.60.56/~jnz1568/getInfo.php?workbook=06_01.xlsx&amp;sheet=A0&amp;row=25&amp;col=17&amp;number=&amp;sourceID=12","")</f>
        <v/>
      </c>
      <c r="R25" s="4" t="str">
        <f>HYPERLINK("http://141.218.60.56/~jnz1568/getInfo.php?workbook=06_01.xlsx&amp;sheet=A0&amp;row=25&amp;col=18&amp;number=&amp;sourceID=12","")</f>
        <v/>
      </c>
      <c r="S25" s="4" t="str">
        <f>HYPERLINK("http://141.218.60.56/~jnz1568/getInfo.php?workbook=06_01.xlsx&amp;sheet=A0&amp;row=25&amp;col=19&amp;number=96.873&amp;sourceID=12","96.873")</f>
        <v>96.873</v>
      </c>
      <c r="T25" s="4" t="str">
        <f>HYPERLINK("http://141.218.60.56/~jnz1568/getInfo.php?workbook=06_01.xlsx&amp;sheet=A0&amp;row=25&amp;col=20&amp;number=&amp;sourceID=12","")</f>
        <v/>
      </c>
      <c r="U25" s="4" t="str">
        <f>HYPERLINK("http://141.218.60.56/~jnz1568/getInfo.php?workbook=06_01.xlsx&amp;sheet=A0&amp;row=25&amp;col=21&amp;number==&amp;sourceID=13","=")</f>
        <v>=</v>
      </c>
      <c r="V25" s="4" t="str">
        <f>HYPERLINK("http://141.218.60.56/~jnz1568/getInfo.php?workbook=06_01.xlsx&amp;sheet=A0&amp;row=25&amp;col=22&amp;number=29100000000&amp;sourceID=13","29100000000")</f>
        <v>29100000000</v>
      </c>
      <c r="W25" s="4" t="str">
        <f>HYPERLINK("http://141.218.60.56/~jnz1568/getInfo.php?workbook=06_01.xlsx&amp;sheet=A0&amp;row=25&amp;col=23&amp;number=&amp;sourceID=13","")</f>
        <v/>
      </c>
      <c r="X25" s="4" t="str">
        <f>HYPERLINK("http://141.218.60.56/~jnz1568/getInfo.php?workbook=06_01.xlsx&amp;sheet=A0&amp;row=25&amp;col=24&amp;number=&amp;sourceID=13","")</f>
        <v/>
      </c>
      <c r="Y25" s="4" t="str">
        <f>HYPERLINK("http://141.218.60.56/~jnz1568/getInfo.php?workbook=06_01.xlsx&amp;sheet=A0&amp;row=25&amp;col=25&amp;number=&amp;sourceID=13","")</f>
        <v/>
      </c>
      <c r="Z25" s="4" t="str">
        <f>HYPERLINK("http://141.218.60.56/~jnz1568/getInfo.php?workbook=06_01.xlsx&amp;sheet=A0&amp;row=25&amp;col=26&amp;number=&amp;sourceID=13","")</f>
        <v/>
      </c>
    </row>
    <row r="26" spans="1:26">
      <c r="A26" s="3">
        <v>6</v>
      </c>
      <c r="B26" s="3">
        <v>1</v>
      </c>
      <c r="C26" s="3">
        <v>8</v>
      </c>
      <c r="D26" s="3">
        <v>4</v>
      </c>
      <c r="E26" s="3">
        <f>((1/(INDEX(E0!J$4:J$28,C26,1)-INDEX(E0!J$4:J$28,D26,1))))*100000000</f>
        <v>0</v>
      </c>
      <c r="F26" s="4" t="str">
        <f>HYPERLINK("http://141.218.60.56/~jnz1568/getInfo.php?workbook=06_01.xlsx&amp;sheet=A0&amp;row=26&amp;col=6&amp;number=&amp;sourceID=18","")</f>
        <v/>
      </c>
      <c r="G26" s="4" t="str">
        <f>HYPERLINK("http://141.218.60.56/~jnz1568/getInfo.php?workbook=06_01.xlsx&amp;sheet=A0&amp;row=26&amp;col=7&amp;number==&amp;sourceID=11","=")</f>
        <v>=</v>
      </c>
      <c r="H26" s="4" t="str">
        <f>HYPERLINK("http://141.218.60.56/~jnz1568/getInfo.php?workbook=06_01.xlsx&amp;sheet=A0&amp;row=26&amp;col=8&amp;number=&amp;sourceID=11","")</f>
        <v/>
      </c>
      <c r="I26" s="4" t="str">
        <f>HYPERLINK("http://141.218.60.56/~jnz1568/getInfo.php?workbook=06_01.xlsx&amp;sheet=A0&amp;row=26&amp;col=9&amp;number=557950&amp;sourceID=11","557950")</f>
        <v>557950</v>
      </c>
      <c r="J26" s="4" t="str">
        <f>HYPERLINK("http://141.218.60.56/~jnz1568/getInfo.php?workbook=06_01.xlsx&amp;sheet=A0&amp;row=26&amp;col=10&amp;number=&amp;sourceID=11","")</f>
        <v/>
      </c>
      <c r="K26" s="4" t="str">
        <f>HYPERLINK("http://141.218.60.56/~jnz1568/getInfo.php?workbook=06_01.xlsx&amp;sheet=A0&amp;row=26&amp;col=11&amp;number=0.2137&amp;sourceID=11","0.2137")</f>
        <v>0.2137</v>
      </c>
      <c r="L26" s="4" t="str">
        <f>HYPERLINK("http://141.218.60.56/~jnz1568/getInfo.php?workbook=06_01.xlsx&amp;sheet=A0&amp;row=26&amp;col=12&amp;number=&amp;sourceID=11","")</f>
        <v/>
      </c>
      <c r="M26" s="4" t="str">
        <f>HYPERLINK("http://141.218.60.56/~jnz1568/getInfo.php?workbook=06_01.xlsx&amp;sheet=A0&amp;row=26&amp;col=13&amp;number=0.0039563&amp;sourceID=11","0.0039563")</f>
        <v>0.0039563</v>
      </c>
      <c r="N26" s="4" t="str">
        <f>HYPERLINK("http://141.218.60.56/~jnz1568/getInfo.php?workbook=06_01.xlsx&amp;sheet=A0&amp;row=26&amp;col=14&amp;number=557970&amp;sourceID=12","557970")</f>
        <v>557970</v>
      </c>
      <c r="O26" s="4" t="str">
        <f>HYPERLINK("http://141.218.60.56/~jnz1568/getInfo.php?workbook=06_01.xlsx&amp;sheet=A0&amp;row=26&amp;col=15&amp;number=&amp;sourceID=12","")</f>
        <v/>
      </c>
      <c r="P26" s="4" t="str">
        <f>HYPERLINK("http://141.218.60.56/~jnz1568/getInfo.php?workbook=06_01.xlsx&amp;sheet=A0&amp;row=26&amp;col=16&amp;number=557970&amp;sourceID=12","557970")</f>
        <v>557970</v>
      </c>
      <c r="Q26" s="4" t="str">
        <f>HYPERLINK("http://141.218.60.56/~jnz1568/getInfo.php?workbook=06_01.xlsx&amp;sheet=A0&amp;row=26&amp;col=17&amp;number=&amp;sourceID=12","")</f>
        <v/>
      </c>
      <c r="R26" s="4" t="str">
        <f>HYPERLINK("http://141.218.60.56/~jnz1568/getInfo.php?workbook=06_01.xlsx&amp;sheet=A0&amp;row=26&amp;col=18&amp;number=0.21371&amp;sourceID=12","0.21371")</f>
        <v>0.21371</v>
      </c>
      <c r="S26" s="4" t="str">
        <f>HYPERLINK("http://141.218.60.56/~jnz1568/getInfo.php?workbook=06_01.xlsx&amp;sheet=A0&amp;row=26&amp;col=19&amp;number=&amp;sourceID=12","")</f>
        <v/>
      </c>
      <c r="T26" s="4" t="str">
        <f>HYPERLINK("http://141.218.60.56/~jnz1568/getInfo.php?workbook=06_01.xlsx&amp;sheet=A0&amp;row=26&amp;col=20&amp;number=0.0039565&amp;sourceID=12","0.0039565")</f>
        <v>0.0039565</v>
      </c>
      <c r="U26" s="4" t="str">
        <f>HYPERLINK("http://141.218.60.56/~jnz1568/getInfo.php?workbook=06_01.xlsx&amp;sheet=A0&amp;row=26&amp;col=21&amp;number==&amp;sourceID=13","=")</f>
        <v>=</v>
      </c>
      <c r="V26" s="4" t="str">
        <f>HYPERLINK("http://141.218.60.56/~jnz1568/getInfo.php?workbook=06_01.xlsx&amp;sheet=A0&amp;row=26&amp;col=22&amp;number=&amp;sourceID=13","")</f>
        <v/>
      </c>
      <c r="W26" s="4" t="str">
        <f>HYPERLINK("http://141.218.60.56/~jnz1568/getInfo.php?workbook=06_01.xlsx&amp;sheet=A0&amp;row=26&amp;col=23&amp;number=558000&amp;sourceID=13","558000")</f>
        <v>558000</v>
      </c>
      <c r="X26" s="4" t="str">
        <f>HYPERLINK("http://141.218.60.56/~jnz1568/getInfo.php?workbook=06_01.xlsx&amp;sheet=A0&amp;row=26&amp;col=24&amp;number=&amp;sourceID=13","")</f>
        <v/>
      </c>
      <c r="Y26" s="4" t="str">
        <f>HYPERLINK("http://141.218.60.56/~jnz1568/getInfo.php?workbook=06_01.xlsx&amp;sheet=A0&amp;row=26&amp;col=25&amp;number=0.214&amp;sourceID=13","0.214")</f>
        <v>0.214</v>
      </c>
      <c r="Z26" s="4" t="str">
        <f>HYPERLINK("http://141.218.60.56/~jnz1568/getInfo.php?workbook=06_01.xlsx&amp;sheet=A0&amp;row=26&amp;col=26&amp;number=&amp;sourceID=13","")</f>
        <v/>
      </c>
    </row>
    <row r="27" spans="1:26">
      <c r="A27" s="3">
        <v>6</v>
      </c>
      <c r="B27" s="3">
        <v>1</v>
      </c>
      <c r="C27" s="3">
        <v>8</v>
      </c>
      <c r="D27" s="3">
        <v>5</v>
      </c>
      <c r="E27" s="3">
        <f>((1/(INDEX(E0!J$4:J$28,C27,1)-INDEX(E0!J$4:J$28,D27,1))))*100000000</f>
        <v>0</v>
      </c>
      <c r="F27" s="4" t="str">
        <f>HYPERLINK("http://141.218.60.56/~jnz1568/getInfo.php?workbook=06_01.xlsx&amp;sheet=A0&amp;row=27&amp;col=6&amp;number=&amp;sourceID=18","")</f>
        <v/>
      </c>
      <c r="G27" s="4" t="str">
        <f>HYPERLINK("http://141.218.60.56/~jnz1568/getInfo.php?workbook=06_01.xlsx&amp;sheet=A0&amp;row=27&amp;col=7&amp;number==&amp;sourceID=11","=")</f>
        <v>=</v>
      </c>
      <c r="H27" s="4" t="str">
        <f>HYPERLINK("http://141.218.60.56/~jnz1568/getInfo.php?workbook=06_01.xlsx&amp;sheet=A0&amp;row=27&amp;col=8&amp;number=&amp;sourceID=11","")</f>
        <v/>
      </c>
      <c r="I27" s="4" t="str">
        <f>HYPERLINK("http://141.218.60.56/~jnz1568/getInfo.php?workbook=06_01.xlsx&amp;sheet=A0&amp;row=27&amp;col=9&amp;number=3.0526e-11&amp;sourceID=11","3.0526e-11")</f>
        <v>3.0526e-11</v>
      </c>
      <c r="J27" s="4" t="str">
        <f>HYPERLINK("http://141.218.60.56/~jnz1568/getInfo.php?workbook=06_01.xlsx&amp;sheet=A0&amp;row=27&amp;col=10&amp;number=&amp;sourceID=11","")</f>
        <v/>
      </c>
      <c r="K27" s="4" t="str">
        <f>HYPERLINK("http://141.218.60.56/~jnz1568/getInfo.php?workbook=06_01.xlsx&amp;sheet=A0&amp;row=27&amp;col=11&amp;number=2.4892e-05&amp;sourceID=11","2.4892e-05")</f>
        <v>2.4892e-05</v>
      </c>
      <c r="L27" s="4" t="str">
        <f>HYPERLINK("http://141.218.60.56/~jnz1568/getInfo.php?workbook=06_01.xlsx&amp;sheet=A0&amp;row=27&amp;col=12&amp;number=&amp;sourceID=11","")</f>
        <v/>
      </c>
      <c r="M27" s="4" t="str">
        <f>HYPERLINK("http://141.218.60.56/~jnz1568/getInfo.php?workbook=06_01.xlsx&amp;sheet=A0&amp;row=27&amp;col=13&amp;number=&amp;sourceID=11","")</f>
        <v/>
      </c>
      <c r="N27" s="4" t="str">
        <f>HYPERLINK("http://141.218.60.56/~jnz1568/getInfo.php?workbook=06_01.xlsx&amp;sheet=A0&amp;row=27&amp;col=14&amp;number=2.4893e-05&amp;sourceID=12","2.4893e-05")</f>
        <v>2.4893e-05</v>
      </c>
      <c r="O27" s="4" t="str">
        <f>HYPERLINK("http://141.218.60.56/~jnz1568/getInfo.php?workbook=06_01.xlsx&amp;sheet=A0&amp;row=27&amp;col=15&amp;number=&amp;sourceID=12","")</f>
        <v/>
      </c>
      <c r="P27" s="4" t="str">
        <f>HYPERLINK("http://141.218.60.56/~jnz1568/getInfo.php?workbook=06_01.xlsx&amp;sheet=A0&amp;row=27&amp;col=16&amp;number=3.0528e-11&amp;sourceID=12","3.0528e-11")</f>
        <v>3.0528e-11</v>
      </c>
      <c r="Q27" s="4" t="str">
        <f>HYPERLINK("http://141.218.60.56/~jnz1568/getInfo.php?workbook=06_01.xlsx&amp;sheet=A0&amp;row=27&amp;col=17&amp;number=&amp;sourceID=12","")</f>
        <v/>
      </c>
      <c r="R27" s="4" t="str">
        <f>HYPERLINK("http://141.218.60.56/~jnz1568/getInfo.php?workbook=06_01.xlsx&amp;sheet=A0&amp;row=27&amp;col=18&amp;number=2.4893e-05&amp;sourceID=12","2.4893e-05")</f>
        <v>2.4893e-05</v>
      </c>
      <c r="S27" s="4" t="str">
        <f>HYPERLINK("http://141.218.60.56/~jnz1568/getInfo.php?workbook=06_01.xlsx&amp;sheet=A0&amp;row=27&amp;col=19&amp;number=&amp;sourceID=12","")</f>
        <v/>
      </c>
      <c r="T27" s="4" t="str">
        <f>HYPERLINK("http://141.218.60.56/~jnz1568/getInfo.php?workbook=06_01.xlsx&amp;sheet=A0&amp;row=27&amp;col=20&amp;number=&amp;sourceID=12","")</f>
        <v/>
      </c>
      <c r="U27" s="4" t="str">
        <f>HYPERLINK("http://141.218.60.56/~jnz1568/getInfo.php?workbook=06_01.xlsx&amp;sheet=A0&amp;row=27&amp;col=21&amp;number==&amp;sourceID=13","=")</f>
        <v>=</v>
      </c>
      <c r="V27" s="4" t="str">
        <f>HYPERLINK("http://141.218.60.56/~jnz1568/getInfo.php?workbook=06_01.xlsx&amp;sheet=A0&amp;row=27&amp;col=22&amp;number=&amp;sourceID=13","")</f>
        <v/>
      </c>
      <c r="W27" s="4" t="str">
        <f>HYPERLINK("http://141.218.60.56/~jnz1568/getInfo.php?workbook=06_01.xlsx&amp;sheet=A0&amp;row=27&amp;col=23&amp;number=3.02e-11&amp;sourceID=13","3.02e-11")</f>
        <v>3.02e-11</v>
      </c>
      <c r="X27" s="4" t="str">
        <f>HYPERLINK("http://141.218.60.56/~jnz1568/getInfo.php?workbook=06_01.xlsx&amp;sheet=A0&amp;row=27&amp;col=24&amp;number=&amp;sourceID=13","")</f>
        <v/>
      </c>
      <c r="Y27" s="4" t="str">
        <f>HYPERLINK("http://141.218.60.56/~jnz1568/getInfo.php?workbook=06_01.xlsx&amp;sheet=A0&amp;row=27&amp;col=25&amp;number=2.47e-05&amp;sourceID=13","2.47e-05")</f>
        <v>2.47e-05</v>
      </c>
      <c r="Z27" s="4" t="str">
        <f>HYPERLINK("http://141.218.60.56/~jnz1568/getInfo.php?workbook=06_01.xlsx&amp;sheet=A0&amp;row=27&amp;col=26&amp;number=&amp;sourceID=13","")</f>
        <v/>
      </c>
    </row>
    <row r="28" spans="1:26">
      <c r="A28" s="3">
        <v>6</v>
      </c>
      <c r="B28" s="3">
        <v>1</v>
      </c>
      <c r="C28" s="3">
        <v>8</v>
      </c>
      <c r="D28" s="3">
        <v>6</v>
      </c>
      <c r="E28" s="3">
        <f>((1/(INDEX(E0!J$4:J$28,C28,1)-INDEX(E0!J$4:J$28,D28,1))))*100000000</f>
        <v>0</v>
      </c>
      <c r="F28" s="4" t="str">
        <f>HYPERLINK("http://141.218.60.56/~jnz1568/getInfo.php?workbook=06_01.xlsx&amp;sheet=A0&amp;row=28&amp;col=6&amp;number=&amp;sourceID=18","")</f>
        <v/>
      </c>
      <c r="G28" s="4" t="str">
        <f>HYPERLINK("http://141.218.60.56/~jnz1568/getInfo.php?workbook=06_01.xlsx&amp;sheet=A0&amp;row=28&amp;col=7&amp;number==&amp;sourceID=11","=")</f>
        <v>=</v>
      </c>
      <c r="H28" s="4" t="str">
        <f>HYPERLINK("http://141.218.60.56/~jnz1568/getInfo.php?workbook=06_01.xlsx&amp;sheet=A0&amp;row=28&amp;col=8&amp;number=8.4105&amp;sourceID=11","8.4105")</f>
        <v>8.4105</v>
      </c>
      <c r="I28" s="4" t="str">
        <f>HYPERLINK("http://141.218.60.56/~jnz1568/getInfo.php?workbook=06_01.xlsx&amp;sheet=A0&amp;row=28&amp;col=9&amp;number=&amp;sourceID=11","")</f>
        <v/>
      </c>
      <c r="J28" s="4" t="str">
        <f>HYPERLINK("http://141.218.60.56/~jnz1568/getInfo.php?workbook=06_01.xlsx&amp;sheet=A0&amp;row=28&amp;col=10&amp;number=&amp;sourceID=11","")</f>
        <v/>
      </c>
      <c r="K28" s="4" t="str">
        <f>HYPERLINK("http://141.218.60.56/~jnz1568/getInfo.php?workbook=06_01.xlsx&amp;sheet=A0&amp;row=28&amp;col=11&amp;number=&amp;sourceID=11","")</f>
        <v/>
      </c>
      <c r="L28" s="4" t="str">
        <f>HYPERLINK("http://141.218.60.56/~jnz1568/getInfo.php?workbook=06_01.xlsx&amp;sheet=A0&amp;row=28&amp;col=12&amp;number=2e-15&amp;sourceID=11","2e-15")</f>
        <v>2e-15</v>
      </c>
      <c r="M28" s="4" t="str">
        <f>HYPERLINK("http://141.218.60.56/~jnz1568/getInfo.php?workbook=06_01.xlsx&amp;sheet=A0&amp;row=28&amp;col=13&amp;number=&amp;sourceID=11","")</f>
        <v/>
      </c>
      <c r="N28" s="4" t="str">
        <f>HYPERLINK("http://141.218.60.56/~jnz1568/getInfo.php?workbook=06_01.xlsx&amp;sheet=A0&amp;row=28&amp;col=14&amp;number=8.4109&amp;sourceID=12","8.4109")</f>
        <v>8.4109</v>
      </c>
      <c r="O28" s="4" t="str">
        <f>HYPERLINK("http://141.218.60.56/~jnz1568/getInfo.php?workbook=06_01.xlsx&amp;sheet=A0&amp;row=28&amp;col=15&amp;number=8.4109&amp;sourceID=12","8.4109")</f>
        <v>8.4109</v>
      </c>
      <c r="P28" s="4" t="str">
        <f>HYPERLINK("http://141.218.60.56/~jnz1568/getInfo.php?workbook=06_01.xlsx&amp;sheet=A0&amp;row=28&amp;col=16&amp;number=&amp;sourceID=12","")</f>
        <v/>
      </c>
      <c r="Q28" s="4" t="str">
        <f>HYPERLINK("http://141.218.60.56/~jnz1568/getInfo.php?workbook=06_01.xlsx&amp;sheet=A0&amp;row=28&amp;col=17&amp;number=&amp;sourceID=12","")</f>
        <v/>
      </c>
      <c r="R28" s="4" t="str">
        <f>HYPERLINK("http://141.218.60.56/~jnz1568/getInfo.php?workbook=06_01.xlsx&amp;sheet=A0&amp;row=28&amp;col=18&amp;number=&amp;sourceID=12","")</f>
        <v/>
      </c>
      <c r="S28" s="4" t="str">
        <f>HYPERLINK("http://141.218.60.56/~jnz1568/getInfo.php?workbook=06_01.xlsx&amp;sheet=A0&amp;row=28&amp;col=19&amp;number=2e-15&amp;sourceID=12","2e-15")</f>
        <v>2e-15</v>
      </c>
      <c r="T28" s="4" t="str">
        <f>HYPERLINK("http://141.218.60.56/~jnz1568/getInfo.php?workbook=06_01.xlsx&amp;sheet=A0&amp;row=28&amp;col=20&amp;number=&amp;sourceID=12","")</f>
        <v/>
      </c>
      <c r="U28" s="4" t="str">
        <f>HYPERLINK("http://141.218.60.56/~jnz1568/getInfo.php?workbook=06_01.xlsx&amp;sheet=A0&amp;row=28&amp;col=21&amp;number==&amp;sourceID=13","=")</f>
        <v>=</v>
      </c>
      <c r="V28" s="4" t="str">
        <f>HYPERLINK("http://141.218.60.56/~jnz1568/getInfo.php?workbook=06_01.xlsx&amp;sheet=A0&amp;row=28&amp;col=22&amp;number=8.33&amp;sourceID=13","8.33")</f>
        <v>8.33</v>
      </c>
      <c r="W28" s="4" t="str">
        <f>HYPERLINK("http://141.218.60.56/~jnz1568/getInfo.php?workbook=06_01.xlsx&amp;sheet=A0&amp;row=28&amp;col=23&amp;number=&amp;sourceID=13","")</f>
        <v/>
      </c>
      <c r="X28" s="4" t="str">
        <f>HYPERLINK("http://141.218.60.56/~jnz1568/getInfo.php?workbook=06_01.xlsx&amp;sheet=A0&amp;row=28&amp;col=24&amp;number=&amp;sourceID=13","")</f>
        <v/>
      </c>
      <c r="Y28" s="4" t="str">
        <f>HYPERLINK("http://141.218.60.56/~jnz1568/getInfo.php?workbook=06_01.xlsx&amp;sheet=A0&amp;row=28&amp;col=25&amp;number=&amp;sourceID=13","")</f>
        <v/>
      </c>
      <c r="Z28" s="4" t="str">
        <f>HYPERLINK("http://141.218.60.56/~jnz1568/getInfo.php?workbook=06_01.xlsx&amp;sheet=A0&amp;row=28&amp;col=26&amp;number=&amp;sourceID=13","")</f>
        <v/>
      </c>
    </row>
    <row r="29" spans="1:26">
      <c r="A29" s="3">
        <v>6</v>
      </c>
      <c r="B29" s="3">
        <v>1</v>
      </c>
      <c r="C29" s="3">
        <v>9</v>
      </c>
      <c r="D29" s="3">
        <v>1</v>
      </c>
      <c r="E29" s="3">
        <f>((1/(INDEX(E0!J$4:J$28,C29,1)-INDEX(E0!J$4:J$28,D29,1))))*100000000</f>
        <v>0</v>
      </c>
      <c r="F29" s="4" t="str">
        <f>HYPERLINK("http://141.218.60.56/~jnz1568/getInfo.php?workbook=06_01.xlsx&amp;sheet=A0&amp;row=29&amp;col=6&amp;number=&amp;sourceID=18","")</f>
        <v/>
      </c>
      <c r="G29" s="4" t="str">
        <f>HYPERLINK("http://141.218.60.56/~jnz1568/getInfo.php?workbook=06_01.xlsx&amp;sheet=A0&amp;row=29&amp;col=7&amp;number==&amp;sourceID=11","=")</f>
        <v>=</v>
      </c>
      <c r="H29" s="4" t="str">
        <f>HYPERLINK("http://141.218.60.56/~jnz1568/getInfo.php?workbook=06_01.xlsx&amp;sheet=A0&amp;row=29&amp;col=8&amp;number=&amp;sourceID=11","")</f>
        <v/>
      </c>
      <c r="I29" s="4" t="str">
        <f>HYPERLINK("http://141.218.60.56/~jnz1568/getInfo.php?workbook=06_01.xlsx&amp;sheet=A0&amp;row=29&amp;col=9&amp;number=27673000&amp;sourceID=11","27673000")</f>
        <v>27673000</v>
      </c>
      <c r="J29" s="4" t="str">
        <f>HYPERLINK("http://141.218.60.56/~jnz1568/getInfo.php?workbook=06_01.xlsx&amp;sheet=A0&amp;row=29&amp;col=10&amp;number=&amp;sourceID=11","")</f>
        <v/>
      </c>
      <c r="K29" s="4" t="str">
        <f>HYPERLINK("http://141.218.60.56/~jnz1568/getInfo.php?workbook=06_01.xlsx&amp;sheet=A0&amp;row=29&amp;col=11&amp;number=&amp;sourceID=11","")</f>
        <v/>
      </c>
      <c r="L29" s="4" t="str">
        <f>HYPERLINK("http://141.218.60.56/~jnz1568/getInfo.php?workbook=06_01.xlsx&amp;sheet=A0&amp;row=29&amp;col=12&amp;number=&amp;sourceID=11","")</f>
        <v/>
      </c>
      <c r="M29" s="4" t="str">
        <f>HYPERLINK("http://141.218.60.56/~jnz1568/getInfo.php?workbook=06_01.xlsx&amp;sheet=A0&amp;row=29&amp;col=13&amp;number=4.4699&amp;sourceID=11","4.4699")</f>
        <v>4.4699</v>
      </c>
      <c r="N29" s="4" t="str">
        <f>HYPERLINK("http://141.218.60.56/~jnz1568/getInfo.php?workbook=06_01.xlsx&amp;sheet=A0&amp;row=29&amp;col=14&amp;number=27675000&amp;sourceID=12","27675000")</f>
        <v>27675000</v>
      </c>
      <c r="O29" s="4" t="str">
        <f>HYPERLINK("http://141.218.60.56/~jnz1568/getInfo.php?workbook=06_01.xlsx&amp;sheet=A0&amp;row=29&amp;col=15&amp;number=&amp;sourceID=12","")</f>
        <v/>
      </c>
      <c r="P29" s="4" t="str">
        <f>HYPERLINK("http://141.218.60.56/~jnz1568/getInfo.php?workbook=06_01.xlsx&amp;sheet=A0&amp;row=29&amp;col=16&amp;number=27675000&amp;sourceID=12","27675000")</f>
        <v>27675000</v>
      </c>
      <c r="Q29" s="4" t="str">
        <f>HYPERLINK("http://141.218.60.56/~jnz1568/getInfo.php?workbook=06_01.xlsx&amp;sheet=A0&amp;row=29&amp;col=17&amp;number=&amp;sourceID=12","")</f>
        <v/>
      </c>
      <c r="R29" s="4" t="str">
        <f>HYPERLINK("http://141.218.60.56/~jnz1568/getInfo.php?workbook=06_01.xlsx&amp;sheet=A0&amp;row=29&amp;col=18&amp;number=&amp;sourceID=12","")</f>
        <v/>
      </c>
      <c r="S29" s="4" t="str">
        <f>HYPERLINK("http://141.218.60.56/~jnz1568/getInfo.php?workbook=06_01.xlsx&amp;sheet=A0&amp;row=29&amp;col=19&amp;number=&amp;sourceID=12","")</f>
        <v/>
      </c>
      <c r="T29" s="4" t="str">
        <f>HYPERLINK("http://141.218.60.56/~jnz1568/getInfo.php?workbook=06_01.xlsx&amp;sheet=A0&amp;row=29&amp;col=20&amp;number=4.4701&amp;sourceID=12","4.4701")</f>
        <v>4.4701</v>
      </c>
      <c r="U29" s="4" t="str">
        <f>HYPERLINK("http://141.218.60.56/~jnz1568/getInfo.php?workbook=06_01.xlsx&amp;sheet=A0&amp;row=29&amp;col=21&amp;number==&amp;sourceID=13","=")</f>
        <v>=</v>
      </c>
      <c r="V29" s="4" t="str">
        <f>HYPERLINK("http://141.218.60.56/~jnz1568/getInfo.php?workbook=06_01.xlsx&amp;sheet=A0&amp;row=29&amp;col=22&amp;number=&amp;sourceID=13","")</f>
        <v/>
      </c>
      <c r="W29" s="4" t="str">
        <f>HYPERLINK("http://141.218.60.56/~jnz1568/getInfo.php?workbook=06_01.xlsx&amp;sheet=A0&amp;row=29&amp;col=23&amp;number=27800000&amp;sourceID=13","27800000")</f>
        <v>27800000</v>
      </c>
      <c r="X29" s="4" t="str">
        <f>HYPERLINK("http://141.218.60.56/~jnz1568/getInfo.php?workbook=06_01.xlsx&amp;sheet=A0&amp;row=29&amp;col=24&amp;number=&amp;sourceID=13","")</f>
        <v/>
      </c>
      <c r="Y29" s="4" t="str">
        <f>HYPERLINK("http://141.218.60.56/~jnz1568/getInfo.php?workbook=06_01.xlsx&amp;sheet=A0&amp;row=29&amp;col=25&amp;number=&amp;sourceID=13","")</f>
        <v/>
      </c>
      <c r="Z29" s="4" t="str">
        <f>HYPERLINK("http://141.218.60.56/~jnz1568/getInfo.php?workbook=06_01.xlsx&amp;sheet=A0&amp;row=29&amp;col=26&amp;number=&amp;sourceID=13","")</f>
        <v/>
      </c>
    </row>
    <row r="30" spans="1:26">
      <c r="A30" s="3">
        <v>6</v>
      </c>
      <c r="B30" s="3">
        <v>1</v>
      </c>
      <c r="C30" s="3">
        <v>9</v>
      </c>
      <c r="D30" s="3">
        <v>2</v>
      </c>
      <c r="E30" s="3">
        <f>((1/(INDEX(E0!J$4:J$28,C30,1)-INDEX(E0!J$4:J$28,D30,1))))*100000000</f>
        <v>0</v>
      </c>
      <c r="F30" s="4" t="str">
        <f>HYPERLINK("http://141.218.60.56/~jnz1568/getInfo.php?workbook=06_01.xlsx&amp;sheet=A0&amp;row=30&amp;col=6&amp;number=&amp;sourceID=18","")</f>
        <v/>
      </c>
      <c r="G30" s="4" t="str">
        <f>HYPERLINK("http://141.218.60.56/~jnz1568/getInfo.php?workbook=06_01.xlsx&amp;sheet=A0&amp;row=30&amp;col=7&amp;number==&amp;sourceID=11","=")</f>
        <v>=</v>
      </c>
      <c r="H30" s="4" t="str">
        <f>HYPERLINK("http://141.218.60.56/~jnz1568/getInfo.php?workbook=06_01.xlsx&amp;sheet=A0&amp;row=30&amp;col=8&amp;number=&amp;sourceID=11","")</f>
        <v/>
      </c>
      <c r="I30" s="4" t="str">
        <f>HYPERLINK("http://141.218.60.56/~jnz1568/getInfo.php?workbook=06_01.xlsx&amp;sheet=A0&amp;row=30&amp;col=9&amp;number=&amp;sourceID=11","")</f>
        <v/>
      </c>
      <c r="J30" s="4" t="str">
        <f>HYPERLINK("http://141.218.60.56/~jnz1568/getInfo.php?workbook=06_01.xlsx&amp;sheet=A0&amp;row=30&amp;col=10&amp;number=21.204&amp;sourceID=11","21.204")</f>
        <v>21.204</v>
      </c>
      <c r="K30" s="4" t="str">
        <f>HYPERLINK("http://141.218.60.56/~jnz1568/getInfo.php?workbook=06_01.xlsx&amp;sheet=A0&amp;row=30&amp;col=11&amp;number=&amp;sourceID=11","")</f>
        <v/>
      </c>
      <c r="L30" s="4" t="str">
        <f>HYPERLINK("http://141.218.60.56/~jnz1568/getInfo.php?workbook=06_01.xlsx&amp;sheet=A0&amp;row=30&amp;col=12&amp;number=66.214&amp;sourceID=11","66.214")</f>
        <v>66.214</v>
      </c>
      <c r="M30" s="4" t="str">
        <f>HYPERLINK("http://141.218.60.56/~jnz1568/getInfo.php?workbook=06_01.xlsx&amp;sheet=A0&amp;row=30&amp;col=13&amp;number=&amp;sourceID=11","")</f>
        <v/>
      </c>
      <c r="N30" s="4" t="str">
        <f>HYPERLINK("http://141.218.60.56/~jnz1568/getInfo.php?workbook=06_01.xlsx&amp;sheet=A0&amp;row=30&amp;col=14&amp;number=87.422&amp;sourceID=12","87.422")</f>
        <v>87.422</v>
      </c>
      <c r="O30" s="4" t="str">
        <f>HYPERLINK("http://141.218.60.56/~jnz1568/getInfo.php?workbook=06_01.xlsx&amp;sheet=A0&amp;row=30&amp;col=15&amp;number=&amp;sourceID=12","")</f>
        <v/>
      </c>
      <c r="P30" s="4" t="str">
        <f>HYPERLINK("http://141.218.60.56/~jnz1568/getInfo.php?workbook=06_01.xlsx&amp;sheet=A0&amp;row=30&amp;col=16&amp;number=&amp;sourceID=12","")</f>
        <v/>
      </c>
      <c r="Q30" s="4" t="str">
        <f>HYPERLINK("http://141.218.60.56/~jnz1568/getInfo.php?workbook=06_01.xlsx&amp;sheet=A0&amp;row=30&amp;col=17&amp;number=21.205&amp;sourceID=12","21.205")</f>
        <v>21.205</v>
      </c>
      <c r="R30" s="4" t="str">
        <f>HYPERLINK("http://141.218.60.56/~jnz1568/getInfo.php?workbook=06_01.xlsx&amp;sheet=A0&amp;row=30&amp;col=18&amp;number=&amp;sourceID=12","")</f>
        <v/>
      </c>
      <c r="S30" s="4" t="str">
        <f>HYPERLINK("http://141.218.60.56/~jnz1568/getInfo.php?workbook=06_01.xlsx&amp;sheet=A0&amp;row=30&amp;col=19&amp;number=66.217&amp;sourceID=12","66.217")</f>
        <v>66.217</v>
      </c>
      <c r="T30" s="4" t="str">
        <f>HYPERLINK("http://141.218.60.56/~jnz1568/getInfo.php?workbook=06_01.xlsx&amp;sheet=A0&amp;row=30&amp;col=20&amp;number=&amp;sourceID=12","")</f>
        <v/>
      </c>
      <c r="U30" s="4" t="str">
        <f>HYPERLINK("http://141.218.60.56/~jnz1568/getInfo.php?workbook=06_01.xlsx&amp;sheet=A0&amp;row=30&amp;col=21&amp;number==&amp;sourceID=13","=")</f>
        <v>=</v>
      </c>
      <c r="V30" s="4" t="str">
        <f>HYPERLINK("http://141.218.60.56/~jnz1568/getInfo.php?workbook=06_01.xlsx&amp;sheet=A0&amp;row=30&amp;col=22&amp;number=&amp;sourceID=13","")</f>
        <v/>
      </c>
      <c r="W30" s="4" t="str">
        <f>HYPERLINK("http://141.218.60.56/~jnz1568/getInfo.php?workbook=06_01.xlsx&amp;sheet=A0&amp;row=30&amp;col=23&amp;number=&amp;sourceID=13","")</f>
        <v/>
      </c>
      <c r="X30" s="4" t="str">
        <f>HYPERLINK("http://141.218.60.56/~jnz1568/getInfo.php?workbook=06_01.xlsx&amp;sheet=A0&amp;row=30&amp;col=24&amp;number=33&amp;sourceID=13","33")</f>
        <v>33</v>
      </c>
      <c r="Y30" s="4" t="str">
        <f>HYPERLINK("http://141.218.60.56/~jnz1568/getInfo.php?workbook=06_01.xlsx&amp;sheet=A0&amp;row=30&amp;col=25&amp;number=&amp;sourceID=13","")</f>
        <v/>
      </c>
      <c r="Z30" s="4" t="str">
        <f>HYPERLINK("http://141.218.60.56/~jnz1568/getInfo.php?workbook=06_01.xlsx&amp;sheet=A0&amp;row=30&amp;col=26&amp;number=265&amp;sourceID=13","265")</f>
        <v>265</v>
      </c>
    </row>
    <row r="31" spans="1:26">
      <c r="A31" s="3">
        <v>6</v>
      </c>
      <c r="B31" s="3">
        <v>1</v>
      </c>
      <c r="C31" s="3">
        <v>9</v>
      </c>
      <c r="D31" s="3">
        <v>3</v>
      </c>
      <c r="E31" s="3">
        <f>((1/(INDEX(E0!J$4:J$28,C31,1)-INDEX(E0!J$4:J$28,D31,1))))*100000000</f>
        <v>0</v>
      </c>
      <c r="F31" s="4" t="str">
        <f>HYPERLINK("http://141.218.60.56/~jnz1568/getInfo.php?workbook=06_01.xlsx&amp;sheet=A0&amp;row=31&amp;col=6&amp;number=&amp;sourceID=18","")</f>
        <v/>
      </c>
      <c r="G31" s="4" t="str">
        <f>HYPERLINK("http://141.218.60.56/~jnz1568/getInfo.php?workbook=06_01.xlsx&amp;sheet=A0&amp;row=31&amp;col=7&amp;number==&amp;sourceID=11","=")</f>
        <v>=</v>
      </c>
      <c r="H31" s="4" t="str">
        <f>HYPERLINK("http://141.218.60.56/~jnz1568/getInfo.php?workbook=06_01.xlsx&amp;sheet=A0&amp;row=31&amp;col=8&amp;number=&amp;sourceID=11","")</f>
        <v/>
      </c>
      <c r="I31" s="4" t="str">
        <f>HYPERLINK("http://141.218.60.56/~jnz1568/getInfo.php?workbook=06_01.xlsx&amp;sheet=A0&amp;row=31&amp;col=9&amp;number=2386800&amp;sourceID=11","2386800")</f>
        <v>2386800</v>
      </c>
      <c r="J31" s="4" t="str">
        <f>HYPERLINK("http://141.218.60.56/~jnz1568/getInfo.php?workbook=06_01.xlsx&amp;sheet=A0&amp;row=31&amp;col=10&amp;number=&amp;sourceID=11","")</f>
        <v/>
      </c>
      <c r="K31" s="4" t="str">
        <f>HYPERLINK("http://141.218.60.56/~jnz1568/getInfo.php?workbook=06_01.xlsx&amp;sheet=A0&amp;row=31&amp;col=11&amp;number=&amp;sourceID=11","")</f>
        <v/>
      </c>
      <c r="L31" s="4" t="str">
        <f>HYPERLINK("http://141.218.60.56/~jnz1568/getInfo.php?workbook=06_01.xlsx&amp;sheet=A0&amp;row=31&amp;col=12&amp;number=&amp;sourceID=11","")</f>
        <v/>
      </c>
      <c r="M31" s="4" t="str">
        <f>HYPERLINK("http://141.218.60.56/~jnz1568/getInfo.php?workbook=06_01.xlsx&amp;sheet=A0&amp;row=31&amp;col=13&amp;number=0.0094195&amp;sourceID=11","0.0094195")</f>
        <v>0.0094195</v>
      </c>
      <c r="N31" s="4" t="str">
        <f>HYPERLINK("http://141.218.60.56/~jnz1568/getInfo.php?workbook=06_01.xlsx&amp;sheet=A0&amp;row=31&amp;col=14&amp;number=2386900&amp;sourceID=12","2386900")</f>
        <v>2386900</v>
      </c>
      <c r="O31" s="4" t="str">
        <f>HYPERLINK("http://141.218.60.56/~jnz1568/getInfo.php?workbook=06_01.xlsx&amp;sheet=A0&amp;row=31&amp;col=15&amp;number=&amp;sourceID=12","")</f>
        <v/>
      </c>
      <c r="P31" s="4" t="str">
        <f>HYPERLINK("http://141.218.60.56/~jnz1568/getInfo.php?workbook=06_01.xlsx&amp;sheet=A0&amp;row=31&amp;col=16&amp;number=2386900&amp;sourceID=12","2386900")</f>
        <v>2386900</v>
      </c>
      <c r="Q31" s="4" t="str">
        <f>HYPERLINK("http://141.218.60.56/~jnz1568/getInfo.php?workbook=06_01.xlsx&amp;sheet=A0&amp;row=31&amp;col=17&amp;number=&amp;sourceID=12","")</f>
        <v/>
      </c>
      <c r="R31" s="4" t="str">
        <f>HYPERLINK("http://141.218.60.56/~jnz1568/getInfo.php?workbook=06_01.xlsx&amp;sheet=A0&amp;row=31&amp;col=18&amp;number=&amp;sourceID=12","")</f>
        <v/>
      </c>
      <c r="S31" s="4" t="str">
        <f>HYPERLINK("http://141.218.60.56/~jnz1568/getInfo.php?workbook=06_01.xlsx&amp;sheet=A0&amp;row=31&amp;col=19&amp;number=&amp;sourceID=12","")</f>
        <v/>
      </c>
      <c r="T31" s="4" t="str">
        <f>HYPERLINK("http://141.218.60.56/~jnz1568/getInfo.php?workbook=06_01.xlsx&amp;sheet=A0&amp;row=31&amp;col=20&amp;number=0.0094199&amp;sourceID=12","0.0094199")</f>
        <v>0.0094199</v>
      </c>
      <c r="U31" s="4" t="str">
        <f>HYPERLINK("http://141.218.60.56/~jnz1568/getInfo.php?workbook=06_01.xlsx&amp;sheet=A0&amp;row=31&amp;col=21&amp;number==&amp;sourceID=13","=")</f>
        <v>=</v>
      </c>
      <c r="V31" s="4" t="str">
        <f>HYPERLINK("http://141.218.60.56/~jnz1568/getInfo.php?workbook=06_01.xlsx&amp;sheet=A0&amp;row=31&amp;col=22&amp;number=&amp;sourceID=13","")</f>
        <v/>
      </c>
      <c r="W31" s="4" t="str">
        <f>HYPERLINK("http://141.218.60.56/~jnz1568/getInfo.php?workbook=06_01.xlsx&amp;sheet=A0&amp;row=31&amp;col=23&amp;number=2390000&amp;sourceID=13","2390000")</f>
        <v>2390000</v>
      </c>
      <c r="X31" s="4" t="str">
        <f>HYPERLINK("http://141.218.60.56/~jnz1568/getInfo.php?workbook=06_01.xlsx&amp;sheet=A0&amp;row=31&amp;col=24&amp;number=&amp;sourceID=13","")</f>
        <v/>
      </c>
      <c r="Y31" s="4" t="str">
        <f>HYPERLINK("http://141.218.60.56/~jnz1568/getInfo.php?workbook=06_01.xlsx&amp;sheet=A0&amp;row=31&amp;col=25&amp;number=&amp;sourceID=13","")</f>
        <v/>
      </c>
      <c r="Z31" s="4" t="str">
        <f>HYPERLINK("http://141.218.60.56/~jnz1568/getInfo.php?workbook=06_01.xlsx&amp;sheet=A0&amp;row=31&amp;col=26&amp;number=&amp;sourceID=13","")</f>
        <v/>
      </c>
    </row>
    <row r="32" spans="1:26">
      <c r="A32" s="3">
        <v>6</v>
      </c>
      <c r="B32" s="3">
        <v>1</v>
      </c>
      <c r="C32" s="3">
        <v>9</v>
      </c>
      <c r="D32" s="3">
        <v>4</v>
      </c>
      <c r="E32" s="3">
        <f>((1/(INDEX(E0!J$4:J$28,C32,1)-INDEX(E0!J$4:J$28,D32,1))))*100000000</f>
        <v>0</v>
      </c>
      <c r="F32" s="4" t="str">
        <f>HYPERLINK("http://141.218.60.56/~jnz1568/getInfo.php?workbook=06_01.xlsx&amp;sheet=A0&amp;row=32&amp;col=6&amp;number=&amp;sourceID=18","")</f>
        <v/>
      </c>
      <c r="G32" s="4" t="str">
        <f>HYPERLINK("http://141.218.60.56/~jnz1568/getInfo.php?workbook=06_01.xlsx&amp;sheet=A0&amp;row=32&amp;col=7&amp;number==&amp;sourceID=11","=")</f>
        <v>=</v>
      </c>
      <c r="H32" s="4" t="str">
        <f>HYPERLINK("http://141.218.60.56/~jnz1568/getInfo.php?workbook=06_01.xlsx&amp;sheet=A0&amp;row=32&amp;col=8&amp;number=83823000000&amp;sourceID=11","83823000000")</f>
        <v>83823000000</v>
      </c>
      <c r="I32" s="4" t="str">
        <f>HYPERLINK("http://141.218.60.56/~jnz1568/getInfo.php?workbook=06_01.xlsx&amp;sheet=A0&amp;row=32&amp;col=9&amp;number=&amp;sourceID=11","")</f>
        <v/>
      </c>
      <c r="J32" s="4" t="str">
        <f>HYPERLINK("http://141.218.60.56/~jnz1568/getInfo.php?workbook=06_01.xlsx&amp;sheet=A0&amp;row=32&amp;col=10&amp;number=16.908&amp;sourceID=11","16.908")</f>
        <v>16.908</v>
      </c>
      <c r="K32" s="4" t="str">
        <f>HYPERLINK("http://141.218.60.56/~jnz1568/getInfo.php?workbook=06_01.xlsx&amp;sheet=A0&amp;row=32&amp;col=11&amp;number=&amp;sourceID=11","")</f>
        <v/>
      </c>
      <c r="L32" s="4" t="str">
        <f>HYPERLINK("http://141.218.60.56/~jnz1568/getInfo.php?workbook=06_01.xlsx&amp;sheet=A0&amp;row=32&amp;col=12&amp;number=361.16&amp;sourceID=11","361.16")</f>
        <v>361.16</v>
      </c>
      <c r="M32" s="4" t="str">
        <f>HYPERLINK("http://141.218.60.56/~jnz1568/getInfo.php?workbook=06_01.xlsx&amp;sheet=A0&amp;row=32&amp;col=13&amp;number=&amp;sourceID=11","")</f>
        <v/>
      </c>
      <c r="N32" s="4" t="str">
        <f>HYPERLINK("http://141.218.60.56/~jnz1568/getInfo.php?workbook=06_01.xlsx&amp;sheet=A0&amp;row=32&amp;col=14&amp;number=83826000000&amp;sourceID=12","83826000000")</f>
        <v>83826000000</v>
      </c>
      <c r="O32" s="4" t="str">
        <f>HYPERLINK("http://141.218.60.56/~jnz1568/getInfo.php?workbook=06_01.xlsx&amp;sheet=A0&amp;row=32&amp;col=15&amp;number=83826000000&amp;sourceID=12","83826000000")</f>
        <v>83826000000</v>
      </c>
      <c r="P32" s="4" t="str">
        <f>HYPERLINK("http://141.218.60.56/~jnz1568/getInfo.php?workbook=06_01.xlsx&amp;sheet=A0&amp;row=32&amp;col=16&amp;number=&amp;sourceID=12","")</f>
        <v/>
      </c>
      <c r="Q32" s="4" t="str">
        <f>HYPERLINK("http://141.218.60.56/~jnz1568/getInfo.php?workbook=06_01.xlsx&amp;sheet=A0&amp;row=32&amp;col=17&amp;number=16.909&amp;sourceID=12","16.909")</f>
        <v>16.909</v>
      </c>
      <c r="R32" s="4" t="str">
        <f>HYPERLINK("http://141.218.60.56/~jnz1568/getInfo.php?workbook=06_01.xlsx&amp;sheet=A0&amp;row=32&amp;col=18&amp;number=&amp;sourceID=12","")</f>
        <v/>
      </c>
      <c r="S32" s="4" t="str">
        <f>HYPERLINK("http://141.218.60.56/~jnz1568/getInfo.php?workbook=06_01.xlsx&amp;sheet=A0&amp;row=32&amp;col=19&amp;number=361.18&amp;sourceID=12","361.18")</f>
        <v>361.18</v>
      </c>
      <c r="T32" s="4" t="str">
        <f>HYPERLINK("http://141.218.60.56/~jnz1568/getInfo.php?workbook=06_01.xlsx&amp;sheet=A0&amp;row=32&amp;col=20&amp;number=&amp;sourceID=12","")</f>
        <v/>
      </c>
      <c r="U32" s="4" t="str">
        <f>HYPERLINK("http://141.218.60.56/~jnz1568/getInfo.php?workbook=06_01.xlsx&amp;sheet=A0&amp;row=32&amp;col=21&amp;number==&amp;sourceID=13","=")</f>
        <v>=</v>
      </c>
      <c r="V32" s="4" t="str">
        <f>HYPERLINK("http://141.218.60.56/~jnz1568/getInfo.php?workbook=06_01.xlsx&amp;sheet=A0&amp;row=32&amp;col=22&amp;number=83800000000&amp;sourceID=13","83800000000")</f>
        <v>83800000000</v>
      </c>
      <c r="W32" s="4" t="str">
        <f>HYPERLINK("http://141.218.60.56/~jnz1568/getInfo.php?workbook=06_01.xlsx&amp;sheet=A0&amp;row=32&amp;col=23&amp;number=&amp;sourceID=13","")</f>
        <v/>
      </c>
      <c r="X32" s="4" t="str">
        <f>HYPERLINK("http://141.218.60.56/~jnz1568/getInfo.php?workbook=06_01.xlsx&amp;sheet=A0&amp;row=32&amp;col=24&amp;number=&amp;sourceID=13","")</f>
        <v/>
      </c>
      <c r="Y32" s="4" t="str">
        <f>HYPERLINK("http://141.218.60.56/~jnz1568/getInfo.php?workbook=06_01.xlsx&amp;sheet=A0&amp;row=32&amp;col=25&amp;number=&amp;sourceID=13","")</f>
        <v/>
      </c>
      <c r="Z32" s="4" t="str">
        <f>HYPERLINK("http://141.218.60.56/~jnz1568/getInfo.php?workbook=06_01.xlsx&amp;sheet=A0&amp;row=32&amp;col=26&amp;number=&amp;sourceID=13","")</f>
        <v/>
      </c>
    </row>
    <row r="33" spans="1:26">
      <c r="A33" s="3">
        <v>6</v>
      </c>
      <c r="B33" s="3">
        <v>1</v>
      </c>
      <c r="C33" s="3">
        <v>9</v>
      </c>
      <c r="D33" s="3">
        <v>5</v>
      </c>
      <c r="E33" s="3">
        <f>((1/(INDEX(E0!J$4:J$28,C33,1)-INDEX(E0!J$4:J$28,D33,1))))*100000000</f>
        <v>0</v>
      </c>
      <c r="F33" s="4" t="str">
        <f>HYPERLINK("http://141.218.60.56/~jnz1568/getInfo.php?workbook=06_01.xlsx&amp;sheet=A0&amp;row=33&amp;col=6&amp;number=&amp;sourceID=18","")</f>
        <v/>
      </c>
      <c r="G33" s="4" t="str">
        <f>HYPERLINK("http://141.218.60.56/~jnz1568/getInfo.php?workbook=06_01.xlsx&amp;sheet=A0&amp;row=33&amp;col=7&amp;number==&amp;sourceID=11","=")</f>
        <v>=</v>
      </c>
      <c r="H33" s="4" t="str">
        <f>HYPERLINK("http://141.218.60.56/~jnz1568/getInfo.php?workbook=06_01.xlsx&amp;sheet=A0&amp;row=33&amp;col=8&amp;number=&amp;sourceID=11","")</f>
        <v/>
      </c>
      <c r="I33" s="4" t="str">
        <f>HYPERLINK("http://141.218.60.56/~jnz1568/getInfo.php?workbook=06_01.xlsx&amp;sheet=A0&amp;row=33&amp;col=9&amp;number=&amp;sourceID=11","")</f>
        <v/>
      </c>
      <c r="J33" s="4" t="str">
        <f>HYPERLINK("http://141.218.60.56/~jnz1568/getInfo.php?workbook=06_01.xlsx&amp;sheet=A0&amp;row=33&amp;col=10&amp;number=0&amp;sourceID=11","0")</f>
        <v>0</v>
      </c>
      <c r="K33" s="4" t="str">
        <f>HYPERLINK("http://141.218.60.56/~jnz1568/getInfo.php?workbook=06_01.xlsx&amp;sheet=A0&amp;row=33&amp;col=11&amp;number=&amp;sourceID=11","")</f>
        <v/>
      </c>
      <c r="L33" s="4" t="str">
        <f>HYPERLINK("http://141.218.60.56/~jnz1568/getInfo.php?workbook=06_01.xlsx&amp;sheet=A0&amp;row=33&amp;col=12&amp;number=1e-15&amp;sourceID=11","1e-15")</f>
        <v>1e-15</v>
      </c>
      <c r="M33" s="4" t="str">
        <f>HYPERLINK("http://141.218.60.56/~jnz1568/getInfo.php?workbook=06_01.xlsx&amp;sheet=A0&amp;row=33&amp;col=13&amp;number=&amp;sourceID=11","")</f>
        <v/>
      </c>
      <c r="N33" s="4" t="str">
        <f>HYPERLINK("http://141.218.60.56/~jnz1568/getInfo.php?workbook=06_01.xlsx&amp;sheet=A0&amp;row=33&amp;col=14&amp;number=1e-15&amp;sourceID=12","1e-15")</f>
        <v>1e-15</v>
      </c>
      <c r="O33" s="4" t="str">
        <f>HYPERLINK("http://141.218.60.56/~jnz1568/getInfo.php?workbook=06_01.xlsx&amp;sheet=A0&amp;row=33&amp;col=15&amp;number=&amp;sourceID=12","")</f>
        <v/>
      </c>
      <c r="P33" s="4" t="str">
        <f>HYPERLINK("http://141.218.60.56/~jnz1568/getInfo.php?workbook=06_01.xlsx&amp;sheet=A0&amp;row=33&amp;col=16&amp;number=&amp;sourceID=12","")</f>
        <v/>
      </c>
      <c r="Q33" s="4" t="str">
        <f>HYPERLINK("http://141.218.60.56/~jnz1568/getInfo.php?workbook=06_01.xlsx&amp;sheet=A0&amp;row=33&amp;col=17&amp;number=0&amp;sourceID=12","0")</f>
        <v>0</v>
      </c>
      <c r="R33" s="4" t="str">
        <f>HYPERLINK("http://141.218.60.56/~jnz1568/getInfo.php?workbook=06_01.xlsx&amp;sheet=A0&amp;row=33&amp;col=18&amp;number=&amp;sourceID=12","")</f>
        <v/>
      </c>
      <c r="S33" s="4" t="str">
        <f>HYPERLINK("http://141.218.60.56/~jnz1568/getInfo.php?workbook=06_01.xlsx&amp;sheet=A0&amp;row=33&amp;col=19&amp;number=1e-15&amp;sourceID=12","1e-15")</f>
        <v>1e-15</v>
      </c>
      <c r="T33" s="4" t="str">
        <f>HYPERLINK("http://141.218.60.56/~jnz1568/getInfo.php?workbook=06_01.xlsx&amp;sheet=A0&amp;row=33&amp;col=20&amp;number=&amp;sourceID=12","")</f>
        <v/>
      </c>
      <c r="U33" s="4" t="str">
        <f>HYPERLINK("http://141.218.60.56/~jnz1568/getInfo.php?workbook=06_01.xlsx&amp;sheet=A0&amp;row=33&amp;col=21&amp;number=&amp;sourceID=13","")</f>
        <v/>
      </c>
      <c r="V33" s="4" t="str">
        <f>HYPERLINK("http://141.218.60.56/~jnz1568/getInfo.php?workbook=06_01.xlsx&amp;sheet=A0&amp;row=33&amp;col=22&amp;number=&amp;sourceID=13","")</f>
        <v/>
      </c>
      <c r="W33" s="4" t="str">
        <f>HYPERLINK("http://141.218.60.56/~jnz1568/getInfo.php?workbook=06_01.xlsx&amp;sheet=A0&amp;row=33&amp;col=23&amp;number=&amp;sourceID=13","")</f>
        <v/>
      </c>
      <c r="X33" s="4" t="str">
        <f>HYPERLINK("http://141.218.60.56/~jnz1568/getInfo.php?workbook=06_01.xlsx&amp;sheet=A0&amp;row=33&amp;col=24&amp;number=&amp;sourceID=13","")</f>
        <v/>
      </c>
      <c r="Y33" s="4" t="str">
        <f>HYPERLINK("http://141.218.60.56/~jnz1568/getInfo.php?workbook=06_01.xlsx&amp;sheet=A0&amp;row=33&amp;col=25&amp;number=&amp;sourceID=13","")</f>
        <v/>
      </c>
      <c r="Z33" s="4" t="str">
        <f>HYPERLINK("http://141.218.60.56/~jnz1568/getInfo.php?workbook=06_01.xlsx&amp;sheet=A0&amp;row=33&amp;col=26&amp;number=&amp;sourceID=13","")</f>
        <v/>
      </c>
    </row>
    <row r="34" spans="1:26">
      <c r="A34" s="3">
        <v>6</v>
      </c>
      <c r="B34" s="3">
        <v>1</v>
      </c>
      <c r="C34" s="3">
        <v>9</v>
      </c>
      <c r="D34" s="3">
        <v>6</v>
      </c>
      <c r="E34" s="3">
        <f>((1/(INDEX(E0!J$4:J$28,C34,1)-INDEX(E0!J$4:J$28,D34,1))))*100000000</f>
        <v>0</v>
      </c>
      <c r="F34" s="4" t="str">
        <f>HYPERLINK("http://141.218.60.56/~jnz1568/getInfo.php?workbook=06_01.xlsx&amp;sheet=A0&amp;row=34&amp;col=6&amp;number=&amp;sourceID=18","")</f>
        <v/>
      </c>
      <c r="G34" s="4" t="str">
        <f>HYPERLINK("http://141.218.60.56/~jnz1568/getInfo.php?workbook=06_01.xlsx&amp;sheet=A0&amp;row=34&amp;col=7&amp;number==&amp;sourceID=11","=")</f>
        <v>=</v>
      </c>
      <c r="H34" s="4" t="str">
        <f>HYPERLINK("http://141.218.60.56/~jnz1568/getInfo.php?workbook=06_01.xlsx&amp;sheet=A0&amp;row=34&amp;col=8&amp;number=&amp;sourceID=11","")</f>
        <v/>
      </c>
      <c r="I34" s="4" t="str">
        <f>HYPERLINK("http://141.218.60.56/~jnz1568/getInfo.php?workbook=06_01.xlsx&amp;sheet=A0&amp;row=34&amp;col=9&amp;number=8.0385e-11&amp;sourceID=11","8.0385e-11")</f>
        <v>8.0385e-11</v>
      </c>
      <c r="J34" s="4" t="str">
        <f>HYPERLINK("http://141.218.60.56/~jnz1568/getInfo.php?workbook=06_01.xlsx&amp;sheet=A0&amp;row=34&amp;col=10&amp;number=&amp;sourceID=11","")</f>
        <v/>
      </c>
      <c r="K34" s="4" t="str">
        <f>HYPERLINK("http://141.218.60.56/~jnz1568/getInfo.php?workbook=06_01.xlsx&amp;sheet=A0&amp;row=34&amp;col=11&amp;number=&amp;sourceID=11","")</f>
        <v/>
      </c>
      <c r="L34" s="4" t="str">
        <f>HYPERLINK("http://141.218.60.56/~jnz1568/getInfo.php?workbook=06_01.xlsx&amp;sheet=A0&amp;row=34&amp;col=12&amp;number=&amp;sourceID=11","")</f>
        <v/>
      </c>
      <c r="M34" s="4" t="str">
        <f>HYPERLINK("http://141.218.60.56/~jnz1568/getInfo.php?workbook=06_01.xlsx&amp;sheet=A0&amp;row=34&amp;col=13&amp;number=0&amp;sourceID=11","0")</f>
        <v>0</v>
      </c>
      <c r="N34" s="4" t="str">
        <f>HYPERLINK("http://141.218.60.56/~jnz1568/getInfo.php?workbook=06_01.xlsx&amp;sheet=A0&amp;row=34&amp;col=14&amp;number=8.0389e-11&amp;sourceID=12","8.0389e-11")</f>
        <v>8.0389e-11</v>
      </c>
      <c r="O34" s="4" t="str">
        <f>HYPERLINK("http://141.218.60.56/~jnz1568/getInfo.php?workbook=06_01.xlsx&amp;sheet=A0&amp;row=34&amp;col=15&amp;number=&amp;sourceID=12","")</f>
        <v/>
      </c>
      <c r="P34" s="4" t="str">
        <f>HYPERLINK("http://141.218.60.56/~jnz1568/getInfo.php?workbook=06_01.xlsx&amp;sheet=A0&amp;row=34&amp;col=16&amp;number=8.0389e-11&amp;sourceID=12","8.0389e-11")</f>
        <v>8.0389e-11</v>
      </c>
      <c r="Q34" s="4" t="str">
        <f>HYPERLINK("http://141.218.60.56/~jnz1568/getInfo.php?workbook=06_01.xlsx&amp;sheet=A0&amp;row=34&amp;col=17&amp;number=&amp;sourceID=12","")</f>
        <v/>
      </c>
      <c r="R34" s="4" t="str">
        <f>HYPERLINK("http://141.218.60.56/~jnz1568/getInfo.php?workbook=06_01.xlsx&amp;sheet=A0&amp;row=34&amp;col=18&amp;number=&amp;sourceID=12","")</f>
        <v/>
      </c>
      <c r="S34" s="4" t="str">
        <f>HYPERLINK("http://141.218.60.56/~jnz1568/getInfo.php?workbook=06_01.xlsx&amp;sheet=A0&amp;row=34&amp;col=19&amp;number=&amp;sourceID=12","")</f>
        <v/>
      </c>
      <c r="T34" s="4" t="str">
        <f>HYPERLINK("http://141.218.60.56/~jnz1568/getInfo.php?workbook=06_01.xlsx&amp;sheet=A0&amp;row=34&amp;col=20&amp;number=0&amp;sourceID=12","0")</f>
        <v>0</v>
      </c>
      <c r="U34" s="4" t="str">
        <f>HYPERLINK("http://141.218.60.56/~jnz1568/getInfo.php?workbook=06_01.xlsx&amp;sheet=A0&amp;row=34&amp;col=21&amp;number=&amp;sourceID=13","")</f>
        <v/>
      </c>
      <c r="V34" s="4" t="str">
        <f>HYPERLINK("http://141.218.60.56/~jnz1568/getInfo.php?workbook=06_01.xlsx&amp;sheet=A0&amp;row=34&amp;col=22&amp;number=&amp;sourceID=13","")</f>
        <v/>
      </c>
      <c r="W34" s="4" t="str">
        <f>HYPERLINK("http://141.218.60.56/~jnz1568/getInfo.php?workbook=06_01.xlsx&amp;sheet=A0&amp;row=34&amp;col=23&amp;number=&amp;sourceID=13","")</f>
        <v/>
      </c>
      <c r="X34" s="4" t="str">
        <f>HYPERLINK("http://141.218.60.56/~jnz1568/getInfo.php?workbook=06_01.xlsx&amp;sheet=A0&amp;row=34&amp;col=24&amp;number=&amp;sourceID=13","")</f>
        <v/>
      </c>
      <c r="Y34" s="4" t="str">
        <f>HYPERLINK("http://141.218.60.56/~jnz1568/getInfo.php?workbook=06_01.xlsx&amp;sheet=A0&amp;row=34&amp;col=25&amp;number=&amp;sourceID=13","")</f>
        <v/>
      </c>
      <c r="Z34" s="4" t="str">
        <f>HYPERLINK("http://141.218.60.56/~jnz1568/getInfo.php?workbook=06_01.xlsx&amp;sheet=A0&amp;row=34&amp;col=26&amp;number=&amp;sourceID=13","")</f>
        <v/>
      </c>
    </row>
    <row r="35" spans="1:26">
      <c r="A35" s="3">
        <v>6</v>
      </c>
      <c r="B35" s="3">
        <v>1</v>
      </c>
      <c r="C35" s="3">
        <v>9</v>
      </c>
      <c r="D35" s="3">
        <v>7</v>
      </c>
      <c r="E35" s="3">
        <f>((1/(INDEX(E0!J$4:J$28,C35,1)-INDEX(E0!J$4:J$28,D35,1))))*100000000</f>
        <v>0</v>
      </c>
      <c r="F35" s="4" t="str">
        <f>HYPERLINK("http://141.218.60.56/~jnz1568/getInfo.php?workbook=06_01.xlsx&amp;sheet=A0&amp;row=35&amp;col=6&amp;number=&amp;sourceID=18","")</f>
        <v/>
      </c>
      <c r="G35" s="4" t="str">
        <f>HYPERLINK("http://141.218.60.56/~jnz1568/getInfo.php?workbook=06_01.xlsx&amp;sheet=A0&amp;row=35&amp;col=7&amp;number==&amp;sourceID=11","=")</f>
        <v>=</v>
      </c>
      <c r="H35" s="4" t="str">
        <f>HYPERLINK("http://141.218.60.56/~jnz1568/getInfo.php?workbook=06_01.xlsx&amp;sheet=A0&amp;row=35&amp;col=8&amp;number=&amp;sourceID=11","")</f>
        <v/>
      </c>
      <c r="I35" s="4" t="str">
        <f>HYPERLINK("http://141.218.60.56/~jnz1568/getInfo.php?workbook=06_01.xlsx&amp;sheet=A0&amp;row=35&amp;col=9&amp;number=1.8e-14&amp;sourceID=11","1.8e-14")</f>
        <v>1.8e-14</v>
      </c>
      <c r="J35" s="4" t="str">
        <f>HYPERLINK("http://141.218.60.56/~jnz1568/getInfo.php?workbook=06_01.xlsx&amp;sheet=A0&amp;row=35&amp;col=10&amp;number=&amp;sourceID=11","")</f>
        <v/>
      </c>
      <c r="K35" s="4" t="str">
        <f>HYPERLINK("http://141.218.60.56/~jnz1568/getInfo.php?workbook=06_01.xlsx&amp;sheet=A0&amp;row=35&amp;col=11&amp;number=1.1033e-06&amp;sourceID=11","1.1033e-06")</f>
        <v>1.1033e-06</v>
      </c>
      <c r="L35" s="4" t="str">
        <f>HYPERLINK("http://141.218.60.56/~jnz1568/getInfo.php?workbook=06_01.xlsx&amp;sheet=A0&amp;row=35&amp;col=12&amp;number=&amp;sourceID=11","")</f>
        <v/>
      </c>
      <c r="M35" s="4" t="str">
        <f>HYPERLINK("http://141.218.60.56/~jnz1568/getInfo.php?workbook=06_01.xlsx&amp;sheet=A0&amp;row=35&amp;col=13&amp;number=0&amp;sourceID=11","0")</f>
        <v>0</v>
      </c>
      <c r="N35" s="4" t="str">
        <f>HYPERLINK("http://141.218.60.56/~jnz1568/getInfo.php?workbook=06_01.xlsx&amp;sheet=A0&amp;row=35&amp;col=14&amp;number=1.1033e-06&amp;sourceID=12","1.1033e-06")</f>
        <v>1.1033e-06</v>
      </c>
      <c r="O35" s="4" t="str">
        <f>HYPERLINK("http://141.218.60.56/~jnz1568/getInfo.php?workbook=06_01.xlsx&amp;sheet=A0&amp;row=35&amp;col=15&amp;number=&amp;sourceID=12","")</f>
        <v/>
      </c>
      <c r="P35" s="4" t="str">
        <f>HYPERLINK("http://141.218.60.56/~jnz1568/getInfo.php?workbook=06_01.xlsx&amp;sheet=A0&amp;row=35&amp;col=16&amp;number=1.8e-14&amp;sourceID=12","1.8e-14")</f>
        <v>1.8e-14</v>
      </c>
      <c r="Q35" s="4" t="str">
        <f>HYPERLINK("http://141.218.60.56/~jnz1568/getInfo.php?workbook=06_01.xlsx&amp;sheet=A0&amp;row=35&amp;col=17&amp;number=&amp;sourceID=12","")</f>
        <v/>
      </c>
      <c r="R35" s="4" t="str">
        <f>HYPERLINK("http://141.218.60.56/~jnz1568/getInfo.php?workbook=06_01.xlsx&amp;sheet=A0&amp;row=35&amp;col=18&amp;number=1.1033e-06&amp;sourceID=12","1.1033e-06")</f>
        <v>1.1033e-06</v>
      </c>
      <c r="S35" s="4" t="str">
        <f>HYPERLINK("http://141.218.60.56/~jnz1568/getInfo.php?workbook=06_01.xlsx&amp;sheet=A0&amp;row=35&amp;col=19&amp;number=&amp;sourceID=12","")</f>
        <v/>
      </c>
      <c r="T35" s="4" t="str">
        <f>HYPERLINK("http://141.218.60.56/~jnz1568/getInfo.php?workbook=06_01.xlsx&amp;sheet=A0&amp;row=35&amp;col=20&amp;number=0&amp;sourceID=12","0")</f>
        <v>0</v>
      </c>
      <c r="U35" s="4" t="str">
        <f>HYPERLINK("http://141.218.60.56/~jnz1568/getInfo.php?workbook=06_01.xlsx&amp;sheet=A0&amp;row=35&amp;col=21&amp;number=&amp;sourceID=13","")</f>
        <v/>
      </c>
      <c r="V35" s="4" t="str">
        <f>HYPERLINK("http://141.218.60.56/~jnz1568/getInfo.php?workbook=06_01.xlsx&amp;sheet=A0&amp;row=35&amp;col=22&amp;number=&amp;sourceID=13","")</f>
        <v/>
      </c>
      <c r="W35" s="4" t="str">
        <f>HYPERLINK("http://141.218.60.56/~jnz1568/getInfo.php?workbook=06_01.xlsx&amp;sheet=A0&amp;row=35&amp;col=23&amp;number=&amp;sourceID=13","")</f>
        <v/>
      </c>
      <c r="X35" s="4" t="str">
        <f>HYPERLINK("http://141.218.60.56/~jnz1568/getInfo.php?workbook=06_01.xlsx&amp;sheet=A0&amp;row=35&amp;col=24&amp;number=&amp;sourceID=13","")</f>
        <v/>
      </c>
      <c r="Y35" s="4" t="str">
        <f>HYPERLINK("http://141.218.60.56/~jnz1568/getInfo.php?workbook=06_01.xlsx&amp;sheet=A0&amp;row=35&amp;col=25&amp;number=&amp;sourceID=13","")</f>
        <v/>
      </c>
      <c r="Z35" s="4" t="str">
        <f>HYPERLINK("http://141.218.60.56/~jnz1568/getInfo.php?workbook=06_01.xlsx&amp;sheet=A0&amp;row=35&amp;col=26&amp;number=&amp;sourceID=13","")</f>
        <v/>
      </c>
    </row>
    <row r="36" spans="1:26">
      <c r="A36" s="3">
        <v>6</v>
      </c>
      <c r="B36" s="3">
        <v>1</v>
      </c>
      <c r="C36" s="3">
        <v>9</v>
      </c>
      <c r="D36" s="3">
        <v>8</v>
      </c>
      <c r="E36" s="3">
        <f>((1/(INDEX(E0!J$4:J$28,C36,1)-INDEX(E0!J$4:J$28,D36,1))))*100000000</f>
        <v>0</v>
      </c>
      <c r="F36" s="4" t="str">
        <f>HYPERLINK("http://141.218.60.56/~jnz1568/getInfo.php?workbook=06_01.xlsx&amp;sheet=A0&amp;row=36&amp;col=6&amp;number=&amp;sourceID=18","")</f>
        <v/>
      </c>
      <c r="G36" s="4" t="str">
        <f>HYPERLINK("http://141.218.60.56/~jnz1568/getInfo.php?workbook=06_01.xlsx&amp;sheet=A0&amp;row=36&amp;col=7&amp;number==&amp;sourceID=11","=")</f>
        <v>=</v>
      </c>
      <c r="H36" s="4" t="str">
        <f>HYPERLINK("http://141.218.60.56/~jnz1568/getInfo.php?workbook=06_01.xlsx&amp;sheet=A0&amp;row=36&amp;col=8&amp;number=0.23306&amp;sourceID=11","0.23306")</f>
        <v>0.23306</v>
      </c>
      <c r="I36" s="4" t="str">
        <f>HYPERLINK("http://141.218.60.56/~jnz1568/getInfo.php?workbook=06_01.xlsx&amp;sheet=A0&amp;row=36&amp;col=9&amp;number=&amp;sourceID=11","")</f>
        <v/>
      </c>
      <c r="J36" s="4" t="str">
        <f>HYPERLINK("http://141.218.60.56/~jnz1568/getInfo.php?workbook=06_01.xlsx&amp;sheet=A0&amp;row=36&amp;col=10&amp;number=0&amp;sourceID=11","0")</f>
        <v>0</v>
      </c>
      <c r="K36" s="4" t="str">
        <f>HYPERLINK("http://141.218.60.56/~jnz1568/getInfo.php?workbook=06_01.xlsx&amp;sheet=A0&amp;row=36&amp;col=11&amp;number=&amp;sourceID=11","")</f>
        <v/>
      </c>
      <c r="L36" s="4" t="str">
        <f>HYPERLINK("http://141.218.60.56/~jnz1568/getInfo.php?workbook=06_01.xlsx&amp;sheet=A0&amp;row=36&amp;col=12&amp;number=0&amp;sourceID=11","0")</f>
        <v>0</v>
      </c>
      <c r="M36" s="4" t="str">
        <f>HYPERLINK("http://141.218.60.56/~jnz1568/getInfo.php?workbook=06_01.xlsx&amp;sheet=A0&amp;row=36&amp;col=13&amp;number=&amp;sourceID=11","")</f>
        <v/>
      </c>
      <c r="N36" s="4" t="str">
        <f>HYPERLINK("http://141.218.60.56/~jnz1568/getInfo.php?workbook=06_01.xlsx&amp;sheet=A0&amp;row=36&amp;col=14&amp;number=0.23308&amp;sourceID=12","0.23308")</f>
        <v>0.23308</v>
      </c>
      <c r="O36" s="4" t="str">
        <f>HYPERLINK("http://141.218.60.56/~jnz1568/getInfo.php?workbook=06_01.xlsx&amp;sheet=A0&amp;row=36&amp;col=15&amp;number=0.23308&amp;sourceID=12","0.23308")</f>
        <v>0.23308</v>
      </c>
      <c r="P36" s="4" t="str">
        <f>HYPERLINK("http://141.218.60.56/~jnz1568/getInfo.php?workbook=06_01.xlsx&amp;sheet=A0&amp;row=36&amp;col=16&amp;number=&amp;sourceID=12","")</f>
        <v/>
      </c>
      <c r="Q36" s="4" t="str">
        <f>HYPERLINK("http://141.218.60.56/~jnz1568/getInfo.php?workbook=06_01.xlsx&amp;sheet=A0&amp;row=36&amp;col=17&amp;number=0&amp;sourceID=12","0")</f>
        <v>0</v>
      </c>
      <c r="R36" s="4" t="str">
        <f>HYPERLINK("http://141.218.60.56/~jnz1568/getInfo.php?workbook=06_01.xlsx&amp;sheet=A0&amp;row=36&amp;col=18&amp;number=&amp;sourceID=12","")</f>
        <v/>
      </c>
      <c r="S36" s="4" t="str">
        <f>HYPERLINK("http://141.218.60.56/~jnz1568/getInfo.php?workbook=06_01.xlsx&amp;sheet=A0&amp;row=36&amp;col=19&amp;number=0&amp;sourceID=12","0")</f>
        <v>0</v>
      </c>
      <c r="T36" s="4" t="str">
        <f>HYPERLINK("http://141.218.60.56/~jnz1568/getInfo.php?workbook=06_01.xlsx&amp;sheet=A0&amp;row=36&amp;col=20&amp;number=&amp;sourceID=12","")</f>
        <v/>
      </c>
      <c r="U36" s="4" t="str">
        <f>HYPERLINK("http://141.218.60.56/~jnz1568/getInfo.php?workbook=06_01.xlsx&amp;sheet=A0&amp;row=36&amp;col=21&amp;number=&amp;sourceID=13","")</f>
        <v/>
      </c>
      <c r="V36" s="4" t="str">
        <f>HYPERLINK("http://141.218.60.56/~jnz1568/getInfo.php?workbook=06_01.xlsx&amp;sheet=A0&amp;row=36&amp;col=22&amp;number=&amp;sourceID=13","")</f>
        <v/>
      </c>
      <c r="W36" s="4" t="str">
        <f>HYPERLINK("http://141.218.60.56/~jnz1568/getInfo.php?workbook=06_01.xlsx&amp;sheet=A0&amp;row=36&amp;col=23&amp;number=&amp;sourceID=13","")</f>
        <v/>
      </c>
      <c r="X36" s="4" t="str">
        <f>HYPERLINK("http://141.218.60.56/~jnz1568/getInfo.php?workbook=06_01.xlsx&amp;sheet=A0&amp;row=36&amp;col=24&amp;number=&amp;sourceID=13","")</f>
        <v/>
      </c>
      <c r="Y36" s="4" t="str">
        <f>HYPERLINK("http://141.218.60.56/~jnz1568/getInfo.php?workbook=06_01.xlsx&amp;sheet=A0&amp;row=36&amp;col=25&amp;number=&amp;sourceID=13","")</f>
        <v/>
      </c>
      <c r="Z36" s="4" t="str">
        <f>HYPERLINK("http://141.218.60.56/~jnz1568/getInfo.php?workbook=06_01.xlsx&amp;sheet=A0&amp;row=36&amp;col=26&amp;number=&amp;sourceID=13","")</f>
        <v/>
      </c>
    </row>
    <row r="37" spans="1:26">
      <c r="A37" s="3">
        <v>6</v>
      </c>
      <c r="B37" s="3">
        <v>1</v>
      </c>
      <c r="C37" s="3">
        <v>10</v>
      </c>
      <c r="D37" s="3">
        <v>1</v>
      </c>
      <c r="E37" s="3">
        <f>((1/(INDEX(E0!J$4:J$28,C37,1)-INDEX(E0!J$4:J$28,D37,1))))*100000000</f>
        <v>0</v>
      </c>
      <c r="F37" s="4" t="str">
        <f>HYPERLINK("http://141.218.60.56/~jnz1568/getInfo.php?workbook=06_01.xlsx&amp;sheet=A0&amp;row=37&amp;col=6&amp;number=&amp;sourceID=18","")</f>
        <v/>
      </c>
      <c r="G37" s="4" t="str">
        <f>HYPERLINK("http://141.218.60.56/~jnz1568/getInfo.php?workbook=06_01.xlsx&amp;sheet=A0&amp;row=37&amp;col=7&amp;number==&amp;sourceID=11","=")</f>
        <v>=</v>
      </c>
      <c r="H37" s="4" t="str">
        <f>HYPERLINK("http://141.218.60.56/~jnz1568/getInfo.php?workbook=06_01.xlsx&amp;sheet=A0&amp;row=37&amp;col=8&amp;number=88365000000&amp;sourceID=11","88365000000")</f>
        <v>88365000000</v>
      </c>
      <c r="I37" s="4" t="str">
        <f>HYPERLINK("http://141.218.60.56/~jnz1568/getInfo.php?workbook=06_01.xlsx&amp;sheet=A0&amp;row=37&amp;col=9&amp;number=&amp;sourceID=11","")</f>
        <v/>
      </c>
      <c r="J37" s="4" t="str">
        <f>HYPERLINK("http://141.218.60.56/~jnz1568/getInfo.php?workbook=06_01.xlsx&amp;sheet=A0&amp;row=37&amp;col=10&amp;number=&amp;sourceID=11","")</f>
        <v/>
      </c>
      <c r="K37" s="4" t="str">
        <f>HYPERLINK("http://141.218.60.56/~jnz1568/getInfo.php?workbook=06_01.xlsx&amp;sheet=A0&amp;row=37&amp;col=11&amp;number=&amp;sourceID=11","")</f>
        <v/>
      </c>
      <c r="L37" s="4" t="str">
        <f>HYPERLINK("http://141.218.60.56/~jnz1568/getInfo.php?workbook=06_01.xlsx&amp;sheet=A0&amp;row=37&amp;col=12&amp;number=&amp;sourceID=11","")</f>
        <v/>
      </c>
      <c r="M37" s="4" t="str">
        <f>HYPERLINK("http://141.218.60.56/~jnz1568/getInfo.php?workbook=06_01.xlsx&amp;sheet=A0&amp;row=37&amp;col=13&amp;number=&amp;sourceID=11","")</f>
        <v/>
      </c>
      <c r="N37" s="4" t="str">
        <f>HYPERLINK("http://141.218.60.56/~jnz1568/getInfo.php?workbook=06_01.xlsx&amp;sheet=A0&amp;row=37&amp;col=14&amp;number=88369000000&amp;sourceID=12","88369000000")</f>
        <v>88369000000</v>
      </c>
      <c r="O37" s="4" t="str">
        <f>HYPERLINK("http://141.218.60.56/~jnz1568/getInfo.php?workbook=06_01.xlsx&amp;sheet=A0&amp;row=37&amp;col=15&amp;number=88369000000&amp;sourceID=12","88369000000")</f>
        <v>88369000000</v>
      </c>
      <c r="P37" s="4" t="str">
        <f>HYPERLINK("http://141.218.60.56/~jnz1568/getInfo.php?workbook=06_01.xlsx&amp;sheet=A0&amp;row=37&amp;col=16&amp;number=&amp;sourceID=12","")</f>
        <v/>
      </c>
      <c r="Q37" s="4" t="str">
        <f>HYPERLINK("http://141.218.60.56/~jnz1568/getInfo.php?workbook=06_01.xlsx&amp;sheet=A0&amp;row=37&amp;col=17&amp;number=&amp;sourceID=12","")</f>
        <v/>
      </c>
      <c r="R37" s="4" t="str">
        <f>HYPERLINK("http://141.218.60.56/~jnz1568/getInfo.php?workbook=06_01.xlsx&amp;sheet=A0&amp;row=37&amp;col=18&amp;number=&amp;sourceID=12","")</f>
        <v/>
      </c>
      <c r="S37" s="4" t="str">
        <f>HYPERLINK("http://141.218.60.56/~jnz1568/getInfo.php?workbook=06_01.xlsx&amp;sheet=A0&amp;row=37&amp;col=19&amp;number=&amp;sourceID=12","")</f>
        <v/>
      </c>
      <c r="T37" s="4" t="str">
        <f>HYPERLINK("http://141.218.60.56/~jnz1568/getInfo.php?workbook=06_01.xlsx&amp;sheet=A0&amp;row=37&amp;col=20&amp;number=&amp;sourceID=12","")</f>
        <v/>
      </c>
      <c r="U37" s="4" t="str">
        <f>HYPERLINK("http://141.218.60.56/~jnz1568/getInfo.php?workbook=06_01.xlsx&amp;sheet=A0&amp;row=37&amp;col=21&amp;number==SUM(V37:Z37)&amp;sourceID=13","=SUM(V37:Z37)")</f>
        <v>=SUM(V37:Z37)</v>
      </c>
      <c r="V37" s="4" t="str">
        <f>HYPERLINK("http://141.218.60.56/~jnz1568/getInfo.php?workbook=06_01.xlsx&amp;sheet=A0&amp;row=37&amp;col=22&amp;number=87400000000&amp;sourceID=13","87400000000")</f>
        <v>87400000000</v>
      </c>
      <c r="W37" s="4" t="str">
        <f>HYPERLINK("http://141.218.60.56/~jnz1568/getInfo.php?workbook=06_01.xlsx&amp;sheet=A0&amp;row=37&amp;col=23&amp;number=&amp;sourceID=13","")</f>
        <v/>
      </c>
      <c r="X37" s="4" t="str">
        <f>HYPERLINK("http://141.218.60.56/~jnz1568/getInfo.php?workbook=06_01.xlsx&amp;sheet=A0&amp;row=37&amp;col=24&amp;number=&amp;sourceID=13","")</f>
        <v/>
      </c>
      <c r="Y37" s="4" t="str">
        <f>HYPERLINK("http://141.218.60.56/~jnz1568/getInfo.php?workbook=06_01.xlsx&amp;sheet=A0&amp;row=37&amp;col=25&amp;number=&amp;sourceID=13","")</f>
        <v/>
      </c>
      <c r="Z37" s="4" t="str">
        <f>HYPERLINK("http://141.218.60.56/~jnz1568/getInfo.php?workbook=06_01.xlsx&amp;sheet=A0&amp;row=37&amp;col=26&amp;number=&amp;sourceID=13","")</f>
        <v/>
      </c>
    </row>
    <row r="38" spans="1:26">
      <c r="A38" s="3">
        <v>6</v>
      </c>
      <c r="B38" s="3">
        <v>1</v>
      </c>
      <c r="C38" s="3">
        <v>10</v>
      </c>
      <c r="D38" s="3">
        <v>2</v>
      </c>
      <c r="E38" s="3">
        <f>((1/(INDEX(E0!J$4:J$28,C38,1)-INDEX(E0!J$4:J$28,D38,1))))*100000000</f>
        <v>0</v>
      </c>
      <c r="F38" s="4" t="str">
        <f>HYPERLINK("http://141.218.60.56/~jnz1568/getInfo.php?workbook=06_01.xlsx&amp;sheet=A0&amp;row=38&amp;col=6&amp;number=&amp;sourceID=18","")</f>
        <v/>
      </c>
      <c r="G38" s="4" t="str">
        <f>HYPERLINK("http://141.218.60.56/~jnz1568/getInfo.php?workbook=06_01.xlsx&amp;sheet=A0&amp;row=38&amp;col=7&amp;number==&amp;sourceID=11","=")</f>
        <v>=</v>
      </c>
      <c r="H38" s="4" t="str">
        <f>HYPERLINK("http://141.218.60.56/~jnz1568/getInfo.php?workbook=06_01.xlsx&amp;sheet=A0&amp;row=38&amp;col=8&amp;number=&amp;sourceID=11","")</f>
        <v/>
      </c>
      <c r="I38" s="4" t="str">
        <f>HYPERLINK("http://141.218.60.56/~jnz1568/getInfo.php?workbook=06_01.xlsx&amp;sheet=A0&amp;row=38&amp;col=9&amp;number=&amp;sourceID=11","")</f>
        <v/>
      </c>
      <c r="J38" s="4" t="str">
        <f>HYPERLINK("http://141.218.60.56/~jnz1568/getInfo.php?workbook=06_01.xlsx&amp;sheet=A0&amp;row=38&amp;col=10&amp;number=&amp;sourceID=11","")</f>
        <v/>
      </c>
      <c r="K38" s="4" t="str">
        <f>HYPERLINK("http://141.218.60.56/~jnz1568/getInfo.php?workbook=06_01.xlsx&amp;sheet=A0&amp;row=38&amp;col=11&amp;number=0.023354&amp;sourceID=11","0.023354")</f>
        <v>0.023354</v>
      </c>
      <c r="L38" s="4" t="str">
        <f>HYPERLINK("http://141.218.60.56/~jnz1568/getInfo.php?workbook=06_01.xlsx&amp;sheet=A0&amp;row=38&amp;col=12&amp;number=&amp;sourceID=11","")</f>
        <v/>
      </c>
      <c r="M38" s="4" t="str">
        <f>HYPERLINK("http://141.218.60.56/~jnz1568/getInfo.php?workbook=06_01.xlsx&amp;sheet=A0&amp;row=38&amp;col=13&amp;number=&amp;sourceID=11","")</f>
        <v/>
      </c>
      <c r="N38" s="4" t="str">
        <f>HYPERLINK("http://141.218.60.56/~jnz1568/getInfo.php?workbook=06_01.xlsx&amp;sheet=A0&amp;row=38&amp;col=14&amp;number=0.023355&amp;sourceID=12","0.023355")</f>
        <v>0.023355</v>
      </c>
      <c r="O38" s="4" t="str">
        <f>HYPERLINK("http://141.218.60.56/~jnz1568/getInfo.php?workbook=06_01.xlsx&amp;sheet=A0&amp;row=38&amp;col=15&amp;number=&amp;sourceID=12","")</f>
        <v/>
      </c>
      <c r="P38" s="4" t="str">
        <f>HYPERLINK("http://141.218.60.56/~jnz1568/getInfo.php?workbook=06_01.xlsx&amp;sheet=A0&amp;row=38&amp;col=16&amp;number=&amp;sourceID=12","")</f>
        <v/>
      </c>
      <c r="Q38" s="4" t="str">
        <f>HYPERLINK("http://141.218.60.56/~jnz1568/getInfo.php?workbook=06_01.xlsx&amp;sheet=A0&amp;row=38&amp;col=17&amp;number=&amp;sourceID=12","")</f>
        <v/>
      </c>
      <c r="R38" s="4" t="str">
        <f>HYPERLINK("http://141.218.60.56/~jnz1568/getInfo.php?workbook=06_01.xlsx&amp;sheet=A0&amp;row=38&amp;col=18&amp;number=0.023355&amp;sourceID=12","0.023355")</f>
        <v>0.023355</v>
      </c>
      <c r="S38" s="4" t="str">
        <f>HYPERLINK("http://141.218.60.56/~jnz1568/getInfo.php?workbook=06_01.xlsx&amp;sheet=A0&amp;row=38&amp;col=19&amp;number=&amp;sourceID=12","")</f>
        <v/>
      </c>
      <c r="T38" s="4" t="str">
        <f>HYPERLINK("http://141.218.60.56/~jnz1568/getInfo.php?workbook=06_01.xlsx&amp;sheet=A0&amp;row=38&amp;col=20&amp;number=&amp;sourceID=12","")</f>
        <v/>
      </c>
      <c r="U38" s="4" t="str">
        <f>HYPERLINK("http://141.218.60.56/~jnz1568/getInfo.php?workbook=06_01.xlsx&amp;sheet=A0&amp;row=38&amp;col=21&amp;number==&amp;sourceID=13","=")</f>
        <v>=</v>
      </c>
      <c r="V38" s="4" t="str">
        <f>HYPERLINK("http://141.218.60.56/~jnz1568/getInfo.php?workbook=06_01.xlsx&amp;sheet=A0&amp;row=38&amp;col=22&amp;number=&amp;sourceID=13","")</f>
        <v/>
      </c>
      <c r="W38" s="4" t="str">
        <f>HYPERLINK("http://141.218.60.56/~jnz1568/getInfo.php?workbook=06_01.xlsx&amp;sheet=A0&amp;row=38&amp;col=23&amp;number=&amp;sourceID=13","")</f>
        <v/>
      </c>
      <c r="X38" s="4" t="str">
        <f>HYPERLINK("http://141.218.60.56/~jnz1568/getInfo.php?workbook=06_01.xlsx&amp;sheet=A0&amp;row=38&amp;col=24&amp;number=&amp;sourceID=13","")</f>
        <v/>
      </c>
      <c r="Y38" s="4" t="str">
        <f>HYPERLINK("http://141.218.60.56/~jnz1568/getInfo.php?workbook=06_01.xlsx&amp;sheet=A0&amp;row=38&amp;col=25&amp;number=0.0231&amp;sourceID=13","0.0231")</f>
        <v>0.0231</v>
      </c>
      <c r="Z38" s="4" t="str">
        <f>HYPERLINK("http://141.218.60.56/~jnz1568/getInfo.php?workbook=06_01.xlsx&amp;sheet=A0&amp;row=38&amp;col=26&amp;number=&amp;sourceID=13","")</f>
        <v/>
      </c>
    </row>
    <row r="39" spans="1:26">
      <c r="A39" s="3">
        <v>6</v>
      </c>
      <c r="B39" s="3">
        <v>1</v>
      </c>
      <c r="C39" s="3">
        <v>10</v>
      </c>
      <c r="D39" s="3">
        <v>3</v>
      </c>
      <c r="E39" s="3">
        <f>((1/(INDEX(E0!J$4:J$28,C39,1)-INDEX(E0!J$4:J$28,D39,1))))*100000000</f>
        <v>0</v>
      </c>
      <c r="F39" s="4" t="str">
        <f>HYPERLINK("http://141.218.60.56/~jnz1568/getInfo.php?workbook=06_01.xlsx&amp;sheet=A0&amp;row=39&amp;col=6&amp;number=&amp;sourceID=18","")</f>
        <v/>
      </c>
      <c r="G39" s="4" t="str">
        <f>HYPERLINK("http://141.218.60.56/~jnz1568/getInfo.php?workbook=06_01.xlsx&amp;sheet=A0&amp;row=39&amp;col=7&amp;number==&amp;sourceID=11","=")</f>
        <v>=</v>
      </c>
      <c r="H39" s="4" t="str">
        <f>HYPERLINK("http://141.218.60.56/~jnz1568/getInfo.php?workbook=06_01.xlsx&amp;sheet=A0&amp;row=39&amp;col=8&amp;number=12549000000&amp;sourceID=11","12549000000")</f>
        <v>12549000000</v>
      </c>
      <c r="I39" s="4" t="str">
        <f>HYPERLINK("http://141.218.60.56/~jnz1568/getInfo.php?workbook=06_01.xlsx&amp;sheet=A0&amp;row=39&amp;col=9&amp;number=&amp;sourceID=11","")</f>
        <v/>
      </c>
      <c r="J39" s="4" t="str">
        <f>HYPERLINK("http://141.218.60.56/~jnz1568/getInfo.php?workbook=06_01.xlsx&amp;sheet=A0&amp;row=39&amp;col=10&amp;number=&amp;sourceID=11","")</f>
        <v/>
      </c>
      <c r="K39" s="4" t="str">
        <f>HYPERLINK("http://141.218.60.56/~jnz1568/getInfo.php?workbook=06_01.xlsx&amp;sheet=A0&amp;row=39&amp;col=11&amp;number=&amp;sourceID=11","")</f>
        <v/>
      </c>
      <c r="L39" s="4" t="str">
        <f>HYPERLINK("http://141.218.60.56/~jnz1568/getInfo.php?workbook=06_01.xlsx&amp;sheet=A0&amp;row=39&amp;col=12&amp;number=&amp;sourceID=11","")</f>
        <v/>
      </c>
      <c r="M39" s="4" t="str">
        <f>HYPERLINK("http://141.218.60.56/~jnz1568/getInfo.php?workbook=06_01.xlsx&amp;sheet=A0&amp;row=39&amp;col=13&amp;number=&amp;sourceID=11","")</f>
        <v/>
      </c>
      <c r="N39" s="4" t="str">
        <f>HYPERLINK("http://141.218.60.56/~jnz1568/getInfo.php?workbook=06_01.xlsx&amp;sheet=A0&amp;row=39&amp;col=14&amp;number=12550000000&amp;sourceID=12","12550000000")</f>
        <v>12550000000</v>
      </c>
      <c r="O39" s="4" t="str">
        <f>HYPERLINK("http://141.218.60.56/~jnz1568/getInfo.php?workbook=06_01.xlsx&amp;sheet=A0&amp;row=39&amp;col=15&amp;number=12550000000&amp;sourceID=12","12550000000")</f>
        <v>12550000000</v>
      </c>
      <c r="P39" s="4" t="str">
        <f>HYPERLINK("http://141.218.60.56/~jnz1568/getInfo.php?workbook=06_01.xlsx&amp;sheet=A0&amp;row=39&amp;col=16&amp;number=&amp;sourceID=12","")</f>
        <v/>
      </c>
      <c r="Q39" s="4" t="str">
        <f>HYPERLINK("http://141.218.60.56/~jnz1568/getInfo.php?workbook=06_01.xlsx&amp;sheet=A0&amp;row=39&amp;col=17&amp;number=&amp;sourceID=12","")</f>
        <v/>
      </c>
      <c r="R39" s="4" t="str">
        <f>HYPERLINK("http://141.218.60.56/~jnz1568/getInfo.php?workbook=06_01.xlsx&amp;sheet=A0&amp;row=39&amp;col=18&amp;number=&amp;sourceID=12","")</f>
        <v/>
      </c>
      <c r="S39" s="4" t="str">
        <f>HYPERLINK("http://141.218.60.56/~jnz1568/getInfo.php?workbook=06_01.xlsx&amp;sheet=A0&amp;row=39&amp;col=19&amp;number=&amp;sourceID=12","")</f>
        <v/>
      </c>
      <c r="T39" s="4" t="str">
        <f>HYPERLINK("http://141.218.60.56/~jnz1568/getInfo.php?workbook=06_01.xlsx&amp;sheet=A0&amp;row=39&amp;col=20&amp;number=&amp;sourceID=12","")</f>
        <v/>
      </c>
      <c r="U39" s="4" t="str">
        <f>HYPERLINK("http://141.218.60.56/~jnz1568/getInfo.php?workbook=06_01.xlsx&amp;sheet=A0&amp;row=39&amp;col=21&amp;number==&amp;sourceID=13","=")</f>
        <v>=</v>
      </c>
      <c r="V39" s="4" t="str">
        <f>HYPERLINK("http://141.218.60.56/~jnz1568/getInfo.php?workbook=06_01.xlsx&amp;sheet=A0&amp;row=39&amp;col=22&amp;number=12500000000&amp;sourceID=13","12500000000")</f>
        <v>12500000000</v>
      </c>
      <c r="W39" s="4" t="str">
        <f>HYPERLINK("http://141.218.60.56/~jnz1568/getInfo.php?workbook=06_01.xlsx&amp;sheet=A0&amp;row=39&amp;col=23&amp;number=&amp;sourceID=13","")</f>
        <v/>
      </c>
      <c r="X39" s="4" t="str">
        <f>HYPERLINK("http://141.218.60.56/~jnz1568/getInfo.php?workbook=06_01.xlsx&amp;sheet=A0&amp;row=39&amp;col=24&amp;number=&amp;sourceID=13","")</f>
        <v/>
      </c>
      <c r="Y39" s="4" t="str">
        <f>HYPERLINK("http://141.218.60.56/~jnz1568/getInfo.php?workbook=06_01.xlsx&amp;sheet=A0&amp;row=39&amp;col=25&amp;number=&amp;sourceID=13","")</f>
        <v/>
      </c>
      <c r="Z39" s="4" t="str">
        <f>HYPERLINK("http://141.218.60.56/~jnz1568/getInfo.php?workbook=06_01.xlsx&amp;sheet=A0&amp;row=39&amp;col=26&amp;number=&amp;sourceID=13","")</f>
        <v/>
      </c>
    </row>
    <row r="40" spans="1:26">
      <c r="A40" s="3">
        <v>6</v>
      </c>
      <c r="B40" s="3">
        <v>1</v>
      </c>
      <c r="C40" s="3">
        <v>10</v>
      </c>
      <c r="D40" s="3">
        <v>4</v>
      </c>
      <c r="E40" s="3">
        <f>((1/(INDEX(E0!J$4:J$28,C40,1)-INDEX(E0!J$4:J$28,D40,1))))*100000000</f>
        <v>0</v>
      </c>
      <c r="F40" s="4" t="str">
        <f>HYPERLINK("http://141.218.60.56/~jnz1568/getInfo.php?workbook=06_01.xlsx&amp;sheet=A0&amp;row=40&amp;col=6&amp;number=&amp;sourceID=18","")</f>
        <v/>
      </c>
      <c r="G40" s="4" t="str">
        <f>HYPERLINK("http://141.218.60.56/~jnz1568/getInfo.php?workbook=06_01.xlsx&amp;sheet=A0&amp;row=40&amp;col=7&amp;number==&amp;sourceID=11","=")</f>
        <v>=</v>
      </c>
      <c r="H40" s="4" t="str">
        <f>HYPERLINK("http://141.218.60.56/~jnz1568/getInfo.php?workbook=06_01.xlsx&amp;sheet=A0&amp;row=40&amp;col=8&amp;number=&amp;sourceID=11","")</f>
        <v/>
      </c>
      <c r="I40" s="4" t="str">
        <f>HYPERLINK("http://141.218.60.56/~jnz1568/getInfo.php?workbook=06_01.xlsx&amp;sheet=A0&amp;row=40&amp;col=9&amp;number=480270&amp;sourceID=11","480270")</f>
        <v>480270</v>
      </c>
      <c r="J40" s="4" t="str">
        <f>HYPERLINK("http://141.218.60.56/~jnz1568/getInfo.php?workbook=06_01.xlsx&amp;sheet=A0&amp;row=40&amp;col=10&amp;number=&amp;sourceID=11","")</f>
        <v/>
      </c>
      <c r="K40" s="4" t="str">
        <f>HYPERLINK("http://141.218.60.56/~jnz1568/getInfo.php?workbook=06_01.xlsx&amp;sheet=A0&amp;row=40&amp;col=11&amp;number=0.4556&amp;sourceID=11","0.4556")</f>
        <v>0.4556</v>
      </c>
      <c r="L40" s="4" t="str">
        <f>HYPERLINK("http://141.218.60.56/~jnz1568/getInfo.php?workbook=06_01.xlsx&amp;sheet=A0&amp;row=40&amp;col=12&amp;number=&amp;sourceID=11","")</f>
        <v/>
      </c>
      <c r="M40" s="4" t="str">
        <f>HYPERLINK("http://141.218.60.56/~jnz1568/getInfo.php?workbook=06_01.xlsx&amp;sheet=A0&amp;row=40&amp;col=13&amp;number=&amp;sourceID=11","")</f>
        <v/>
      </c>
      <c r="N40" s="4" t="str">
        <f>HYPERLINK("http://141.218.60.56/~jnz1568/getInfo.php?workbook=06_01.xlsx&amp;sheet=A0&amp;row=40&amp;col=14&amp;number=480290&amp;sourceID=12","480290")</f>
        <v>480290</v>
      </c>
      <c r="O40" s="4" t="str">
        <f>HYPERLINK("http://141.218.60.56/~jnz1568/getInfo.php?workbook=06_01.xlsx&amp;sheet=A0&amp;row=40&amp;col=15&amp;number=&amp;sourceID=12","")</f>
        <v/>
      </c>
      <c r="P40" s="4" t="str">
        <f>HYPERLINK("http://141.218.60.56/~jnz1568/getInfo.php?workbook=06_01.xlsx&amp;sheet=A0&amp;row=40&amp;col=16&amp;number=480290&amp;sourceID=12","480290")</f>
        <v>480290</v>
      </c>
      <c r="Q40" s="4" t="str">
        <f>HYPERLINK("http://141.218.60.56/~jnz1568/getInfo.php?workbook=06_01.xlsx&amp;sheet=A0&amp;row=40&amp;col=17&amp;number=&amp;sourceID=12","")</f>
        <v/>
      </c>
      <c r="R40" s="4" t="str">
        <f>HYPERLINK("http://141.218.60.56/~jnz1568/getInfo.php?workbook=06_01.xlsx&amp;sheet=A0&amp;row=40&amp;col=18&amp;number=0.45562&amp;sourceID=12","0.45562")</f>
        <v>0.45562</v>
      </c>
      <c r="S40" s="4" t="str">
        <f>HYPERLINK("http://141.218.60.56/~jnz1568/getInfo.php?workbook=06_01.xlsx&amp;sheet=A0&amp;row=40&amp;col=19&amp;number=&amp;sourceID=12","")</f>
        <v/>
      </c>
      <c r="T40" s="4" t="str">
        <f>HYPERLINK("http://141.218.60.56/~jnz1568/getInfo.php?workbook=06_01.xlsx&amp;sheet=A0&amp;row=40&amp;col=20&amp;number=&amp;sourceID=12","")</f>
        <v/>
      </c>
      <c r="U40" s="4" t="str">
        <f>HYPERLINK("http://141.218.60.56/~jnz1568/getInfo.php?workbook=06_01.xlsx&amp;sheet=A0&amp;row=40&amp;col=21&amp;number==&amp;sourceID=13","=")</f>
        <v>=</v>
      </c>
      <c r="V40" s="4" t="str">
        <f>HYPERLINK("http://141.218.60.56/~jnz1568/getInfo.php?workbook=06_01.xlsx&amp;sheet=A0&amp;row=40&amp;col=22&amp;number=&amp;sourceID=13","")</f>
        <v/>
      </c>
      <c r="W40" s="4" t="str">
        <f>HYPERLINK("http://141.218.60.56/~jnz1568/getInfo.php?workbook=06_01.xlsx&amp;sheet=A0&amp;row=40&amp;col=23&amp;number=476000&amp;sourceID=13","476000")</f>
        <v>476000</v>
      </c>
      <c r="X40" s="4" t="str">
        <f>HYPERLINK("http://141.218.60.56/~jnz1568/getInfo.php?workbook=06_01.xlsx&amp;sheet=A0&amp;row=40&amp;col=24&amp;number=&amp;sourceID=13","")</f>
        <v/>
      </c>
      <c r="Y40" s="4" t="str">
        <f>HYPERLINK("http://141.218.60.56/~jnz1568/getInfo.php?workbook=06_01.xlsx&amp;sheet=A0&amp;row=40&amp;col=25&amp;number=0.51&amp;sourceID=13","0.51")</f>
        <v>0.51</v>
      </c>
      <c r="Z40" s="4" t="str">
        <f>HYPERLINK("http://141.218.60.56/~jnz1568/getInfo.php?workbook=06_01.xlsx&amp;sheet=A0&amp;row=40&amp;col=26&amp;number=&amp;sourceID=13","")</f>
        <v/>
      </c>
    </row>
    <row r="41" spans="1:26">
      <c r="A41" s="3">
        <v>6</v>
      </c>
      <c r="B41" s="3">
        <v>1</v>
      </c>
      <c r="C41" s="3">
        <v>10</v>
      </c>
      <c r="D41" s="3">
        <v>5</v>
      </c>
      <c r="E41" s="3">
        <f>((1/(INDEX(E0!J$4:J$28,C41,1)-INDEX(E0!J$4:J$28,D41,1))))*100000000</f>
        <v>0</v>
      </c>
      <c r="F41" s="4" t="str">
        <f>HYPERLINK("http://141.218.60.56/~jnz1568/getInfo.php?workbook=06_01.xlsx&amp;sheet=A0&amp;row=41&amp;col=6&amp;number=&amp;sourceID=18","")</f>
        <v/>
      </c>
      <c r="G41" s="4" t="str">
        <f>HYPERLINK("http://141.218.60.56/~jnz1568/getInfo.php?workbook=06_01.xlsx&amp;sheet=A0&amp;row=41&amp;col=7&amp;number==&amp;sourceID=11","=")</f>
        <v>=</v>
      </c>
      <c r="H41" s="4" t="str">
        <f>HYPERLINK("http://141.218.60.56/~jnz1568/getInfo.php?workbook=06_01.xlsx&amp;sheet=A0&amp;row=41&amp;col=8&amp;number=&amp;sourceID=11","")</f>
        <v/>
      </c>
      <c r="I41" s="4" t="str">
        <f>HYPERLINK("http://141.218.60.56/~jnz1568/getInfo.php?workbook=06_01.xlsx&amp;sheet=A0&amp;row=41&amp;col=9&amp;number=&amp;sourceID=11","")</f>
        <v/>
      </c>
      <c r="J41" s="4" t="str">
        <f>HYPERLINK("http://141.218.60.56/~jnz1568/getInfo.php?workbook=06_01.xlsx&amp;sheet=A0&amp;row=41&amp;col=10&amp;number=&amp;sourceID=11","")</f>
        <v/>
      </c>
      <c r="K41" s="4" t="str">
        <f>HYPERLINK("http://141.218.60.56/~jnz1568/getInfo.php?workbook=06_01.xlsx&amp;sheet=A0&amp;row=41&amp;col=11&amp;number=0.00038859&amp;sourceID=11","0.00038859")</f>
        <v>0.00038859</v>
      </c>
      <c r="L41" s="4" t="str">
        <f>HYPERLINK("http://141.218.60.56/~jnz1568/getInfo.php?workbook=06_01.xlsx&amp;sheet=A0&amp;row=41&amp;col=12&amp;number=&amp;sourceID=11","")</f>
        <v/>
      </c>
      <c r="M41" s="4" t="str">
        <f>HYPERLINK("http://141.218.60.56/~jnz1568/getInfo.php?workbook=06_01.xlsx&amp;sheet=A0&amp;row=41&amp;col=13&amp;number=&amp;sourceID=11","")</f>
        <v/>
      </c>
      <c r="N41" s="4" t="str">
        <f>HYPERLINK("http://141.218.60.56/~jnz1568/getInfo.php?workbook=06_01.xlsx&amp;sheet=A0&amp;row=41&amp;col=14&amp;number=0.00038861&amp;sourceID=12","0.00038861")</f>
        <v>0.00038861</v>
      </c>
      <c r="O41" s="4" t="str">
        <f>HYPERLINK("http://141.218.60.56/~jnz1568/getInfo.php?workbook=06_01.xlsx&amp;sheet=A0&amp;row=41&amp;col=15&amp;number=&amp;sourceID=12","")</f>
        <v/>
      </c>
      <c r="P41" s="4" t="str">
        <f>HYPERLINK("http://141.218.60.56/~jnz1568/getInfo.php?workbook=06_01.xlsx&amp;sheet=A0&amp;row=41&amp;col=16&amp;number=&amp;sourceID=12","")</f>
        <v/>
      </c>
      <c r="Q41" s="4" t="str">
        <f>HYPERLINK("http://141.218.60.56/~jnz1568/getInfo.php?workbook=06_01.xlsx&amp;sheet=A0&amp;row=41&amp;col=17&amp;number=&amp;sourceID=12","")</f>
        <v/>
      </c>
      <c r="R41" s="4" t="str">
        <f>HYPERLINK("http://141.218.60.56/~jnz1568/getInfo.php?workbook=06_01.xlsx&amp;sheet=A0&amp;row=41&amp;col=18&amp;number=0.00038861&amp;sourceID=12","0.00038861")</f>
        <v>0.00038861</v>
      </c>
      <c r="S41" s="4" t="str">
        <f>HYPERLINK("http://141.218.60.56/~jnz1568/getInfo.php?workbook=06_01.xlsx&amp;sheet=A0&amp;row=41&amp;col=19&amp;number=&amp;sourceID=12","")</f>
        <v/>
      </c>
      <c r="T41" s="4" t="str">
        <f>HYPERLINK("http://141.218.60.56/~jnz1568/getInfo.php?workbook=06_01.xlsx&amp;sheet=A0&amp;row=41&amp;col=20&amp;number=&amp;sourceID=12","")</f>
        <v/>
      </c>
      <c r="U41" s="4" t="str">
        <f>HYPERLINK("http://141.218.60.56/~jnz1568/getInfo.php?workbook=06_01.xlsx&amp;sheet=A0&amp;row=41&amp;col=21&amp;number==&amp;sourceID=13","=")</f>
        <v>=</v>
      </c>
      <c r="V41" s="4" t="str">
        <f>HYPERLINK("http://141.218.60.56/~jnz1568/getInfo.php?workbook=06_01.xlsx&amp;sheet=A0&amp;row=41&amp;col=22&amp;number=&amp;sourceID=13","")</f>
        <v/>
      </c>
      <c r="W41" s="4" t="str">
        <f>HYPERLINK("http://141.218.60.56/~jnz1568/getInfo.php?workbook=06_01.xlsx&amp;sheet=A0&amp;row=41&amp;col=23&amp;number=&amp;sourceID=13","")</f>
        <v/>
      </c>
      <c r="X41" s="4" t="str">
        <f>HYPERLINK("http://141.218.60.56/~jnz1568/getInfo.php?workbook=06_01.xlsx&amp;sheet=A0&amp;row=41&amp;col=24&amp;number=&amp;sourceID=13","")</f>
        <v/>
      </c>
      <c r="Y41" s="4" t="str">
        <f>HYPERLINK("http://141.218.60.56/~jnz1568/getInfo.php?workbook=06_01.xlsx&amp;sheet=A0&amp;row=41&amp;col=25&amp;number=0.000387&amp;sourceID=13","0.000387")</f>
        <v>0.000387</v>
      </c>
      <c r="Z41" s="4" t="str">
        <f>HYPERLINK("http://141.218.60.56/~jnz1568/getInfo.php?workbook=06_01.xlsx&amp;sheet=A0&amp;row=41&amp;col=26&amp;number=&amp;sourceID=13","")</f>
        <v/>
      </c>
    </row>
    <row r="42" spans="1:26">
      <c r="A42" s="3">
        <v>6</v>
      </c>
      <c r="B42" s="3">
        <v>1</v>
      </c>
      <c r="C42" s="3">
        <v>10</v>
      </c>
      <c r="D42" s="3">
        <v>6</v>
      </c>
      <c r="E42" s="3">
        <f>((1/(INDEX(E0!J$4:J$28,C42,1)-INDEX(E0!J$4:J$28,D42,1))))*100000000</f>
        <v>0</v>
      </c>
      <c r="F42" s="4" t="str">
        <f>HYPERLINK("http://141.218.60.56/~jnz1568/getInfo.php?workbook=06_01.xlsx&amp;sheet=A0&amp;row=42&amp;col=6&amp;number=&amp;sourceID=18","")</f>
        <v/>
      </c>
      <c r="G42" s="4" t="str">
        <f>HYPERLINK("http://141.218.60.56/~jnz1568/getInfo.php?workbook=06_01.xlsx&amp;sheet=A0&amp;row=42&amp;col=7&amp;number==&amp;sourceID=11","=")</f>
        <v>=</v>
      </c>
      <c r="H42" s="4" t="str">
        <f>HYPERLINK("http://141.218.60.56/~jnz1568/getInfo.php?workbook=06_01.xlsx&amp;sheet=A0&amp;row=42&amp;col=8&amp;number=3978800000&amp;sourceID=11","3978800000")</f>
        <v>3978800000</v>
      </c>
      <c r="I42" s="4" t="str">
        <f>HYPERLINK("http://141.218.60.56/~jnz1568/getInfo.php?workbook=06_01.xlsx&amp;sheet=A0&amp;row=42&amp;col=9&amp;number=&amp;sourceID=11","")</f>
        <v/>
      </c>
      <c r="J42" s="4" t="str">
        <f>HYPERLINK("http://141.218.60.56/~jnz1568/getInfo.php?workbook=06_01.xlsx&amp;sheet=A0&amp;row=42&amp;col=10&amp;number=&amp;sourceID=11","")</f>
        <v/>
      </c>
      <c r="K42" s="4" t="str">
        <f>HYPERLINK("http://141.218.60.56/~jnz1568/getInfo.php?workbook=06_01.xlsx&amp;sheet=A0&amp;row=42&amp;col=11&amp;number=&amp;sourceID=11","")</f>
        <v/>
      </c>
      <c r="L42" s="4" t="str">
        <f>HYPERLINK("http://141.218.60.56/~jnz1568/getInfo.php?workbook=06_01.xlsx&amp;sheet=A0&amp;row=42&amp;col=12&amp;number=&amp;sourceID=11","")</f>
        <v/>
      </c>
      <c r="M42" s="4" t="str">
        <f>HYPERLINK("http://141.218.60.56/~jnz1568/getInfo.php?workbook=06_01.xlsx&amp;sheet=A0&amp;row=42&amp;col=13&amp;number=&amp;sourceID=11","")</f>
        <v/>
      </c>
      <c r="N42" s="4" t="str">
        <f>HYPERLINK("http://141.218.60.56/~jnz1568/getInfo.php?workbook=06_01.xlsx&amp;sheet=A0&amp;row=42&amp;col=14&amp;number=3979000000&amp;sourceID=12","3979000000")</f>
        <v>3979000000</v>
      </c>
      <c r="O42" s="4" t="str">
        <f>HYPERLINK("http://141.218.60.56/~jnz1568/getInfo.php?workbook=06_01.xlsx&amp;sheet=A0&amp;row=42&amp;col=15&amp;number=3979000000&amp;sourceID=12","3979000000")</f>
        <v>3979000000</v>
      </c>
      <c r="P42" s="4" t="str">
        <f>HYPERLINK("http://141.218.60.56/~jnz1568/getInfo.php?workbook=06_01.xlsx&amp;sheet=A0&amp;row=42&amp;col=16&amp;number=&amp;sourceID=12","")</f>
        <v/>
      </c>
      <c r="Q42" s="4" t="str">
        <f>HYPERLINK("http://141.218.60.56/~jnz1568/getInfo.php?workbook=06_01.xlsx&amp;sheet=A0&amp;row=42&amp;col=17&amp;number=&amp;sourceID=12","")</f>
        <v/>
      </c>
      <c r="R42" s="4" t="str">
        <f>HYPERLINK("http://141.218.60.56/~jnz1568/getInfo.php?workbook=06_01.xlsx&amp;sheet=A0&amp;row=42&amp;col=18&amp;number=&amp;sourceID=12","")</f>
        <v/>
      </c>
      <c r="S42" s="4" t="str">
        <f>HYPERLINK("http://141.218.60.56/~jnz1568/getInfo.php?workbook=06_01.xlsx&amp;sheet=A0&amp;row=42&amp;col=19&amp;number=&amp;sourceID=12","")</f>
        <v/>
      </c>
      <c r="T42" s="4" t="str">
        <f>HYPERLINK("http://141.218.60.56/~jnz1568/getInfo.php?workbook=06_01.xlsx&amp;sheet=A0&amp;row=42&amp;col=20&amp;number=&amp;sourceID=12","")</f>
        <v/>
      </c>
      <c r="U42" s="4" t="str">
        <f>HYPERLINK("http://141.218.60.56/~jnz1568/getInfo.php?workbook=06_01.xlsx&amp;sheet=A0&amp;row=42&amp;col=21&amp;number==&amp;sourceID=13","=")</f>
        <v>=</v>
      </c>
      <c r="V42" s="4" t="str">
        <f>HYPERLINK("http://141.218.60.56/~jnz1568/getInfo.php?workbook=06_01.xlsx&amp;sheet=A0&amp;row=42&amp;col=22&amp;number=3970000000&amp;sourceID=13","3970000000")</f>
        <v>3970000000</v>
      </c>
      <c r="W42" s="4" t="str">
        <f>HYPERLINK("http://141.218.60.56/~jnz1568/getInfo.php?workbook=06_01.xlsx&amp;sheet=A0&amp;row=42&amp;col=23&amp;number=&amp;sourceID=13","")</f>
        <v/>
      </c>
      <c r="X42" s="4" t="str">
        <f>HYPERLINK("http://141.218.60.56/~jnz1568/getInfo.php?workbook=06_01.xlsx&amp;sheet=A0&amp;row=42&amp;col=24&amp;number=&amp;sourceID=13","")</f>
        <v/>
      </c>
      <c r="Y42" s="4" t="str">
        <f>HYPERLINK("http://141.218.60.56/~jnz1568/getInfo.php?workbook=06_01.xlsx&amp;sheet=A0&amp;row=42&amp;col=25&amp;number=&amp;sourceID=13","")</f>
        <v/>
      </c>
      <c r="Z42" s="4" t="str">
        <f>HYPERLINK("http://141.218.60.56/~jnz1568/getInfo.php?workbook=06_01.xlsx&amp;sheet=A0&amp;row=42&amp;col=26&amp;number=&amp;sourceID=13","")</f>
        <v/>
      </c>
    </row>
    <row r="43" spans="1:26">
      <c r="A43" s="3">
        <v>6</v>
      </c>
      <c r="B43" s="3">
        <v>1</v>
      </c>
      <c r="C43" s="3">
        <v>10</v>
      </c>
      <c r="D43" s="3">
        <v>7</v>
      </c>
      <c r="E43" s="3">
        <f>((1/(INDEX(E0!J$4:J$28,C43,1)-INDEX(E0!J$4:J$28,D43,1))))*100000000</f>
        <v>0</v>
      </c>
      <c r="F43" s="4" t="str">
        <f>HYPERLINK("http://141.218.60.56/~jnz1568/getInfo.php?workbook=06_01.xlsx&amp;sheet=A0&amp;row=43&amp;col=6&amp;number=&amp;sourceID=18","")</f>
        <v/>
      </c>
      <c r="G43" s="4" t="str">
        <f>HYPERLINK("http://141.218.60.56/~jnz1568/getInfo.php?workbook=06_01.xlsx&amp;sheet=A0&amp;row=43&amp;col=7&amp;number==&amp;sourceID=11","=")</f>
        <v>=</v>
      </c>
      <c r="H43" s="4" t="str">
        <f>HYPERLINK("http://141.218.60.56/~jnz1568/getInfo.php?workbook=06_01.xlsx&amp;sheet=A0&amp;row=43&amp;col=8&amp;number=453280000&amp;sourceID=11","453280000")</f>
        <v>453280000</v>
      </c>
      <c r="I43" s="4" t="str">
        <f>HYPERLINK("http://141.218.60.56/~jnz1568/getInfo.php?workbook=06_01.xlsx&amp;sheet=A0&amp;row=43&amp;col=9&amp;number=&amp;sourceID=11","")</f>
        <v/>
      </c>
      <c r="J43" s="4" t="str">
        <f>HYPERLINK("http://141.218.60.56/~jnz1568/getInfo.php?workbook=06_01.xlsx&amp;sheet=A0&amp;row=43&amp;col=10&amp;number=&amp;sourceID=11","")</f>
        <v/>
      </c>
      <c r="K43" s="4" t="str">
        <f>HYPERLINK("http://141.218.60.56/~jnz1568/getInfo.php?workbook=06_01.xlsx&amp;sheet=A0&amp;row=43&amp;col=11&amp;number=&amp;sourceID=11","")</f>
        <v/>
      </c>
      <c r="L43" s="4" t="str">
        <f>HYPERLINK("http://141.218.60.56/~jnz1568/getInfo.php?workbook=06_01.xlsx&amp;sheet=A0&amp;row=43&amp;col=12&amp;number=0.0073804&amp;sourceID=11","0.0073804")</f>
        <v>0.0073804</v>
      </c>
      <c r="M43" s="4" t="str">
        <f>HYPERLINK("http://141.218.60.56/~jnz1568/getInfo.php?workbook=06_01.xlsx&amp;sheet=A0&amp;row=43&amp;col=13&amp;number=&amp;sourceID=11","")</f>
        <v/>
      </c>
      <c r="N43" s="4" t="str">
        <f>HYPERLINK("http://141.218.60.56/~jnz1568/getInfo.php?workbook=06_01.xlsx&amp;sheet=A0&amp;row=43&amp;col=14&amp;number=453300000&amp;sourceID=12","453300000")</f>
        <v>453300000</v>
      </c>
      <c r="O43" s="4" t="str">
        <f>HYPERLINK("http://141.218.60.56/~jnz1568/getInfo.php?workbook=06_01.xlsx&amp;sheet=A0&amp;row=43&amp;col=15&amp;number=453300000&amp;sourceID=12","453300000")</f>
        <v>453300000</v>
      </c>
      <c r="P43" s="4" t="str">
        <f>HYPERLINK("http://141.218.60.56/~jnz1568/getInfo.php?workbook=06_01.xlsx&amp;sheet=A0&amp;row=43&amp;col=16&amp;number=&amp;sourceID=12","")</f>
        <v/>
      </c>
      <c r="Q43" s="4" t="str">
        <f>HYPERLINK("http://141.218.60.56/~jnz1568/getInfo.php?workbook=06_01.xlsx&amp;sheet=A0&amp;row=43&amp;col=17&amp;number=&amp;sourceID=12","")</f>
        <v/>
      </c>
      <c r="R43" s="4" t="str">
        <f>HYPERLINK("http://141.218.60.56/~jnz1568/getInfo.php?workbook=06_01.xlsx&amp;sheet=A0&amp;row=43&amp;col=18&amp;number=&amp;sourceID=12","")</f>
        <v/>
      </c>
      <c r="S43" s="4" t="str">
        <f>HYPERLINK("http://141.218.60.56/~jnz1568/getInfo.php?workbook=06_01.xlsx&amp;sheet=A0&amp;row=43&amp;col=19&amp;number=0.0073808&amp;sourceID=12","0.0073808")</f>
        <v>0.0073808</v>
      </c>
      <c r="T43" s="4" t="str">
        <f>HYPERLINK("http://141.218.60.56/~jnz1568/getInfo.php?workbook=06_01.xlsx&amp;sheet=A0&amp;row=43&amp;col=20&amp;number=&amp;sourceID=12","")</f>
        <v/>
      </c>
      <c r="U43" s="4" t="str">
        <f>HYPERLINK("http://141.218.60.56/~jnz1568/getInfo.php?workbook=06_01.xlsx&amp;sheet=A0&amp;row=43&amp;col=21&amp;number==&amp;sourceID=13","=")</f>
        <v>=</v>
      </c>
      <c r="V43" s="4" t="str">
        <f>HYPERLINK("http://141.218.60.56/~jnz1568/getInfo.php?workbook=06_01.xlsx&amp;sheet=A0&amp;row=43&amp;col=22&amp;number=451000000&amp;sourceID=13","451000000")</f>
        <v>451000000</v>
      </c>
      <c r="W43" s="4" t="str">
        <f>HYPERLINK("http://141.218.60.56/~jnz1568/getInfo.php?workbook=06_01.xlsx&amp;sheet=A0&amp;row=43&amp;col=23&amp;number=&amp;sourceID=13","")</f>
        <v/>
      </c>
      <c r="X43" s="4" t="str">
        <f>HYPERLINK("http://141.218.60.56/~jnz1568/getInfo.php?workbook=06_01.xlsx&amp;sheet=A0&amp;row=43&amp;col=24&amp;number=&amp;sourceID=13","")</f>
        <v/>
      </c>
      <c r="Y43" s="4" t="str">
        <f>HYPERLINK("http://141.218.60.56/~jnz1568/getInfo.php?workbook=06_01.xlsx&amp;sheet=A0&amp;row=43&amp;col=25&amp;number=&amp;sourceID=13","")</f>
        <v/>
      </c>
      <c r="Z43" s="4" t="str">
        <f>HYPERLINK("http://141.218.60.56/~jnz1568/getInfo.php?workbook=06_01.xlsx&amp;sheet=A0&amp;row=43&amp;col=26&amp;number=&amp;sourceID=13","")</f>
        <v/>
      </c>
    </row>
    <row r="44" spans="1:26">
      <c r="A44" s="3">
        <v>6</v>
      </c>
      <c r="B44" s="3">
        <v>1</v>
      </c>
      <c r="C44" s="3">
        <v>10</v>
      </c>
      <c r="D44" s="3">
        <v>8</v>
      </c>
      <c r="E44" s="3">
        <f>((1/(INDEX(E0!J$4:J$28,C44,1)-INDEX(E0!J$4:J$28,D44,1))))*100000000</f>
        <v>0</v>
      </c>
      <c r="F44" s="4" t="str">
        <f>HYPERLINK("http://141.218.60.56/~jnz1568/getInfo.php?workbook=06_01.xlsx&amp;sheet=A0&amp;row=44&amp;col=6&amp;number=&amp;sourceID=18","")</f>
        <v/>
      </c>
      <c r="G44" s="4" t="str">
        <f>HYPERLINK("http://141.218.60.56/~jnz1568/getInfo.php?workbook=06_01.xlsx&amp;sheet=A0&amp;row=44&amp;col=7&amp;number==&amp;sourceID=11","=")</f>
        <v>=</v>
      </c>
      <c r="H44" s="4" t="str">
        <f>HYPERLINK("http://141.218.60.56/~jnz1568/getInfo.php?workbook=06_01.xlsx&amp;sheet=A0&amp;row=44&amp;col=8&amp;number=&amp;sourceID=11","")</f>
        <v/>
      </c>
      <c r="I44" s="4" t="str">
        <f>HYPERLINK("http://141.218.60.56/~jnz1568/getInfo.php?workbook=06_01.xlsx&amp;sheet=A0&amp;row=44&amp;col=9&amp;number=119080&amp;sourceID=11","119080")</f>
        <v>119080</v>
      </c>
      <c r="J44" s="4" t="str">
        <f>HYPERLINK("http://141.218.60.56/~jnz1568/getInfo.php?workbook=06_01.xlsx&amp;sheet=A0&amp;row=44&amp;col=10&amp;number=&amp;sourceID=11","")</f>
        <v/>
      </c>
      <c r="K44" s="4" t="str">
        <f>HYPERLINK("http://141.218.60.56/~jnz1568/getInfo.php?workbook=06_01.xlsx&amp;sheet=A0&amp;row=44&amp;col=11&amp;number=0.032541&amp;sourceID=11","0.032541")</f>
        <v>0.032541</v>
      </c>
      <c r="L44" s="4" t="str">
        <f>HYPERLINK("http://141.218.60.56/~jnz1568/getInfo.php?workbook=06_01.xlsx&amp;sheet=A0&amp;row=44&amp;col=12&amp;number=&amp;sourceID=11","")</f>
        <v/>
      </c>
      <c r="M44" s="4" t="str">
        <f>HYPERLINK("http://141.218.60.56/~jnz1568/getInfo.php?workbook=06_01.xlsx&amp;sheet=A0&amp;row=44&amp;col=13&amp;number=&amp;sourceID=11","")</f>
        <v/>
      </c>
      <c r="N44" s="4" t="str">
        <f>HYPERLINK("http://141.218.60.56/~jnz1568/getInfo.php?workbook=06_01.xlsx&amp;sheet=A0&amp;row=44&amp;col=14&amp;number=119090&amp;sourceID=12","119090")</f>
        <v>119090</v>
      </c>
      <c r="O44" s="4" t="str">
        <f>HYPERLINK("http://141.218.60.56/~jnz1568/getInfo.php?workbook=06_01.xlsx&amp;sheet=A0&amp;row=44&amp;col=15&amp;number=&amp;sourceID=12","")</f>
        <v/>
      </c>
      <c r="P44" s="4" t="str">
        <f>HYPERLINK("http://141.218.60.56/~jnz1568/getInfo.php?workbook=06_01.xlsx&amp;sheet=A0&amp;row=44&amp;col=16&amp;number=119090&amp;sourceID=12","119090")</f>
        <v>119090</v>
      </c>
      <c r="Q44" s="4" t="str">
        <f>HYPERLINK("http://141.218.60.56/~jnz1568/getInfo.php?workbook=06_01.xlsx&amp;sheet=A0&amp;row=44&amp;col=17&amp;number=&amp;sourceID=12","")</f>
        <v/>
      </c>
      <c r="R44" s="4" t="str">
        <f>HYPERLINK("http://141.218.60.56/~jnz1568/getInfo.php?workbook=06_01.xlsx&amp;sheet=A0&amp;row=44&amp;col=18&amp;number=0.032543&amp;sourceID=12","0.032543")</f>
        <v>0.032543</v>
      </c>
      <c r="S44" s="4" t="str">
        <f>HYPERLINK("http://141.218.60.56/~jnz1568/getInfo.php?workbook=06_01.xlsx&amp;sheet=A0&amp;row=44&amp;col=19&amp;number=&amp;sourceID=12","")</f>
        <v/>
      </c>
      <c r="T44" s="4" t="str">
        <f>HYPERLINK("http://141.218.60.56/~jnz1568/getInfo.php?workbook=06_01.xlsx&amp;sheet=A0&amp;row=44&amp;col=20&amp;number=&amp;sourceID=12","")</f>
        <v/>
      </c>
      <c r="U44" s="4" t="str">
        <f>HYPERLINK("http://141.218.60.56/~jnz1568/getInfo.php?workbook=06_01.xlsx&amp;sheet=A0&amp;row=44&amp;col=21&amp;number==&amp;sourceID=13","=")</f>
        <v>=</v>
      </c>
      <c r="V44" s="4" t="str">
        <f>HYPERLINK("http://141.218.60.56/~jnz1568/getInfo.php?workbook=06_01.xlsx&amp;sheet=A0&amp;row=44&amp;col=22&amp;number=&amp;sourceID=13","")</f>
        <v/>
      </c>
      <c r="W44" s="4" t="str">
        <f>HYPERLINK("http://141.218.60.56/~jnz1568/getInfo.php?workbook=06_01.xlsx&amp;sheet=A0&amp;row=44&amp;col=23&amp;number=119000&amp;sourceID=13","119000")</f>
        <v>119000</v>
      </c>
      <c r="X44" s="4" t="str">
        <f>HYPERLINK("http://141.218.60.56/~jnz1568/getInfo.php?workbook=06_01.xlsx&amp;sheet=A0&amp;row=44&amp;col=24&amp;number=&amp;sourceID=13","")</f>
        <v/>
      </c>
      <c r="Y44" s="4" t="str">
        <f>HYPERLINK("http://141.218.60.56/~jnz1568/getInfo.php?workbook=06_01.xlsx&amp;sheet=A0&amp;row=44&amp;col=25&amp;number=0.0336&amp;sourceID=13","0.0336")</f>
        <v>0.0336</v>
      </c>
      <c r="Z44" s="4" t="str">
        <f>HYPERLINK("http://141.218.60.56/~jnz1568/getInfo.php?workbook=06_01.xlsx&amp;sheet=A0&amp;row=44&amp;col=26&amp;number=&amp;sourceID=13","")</f>
        <v/>
      </c>
    </row>
    <row r="45" spans="1:26">
      <c r="A45" s="3">
        <v>6</v>
      </c>
      <c r="B45" s="3">
        <v>1</v>
      </c>
      <c r="C45" s="3">
        <v>10</v>
      </c>
      <c r="D45" s="3">
        <v>9</v>
      </c>
      <c r="E45" s="3">
        <f>((1/(INDEX(E0!J$4:J$28,C45,1)-INDEX(E0!J$4:J$28,D45,1))))*100000000</f>
        <v>0</v>
      </c>
      <c r="F45" s="4" t="str">
        <f>HYPERLINK("http://141.218.60.56/~jnz1568/getInfo.php?workbook=06_01.xlsx&amp;sheet=A0&amp;row=45&amp;col=6&amp;number=&amp;sourceID=18","")</f>
        <v/>
      </c>
      <c r="G45" s="4" t="str">
        <f>HYPERLINK("http://141.218.60.56/~jnz1568/getInfo.php?workbook=06_01.xlsx&amp;sheet=A0&amp;row=45&amp;col=7&amp;number==&amp;sourceID=11","=")</f>
        <v>=</v>
      </c>
      <c r="H45" s="4" t="str">
        <f>HYPERLINK("http://141.218.60.56/~jnz1568/getInfo.php?workbook=06_01.xlsx&amp;sheet=A0&amp;row=45&amp;col=8&amp;number=&amp;sourceID=11","")</f>
        <v/>
      </c>
      <c r="I45" s="4" t="str">
        <f>HYPERLINK("http://141.218.60.56/~jnz1568/getInfo.php?workbook=06_01.xlsx&amp;sheet=A0&amp;row=45&amp;col=9&amp;number=&amp;sourceID=11","")</f>
        <v/>
      </c>
      <c r="J45" s="4" t="str">
        <f>HYPERLINK("http://141.218.60.56/~jnz1568/getInfo.php?workbook=06_01.xlsx&amp;sheet=A0&amp;row=45&amp;col=10&amp;number=0.78789&amp;sourceID=11","0.78789")</f>
        <v>0.78789</v>
      </c>
      <c r="K45" s="4" t="str">
        <f>HYPERLINK("http://141.218.60.56/~jnz1568/getInfo.php?workbook=06_01.xlsx&amp;sheet=A0&amp;row=45&amp;col=11&amp;number=&amp;sourceID=11","")</f>
        <v/>
      </c>
      <c r="L45" s="4" t="str">
        <f>HYPERLINK("http://141.218.60.56/~jnz1568/getInfo.php?workbook=06_01.xlsx&amp;sheet=A0&amp;row=45&amp;col=12&amp;number=0.078814&amp;sourceID=11","0.078814")</f>
        <v>0.078814</v>
      </c>
      <c r="M45" s="4" t="str">
        <f>HYPERLINK("http://141.218.60.56/~jnz1568/getInfo.php?workbook=06_01.xlsx&amp;sheet=A0&amp;row=45&amp;col=13&amp;number=&amp;sourceID=11","")</f>
        <v/>
      </c>
      <c r="N45" s="4" t="str">
        <f>HYPERLINK("http://141.218.60.56/~jnz1568/getInfo.php?workbook=06_01.xlsx&amp;sheet=A0&amp;row=45&amp;col=14&amp;number=0.86674&amp;sourceID=12","0.86674")</f>
        <v>0.86674</v>
      </c>
      <c r="O45" s="4" t="str">
        <f>HYPERLINK("http://141.218.60.56/~jnz1568/getInfo.php?workbook=06_01.xlsx&amp;sheet=A0&amp;row=45&amp;col=15&amp;number=&amp;sourceID=12","")</f>
        <v/>
      </c>
      <c r="P45" s="4" t="str">
        <f>HYPERLINK("http://141.218.60.56/~jnz1568/getInfo.php?workbook=06_01.xlsx&amp;sheet=A0&amp;row=45&amp;col=16&amp;number=&amp;sourceID=12","")</f>
        <v/>
      </c>
      <c r="Q45" s="4" t="str">
        <f>HYPERLINK("http://141.218.60.56/~jnz1568/getInfo.php?workbook=06_01.xlsx&amp;sheet=A0&amp;row=45&amp;col=17&amp;number=0.78792&amp;sourceID=12","0.78792")</f>
        <v>0.78792</v>
      </c>
      <c r="R45" s="4" t="str">
        <f>HYPERLINK("http://141.218.60.56/~jnz1568/getInfo.php?workbook=06_01.xlsx&amp;sheet=A0&amp;row=45&amp;col=18&amp;number=&amp;sourceID=12","")</f>
        <v/>
      </c>
      <c r="S45" s="4" t="str">
        <f>HYPERLINK("http://141.218.60.56/~jnz1568/getInfo.php?workbook=06_01.xlsx&amp;sheet=A0&amp;row=45&amp;col=19&amp;number=0.078818&amp;sourceID=12","0.078818")</f>
        <v>0.078818</v>
      </c>
      <c r="T45" s="4" t="str">
        <f>HYPERLINK("http://141.218.60.56/~jnz1568/getInfo.php?workbook=06_01.xlsx&amp;sheet=A0&amp;row=45&amp;col=20&amp;number=&amp;sourceID=12","")</f>
        <v/>
      </c>
      <c r="U45" s="4" t="str">
        <f>HYPERLINK("http://141.218.60.56/~jnz1568/getInfo.php?workbook=06_01.xlsx&amp;sheet=A0&amp;row=45&amp;col=21&amp;number==&amp;sourceID=13","=")</f>
        <v>=</v>
      </c>
      <c r="V45" s="4" t="str">
        <f>HYPERLINK("http://141.218.60.56/~jnz1568/getInfo.php?workbook=06_01.xlsx&amp;sheet=A0&amp;row=45&amp;col=22&amp;number=&amp;sourceID=13","")</f>
        <v/>
      </c>
      <c r="W45" s="4" t="str">
        <f>HYPERLINK("http://141.218.60.56/~jnz1568/getInfo.php?workbook=06_01.xlsx&amp;sheet=A0&amp;row=45&amp;col=23&amp;number=&amp;sourceID=13","")</f>
        <v/>
      </c>
      <c r="X45" s="4" t="str">
        <f>HYPERLINK("http://141.218.60.56/~jnz1568/getInfo.php?workbook=06_01.xlsx&amp;sheet=A0&amp;row=45&amp;col=24&amp;number=1.22&amp;sourceID=13","1.22")</f>
        <v>1.22</v>
      </c>
      <c r="Y45" s="4" t="str">
        <f>HYPERLINK("http://141.218.60.56/~jnz1568/getInfo.php?workbook=06_01.xlsx&amp;sheet=A0&amp;row=45&amp;col=25&amp;number=&amp;sourceID=13","")</f>
        <v/>
      </c>
      <c r="Z45" s="4" t="str">
        <f>HYPERLINK("http://141.218.60.56/~jnz1568/getInfo.php?workbook=06_01.xlsx&amp;sheet=A0&amp;row=45&amp;col=26&amp;number=0.314&amp;sourceID=13","0.314")</f>
        <v>0.314</v>
      </c>
    </row>
    <row r="46" spans="1:26">
      <c r="A46" s="3">
        <v>6</v>
      </c>
      <c r="B46" s="3">
        <v>1</v>
      </c>
      <c r="C46" s="3">
        <v>11</v>
      </c>
      <c r="D46" s="3">
        <v>1</v>
      </c>
      <c r="E46" s="3">
        <f>((1/(INDEX(E0!J$4:J$28,C46,1)-INDEX(E0!J$4:J$28,D46,1))))*100000000</f>
        <v>0</v>
      </c>
      <c r="F46" s="4" t="str">
        <f>HYPERLINK("http://141.218.60.56/~jnz1568/getInfo.php?workbook=06_01.xlsx&amp;sheet=A0&amp;row=46&amp;col=6&amp;number=&amp;sourceID=18","")</f>
        <v/>
      </c>
      <c r="G46" s="4" t="str">
        <f>HYPERLINK("http://141.218.60.56/~jnz1568/getInfo.php?workbook=06_01.xlsx&amp;sheet=A0&amp;row=46&amp;col=7&amp;number==&amp;sourceID=11","=")</f>
        <v>=</v>
      </c>
      <c r="H46" s="4" t="str">
        <f>HYPERLINK("http://141.218.60.56/~jnz1568/getInfo.php?workbook=06_01.xlsx&amp;sheet=A0&amp;row=46&amp;col=8&amp;number=&amp;sourceID=11","")</f>
        <v/>
      </c>
      <c r="I46" s="4" t="str">
        <f>HYPERLINK("http://141.218.60.56/~jnz1568/getInfo.php?workbook=06_01.xlsx&amp;sheet=A0&amp;row=46&amp;col=9&amp;number=&amp;sourceID=11","")</f>
        <v/>
      </c>
      <c r="J46" s="4" t="str">
        <f>HYPERLINK("http://141.218.60.56/~jnz1568/getInfo.php?workbook=06_01.xlsx&amp;sheet=A0&amp;row=46&amp;col=10&amp;number=&amp;sourceID=11","")</f>
        <v/>
      </c>
      <c r="K46" s="4" t="str">
        <f>HYPERLINK("http://141.218.60.56/~jnz1568/getInfo.php?workbook=06_01.xlsx&amp;sheet=A0&amp;row=46&amp;col=11&amp;number=32.132&amp;sourceID=11","32.132")</f>
        <v>32.132</v>
      </c>
      <c r="L46" s="4" t="str">
        <f>HYPERLINK("http://141.218.60.56/~jnz1568/getInfo.php?workbook=06_01.xlsx&amp;sheet=A0&amp;row=46&amp;col=12&amp;number=&amp;sourceID=11","")</f>
        <v/>
      </c>
      <c r="M46" s="4" t="str">
        <f>HYPERLINK("http://141.218.60.56/~jnz1568/getInfo.php?workbook=06_01.xlsx&amp;sheet=A0&amp;row=46&amp;col=13&amp;number=&amp;sourceID=11","")</f>
        <v/>
      </c>
      <c r="N46" s="4" t="str">
        <f>HYPERLINK("http://141.218.60.56/~jnz1568/getInfo.php?workbook=06_01.xlsx&amp;sheet=A0&amp;row=46&amp;col=14&amp;number=32.13&amp;sourceID=12","32.13")</f>
        <v>32.13</v>
      </c>
      <c r="O46" s="4" t="str">
        <f>HYPERLINK("http://141.218.60.56/~jnz1568/getInfo.php?workbook=06_01.xlsx&amp;sheet=A0&amp;row=46&amp;col=15&amp;number=&amp;sourceID=12","")</f>
        <v/>
      </c>
      <c r="P46" s="4" t="str">
        <f>HYPERLINK("http://141.218.60.56/~jnz1568/getInfo.php?workbook=06_01.xlsx&amp;sheet=A0&amp;row=46&amp;col=16&amp;number=&amp;sourceID=12","")</f>
        <v/>
      </c>
      <c r="Q46" s="4" t="str">
        <f>HYPERLINK("http://141.218.60.56/~jnz1568/getInfo.php?workbook=06_01.xlsx&amp;sheet=A0&amp;row=46&amp;col=17&amp;number=&amp;sourceID=12","")</f>
        <v/>
      </c>
      <c r="R46" s="4" t="str">
        <f>HYPERLINK("http://141.218.60.56/~jnz1568/getInfo.php?workbook=06_01.xlsx&amp;sheet=A0&amp;row=46&amp;col=18&amp;number=32.13&amp;sourceID=12","32.13")</f>
        <v>32.13</v>
      </c>
      <c r="S46" s="4" t="str">
        <f>HYPERLINK("http://141.218.60.56/~jnz1568/getInfo.php?workbook=06_01.xlsx&amp;sheet=A0&amp;row=46&amp;col=19&amp;number=&amp;sourceID=12","")</f>
        <v/>
      </c>
      <c r="T46" s="4" t="str">
        <f>HYPERLINK("http://141.218.60.56/~jnz1568/getInfo.php?workbook=06_01.xlsx&amp;sheet=A0&amp;row=46&amp;col=20&amp;number=&amp;sourceID=12","")</f>
        <v/>
      </c>
      <c r="U46" s="4" t="str">
        <f>HYPERLINK("http://141.218.60.56/~jnz1568/getInfo.php?workbook=06_01.xlsx&amp;sheet=A0&amp;row=46&amp;col=21&amp;number==&amp;sourceID=13","=")</f>
        <v>=</v>
      </c>
      <c r="V46" s="4" t="str">
        <f>HYPERLINK("http://141.218.60.56/~jnz1568/getInfo.php?workbook=06_01.xlsx&amp;sheet=A0&amp;row=46&amp;col=22&amp;number=&amp;sourceID=13","")</f>
        <v/>
      </c>
      <c r="W46" s="4" t="str">
        <f>HYPERLINK("http://141.218.60.56/~jnz1568/getInfo.php?workbook=06_01.xlsx&amp;sheet=A0&amp;row=46&amp;col=23&amp;number=&amp;sourceID=13","")</f>
        <v/>
      </c>
      <c r="X46" s="4" t="str">
        <f>HYPERLINK("http://141.218.60.56/~jnz1568/getInfo.php?workbook=06_01.xlsx&amp;sheet=A0&amp;row=46&amp;col=24&amp;number=&amp;sourceID=13","")</f>
        <v/>
      </c>
      <c r="Y46" s="4" t="str">
        <f>HYPERLINK("http://141.218.60.56/~jnz1568/getInfo.php?workbook=06_01.xlsx&amp;sheet=A0&amp;row=46&amp;col=25&amp;number=34.4&amp;sourceID=13","34.4")</f>
        <v>34.4</v>
      </c>
      <c r="Z46" s="4" t="str">
        <f>HYPERLINK("http://141.218.60.56/~jnz1568/getInfo.php?workbook=06_01.xlsx&amp;sheet=A0&amp;row=46&amp;col=26&amp;number=&amp;sourceID=13","")</f>
        <v/>
      </c>
    </row>
    <row r="47" spans="1:26">
      <c r="A47" s="3">
        <v>6</v>
      </c>
      <c r="B47" s="3">
        <v>1</v>
      </c>
      <c r="C47" s="3">
        <v>11</v>
      </c>
      <c r="D47" s="3">
        <v>2</v>
      </c>
      <c r="E47" s="3">
        <f>((1/(INDEX(E0!J$4:J$28,C47,1)-INDEX(E0!J$4:J$28,D47,1))))*100000000</f>
        <v>0</v>
      </c>
      <c r="F47" s="4" t="str">
        <f>HYPERLINK("http://141.218.60.56/~jnz1568/getInfo.php?workbook=06_01.xlsx&amp;sheet=A0&amp;row=47&amp;col=6&amp;number=&amp;sourceID=18","")</f>
        <v/>
      </c>
      <c r="G47" s="4" t="str">
        <f>HYPERLINK("http://141.218.60.56/~jnz1568/getInfo.php?workbook=06_01.xlsx&amp;sheet=A0&amp;row=47&amp;col=7&amp;number==&amp;sourceID=11","=")</f>
        <v>=</v>
      </c>
      <c r="H47" s="4" t="str">
        <f>HYPERLINK("http://141.218.60.56/~jnz1568/getInfo.php?workbook=06_01.xlsx&amp;sheet=A0&amp;row=47&amp;col=8&amp;number=1115600000&amp;sourceID=11","1115600000")</f>
        <v>1115600000</v>
      </c>
      <c r="I47" s="4" t="str">
        <f>HYPERLINK("http://141.218.60.56/~jnz1568/getInfo.php?workbook=06_01.xlsx&amp;sheet=A0&amp;row=47&amp;col=9&amp;number=&amp;sourceID=11","")</f>
        <v/>
      </c>
      <c r="J47" s="4" t="str">
        <f>HYPERLINK("http://141.218.60.56/~jnz1568/getInfo.php?workbook=06_01.xlsx&amp;sheet=A0&amp;row=47&amp;col=10&amp;number=&amp;sourceID=11","")</f>
        <v/>
      </c>
      <c r="K47" s="4" t="str">
        <f>HYPERLINK("http://141.218.60.56/~jnz1568/getInfo.php?workbook=06_01.xlsx&amp;sheet=A0&amp;row=47&amp;col=11&amp;number=&amp;sourceID=11","")</f>
        <v/>
      </c>
      <c r="L47" s="4" t="str">
        <f>HYPERLINK("http://141.218.60.56/~jnz1568/getInfo.php?workbook=06_01.xlsx&amp;sheet=A0&amp;row=47&amp;col=12&amp;number=&amp;sourceID=11","")</f>
        <v/>
      </c>
      <c r="M47" s="4" t="str">
        <f>HYPERLINK("http://141.218.60.56/~jnz1568/getInfo.php?workbook=06_01.xlsx&amp;sheet=A0&amp;row=47&amp;col=13&amp;number=&amp;sourceID=11","")</f>
        <v/>
      </c>
      <c r="N47" s="4" t="str">
        <f>HYPERLINK("http://141.218.60.56/~jnz1568/getInfo.php?workbook=06_01.xlsx&amp;sheet=A0&amp;row=47&amp;col=14&amp;number=1115700000&amp;sourceID=12","1115700000")</f>
        <v>1115700000</v>
      </c>
      <c r="O47" s="4" t="str">
        <f>HYPERLINK("http://141.218.60.56/~jnz1568/getInfo.php?workbook=06_01.xlsx&amp;sheet=A0&amp;row=47&amp;col=15&amp;number=1115700000&amp;sourceID=12","1115700000")</f>
        <v>1115700000</v>
      </c>
      <c r="P47" s="4" t="str">
        <f>HYPERLINK("http://141.218.60.56/~jnz1568/getInfo.php?workbook=06_01.xlsx&amp;sheet=A0&amp;row=47&amp;col=16&amp;number=&amp;sourceID=12","")</f>
        <v/>
      </c>
      <c r="Q47" s="4" t="str">
        <f>HYPERLINK("http://141.218.60.56/~jnz1568/getInfo.php?workbook=06_01.xlsx&amp;sheet=A0&amp;row=47&amp;col=17&amp;number=&amp;sourceID=12","")</f>
        <v/>
      </c>
      <c r="R47" s="4" t="str">
        <f>HYPERLINK("http://141.218.60.56/~jnz1568/getInfo.php?workbook=06_01.xlsx&amp;sheet=A0&amp;row=47&amp;col=18&amp;number=&amp;sourceID=12","")</f>
        <v/>
      </c>
      <c r="S47" s="4" t="str">
        <f>HYPERLINK("http://141.218.60.56/~jnz1568/getInfo.php?workbook=06_01.xlsx&amp;sheet=A0&amp;row=47&amp;col=19&amp;number=&amp;sourceID=12","")</f>
        <v/>
      </c>
      <c r="T47" s="4" t="str">
        <f>HYPERLINK("http://141.218.60.56/~jnz1568/getInfo.php?workbook=06_01.xlsx&amp;sheet=A0&amp;row=47&amp;col=20&amp;number=&amp;sourceID=12","")</f>
        <v/>
      </c>
      <c r="U47" s="4" t="str">
        <f>HYPERLINK("http://141.218.60.56/~jnz1568/getInfo.php?workbook=06_01.xlsx&amp;sheet=A0&amp;row=47&amp;col=21&amp;number==&amp;sourceID=13","=")</f>
        <v>=</v>
      </c>
      <c r="V47" s="4" t="str">
        <f>HYPERLINK("http://141.218.60.56/~jnz1568/getInfo.php?workbook=06_01.xlsx&amp;sheet=A0&amp;row=47&amp;col=22&amp;number=1090000000&amp;sourceID=13","1090000000")</f>
        <v>1090000000</v>
      </c>
      <c r="W47" s="4" t="str">
        <f>HYPERLINK("http://141.218.60.56/~jnz1568/getInfo.php?workbook=06_01.xlsx&amp;sheet=A0&amp;row=47&amp;col=23&amp;number=&amp;sourceID=13","")</f>
        <v/>
      </c>
      <c r="X47" s="4" t="str">
        <f>HYPERLINK("http://141.218.60.56/~jnz1568/getInfo.php?workbook=06_01.xlsx&amp;sheet=A0&amp;row=47&amp;col=24&amp;number=&amp;sourceID=13","")</f>
        <v/>
      </c>
      <c r="Y47" s="4" t="str">
        <f>HYPERLINK("http://141.218.60.56/~jnz1568/getInfo.php?workbook=06_01.xlsx&amp;sheet=A0&amp;row=47&amp;col=25&amp;number=&amp;sourceID=13","")</f>
        <v/>
      </c>
      <c r="Z47" s="4" t="str">
        <f>HYPERLINK("http://141.218.60.56/~jnz1568/getInfo.php?workbook=06_01.xlsx&amp;sheet=A0&amp;row=47&amp;col=26&amp;number=&amp;sourceID=13","")</f>
        <v/>
      </c>
    </row>
    <row r="48" spans="1:26">
      <c r="A48" s="3">
        <v>6</v>
      </c>
      <c r="B48" s="3">
        <v>1</v>
      </c>
      <c r="C48" s="3">
        <v>11</v>
      </c>
      <c r="D48" s="3">
        <v>3</v>
      </c>
      <c r="E48" s="3">
        <f>((1/(INDEX(E0!J$4:J$28,C48,1)-INDEX(E0!J$4:J$28,D48,1))))*100000000</f>
        <v>0</v>
      </c>
      <c r="F48" s="4" t="str">
        <f>HYPERLINK("http://141.218.60.56/~jnz1568/getInfo.php?workbook=06_01.xlsx&amp;sheet=A0&amp;row=48&amp;col=6&amp;number=&amp;sourceID=18","")</f>
        <v/>
      </c>
      <c r="G48" s="4" t="str">
        <f>HYPERLINK("http://141.218.60.56/~jnz1568/getInfo.php?workbook=06_01.xlsx&amp;sheet=A0&amp;row=48&amp;col=7&amp;number==&amp;sourceID=11","=")</f>
        <v>=</v>
      </c>
      <c r="H48" s="4" t="str">
        <f>HYPERLINK("http://141.218.60.56/~jnz1568/getInfo.php?workbook=06_01.xlsx&amp;sheet=A0&amp;row=48&amp;col=8&amp;number=&amp;sourceID=11","")</f>
        <v/>
      </c>
      <c r="I48" s="4" t="str">
        <f>HYPERLINK("http://141.218.60.56/~jnz1568/getInfo.php?workbook=06_01.xlsx&amp;sheet=A0&amp;row=48&amp;col=9&amp;number=&amp;sourceID=11","")</f>
        <v/>
      </c>
      <c r="J48" s="4" t="str">
        <f>HYPERLINK("http://141.218.60.56/~jnz1568/getInfo.php?workbook=06_01.xlsx&amp;sheet=A0&amp;row=48&amp;col=10&amp;number=&amp;sourceID=11","")</f>
        <v/>
      </c>
      <c r="K48" s="4" t="str">
        <f>HYPERLINK("http://141.218.60.56/~jnz1568/getInfo.php?workbook=06_01.xlsx&amp;sheet=A0&amp;row=48&amp;col=11&amp;number=0.098114&amp;sourceID=11","0.098114")</f>
        <v>0.098114</v>
      </c>
      <c r="L48" s="4" t="str">
        <f>HYPERLINK("http://141.218.60.56/~jnz1568/getInfo.php?workbook=06_01.xlsx&amp;sheet=A0&amp;row=48&amp;col=12&amp;number=&amp;sourceID=11","")</f>
        <v/>
      </c>
      <c r="M48" s="4" t="str">
        <f>HYPERLINK("http://141.218.60.56/~jnz1568/getInfo.php?workbook=06_01.xlsx&amp;sheet=A0&amp;row=48&amp;col=13&amp;number=&amp;sourceID=11","")</f>
        <v/>
      </c>
      <c r="N48" s="4" t="str">
        <f>HYPERLINK("http://141.218.60.56/~jnz1568/getInfo.php?workbook=06_01.xlsx&amp;sheet=A0&amp;row=48&amp;col=14&amp;number=0.098121&amp;sourceID=12","0.098121")</f>
        <v>0.098121</v>
      </c>
      <c r="O48" s="4" t="str">
        <f>HYPERLINK("http://141.218.60.56/~jnz1568/getInfo.php?workbook=06_01.xlsx&amp;sheet=A0&amp;row=48&amp;col=15&amp;number=&amp;sourceID=12","")</f>
        <v/>
      </c>
      <c r="P48" s="4" t="str">
        <f>HYPERLINK("http://141.218.60.56/~jnz1568/getInfo.php?workbook=06_01.xlsx&amp;sheet=A0&amp;row=48&amp;col=16&amp;number=&amp;sourceID=12","")</f>
        <v/>
      </c>
      <c r="Q48" s="4" t="str">
        <f>HYPERLINK("http://141.218.60.56/~jnz1568/getInfo.php?workbook=06_01.xlsx&amp;sheet=A0&amp;row=48&amp;col=17&amp;number=&amp;sourceID=12","")</f>
        <v/>
      </c>
      <c r="R48" s="4" t="str">
        <f>HYPERLINK("http://141.218.60.56/~jnz1568/getInfo.php?workbook=06_01.xlsx&amp;sheet=A0&amp;row=48&amp;col=18&amp;number=0.098121&amp;sourceID=12","0.098121")</f>
        <v>0.098121</v>
      </c>
      <c r="S48" s="4" t="str">
        <f>HYPERLINK("http://141.218.60.56/~jnz1568/getInfo.php?workbook=06_01.xlsx&amp;sheet=A0&amp;row=48&amp;col=19&amp;number=&amp;sourceID=12","")</f>
        <v/>
      </c>
      <c r="T48" s="4" t="str">
        <f>HYPERLINK("http://141.218.60.56/~jnz1568/getInfo.php?workbook=06_01.xlsx&amp;sheet=A0&amp;row=48&amp;col=20&amp;number=&amp;sourceID=12","")</f>
        <v/>
      </c>
      <c r="U48" s="4" t="str">
        <f>HYPERLINK("http://141.218.60.56/~jnz1568/getInfo.php?workbook=06_01.xlsx&amp;sheet=A0&amp;row=48&amp;col=21&amp;number==&amp;sourceID=13","=")</f>
        <v>=</v>
      </c>
      <c r="V48" s="4" t="str">
        <f>HYPERLINK("http://141.218.60.56/~jnz1568/getInfo.php?workbook=06_01.xlsx&amp;sheet=A0&amp;row=48&amp;col=22&amp;number=&amp;sourceID=13","")</f>
        <v/>
      </c>
      <c r="W48" s="4" t="str">
        <f>HYPERLINK("http://141.218.60.56/~jnz1568/getInfo.php?workbook=06_01.xlsx&amp;sheet=A0&amp;row=48&amp;col=23&amp;number=&amp;sourceID=13","")</f>
        <v/>
      </c>
      <c r="X48" s="4" t="str">
        <f>HYPERLINK("http://141.218.60.56/~jnz1568/getInfo.php?workbook=06_01.xlsx&amp;sheet=A0&amp;row=48&amp;col=24&amp;number=&amp;sourceID=13","")</f>
        <v/>
      </c>
      <c r="Y48" s="4" t="str">
        <f>HYPERLINK("http://141.218.60.56/~jnz1568/getInfo.php?workbook=06_01.xlsx&amp;sheet=A0&amp;row=48&amp;col=25&amp;number=0.0986&amp;sourceID=13","0.0986")</f>
        <v>0.0986</v>
      </c>
      <c r="Z48" s="4" t="str">
        <f>HYPERLINK("http://141.218.60.56/~jnz1568/getInfo.php?workbook=06_01.xlsx&amp;sheet=A0&amp;row=48&amp;col=26&amp;number=&amp;sourceID=13","")</f>
        <v/>
      </c>
    </row>
    <row r="49" spans="1:26">
      <c r="A49" s="3">
        <v>6</v>
      </c>
      <c r="B49" s="3">
        <v>1</v>
      </c>
      <c r="C49" s="3">
        <v>11</v>
      </c>
      <c r="D49" s="3">
        <v>4</v>
      </c>
      <c r="E49" s="3">
        <f>((1/(INDEX(E0!J$4:J$28,C49,1)-INDEX(E0!J$4:J$28,D49,1))))*100000000</f>
        <v>0</v>
      </c>
      <c r="F49" s="4" t="str">
        <f>HYPERLINK("http://141.218.60.56/~jnz1568/getInfo.php?workbook=06_01.xlsx&amp;sheet=A0&amp;row=49&amp;col=6&amp;number=&amp;sourceID=18","")</f>
        <v/>
      </c>
      <c r="G49" s="4" t="str">
        <f>HYPERLINK("http://141.218.60.56/~jnz1568/getInfo.php?workbook=06_01.xlsx&amp;sheet=A0&amp;row=49&amp;col=7&amp;number==&amp;sourceID=11","=")</f>
        <v>=</v>
      </c>
      <c r="H49" s="4" t="str">
        <f>HYPERLINK("http://141.218.60.56/~jnz1568/getInfo.php?workbook=06_01.xlsx&amp;sheet=A0&amp;row=49&amp;col=8&amp;number=2239600000&amp;sourceID=11","2239600000")</f>
        <v>2239600000</v>
      </c>
      <c r="I49" s="4" t="str">
        <f>HYPERLINK("http://141.218.60.56/~jnz1568/getInfo.php?workbook=06_01.xlsx&amp;sheet=A0&amp;row=49&amp;col=9&amp;number=&amp;sourceID=11","")</f>
        <v/>
      </c>
      <c r="J49" s="4" t="str">
        <f>HYPERLINK("http://141.218.60.56/~jnz1568/getInfo.php?workbook=06_01.xlsx&amp;sheet=A0&amp;row=49&amp;col=10&amp;number=&amp;sourceID=11","")</f>
        <v/>
      </c>
      <c r="K49" s="4" t="str">
        <f>HYPERLINK("http://141.218.60.56/~jnz1568/getInfo.php?workbook=06_01.xlsx&amp;sheet=A0&amp;row=49&amp;col=11&amp;number=&amp;sourceID=11","")</f>
        <v/>
      </c>
      <c r="L49" s="4" t="str">
        <f>HYPERLINK("http://141.218.60.56/~jnz1568/getInfo.php?workbook=06_01.xlsx&amp;sheet=A0&amp;row=49&amp;col=12&amp;number=13.57&amp;sourceID=11","13.57")</f>
        <v>13.57</v>
      </c>
      <c r="M49" s="4" t="str">
        <f>HYPERLINK("http://141.218.60.56/~jnz1568/getInfo.php?workbook=06_01.xlsx&amp;sheet=A0&amp;row=49&amp;col=13&amp;number=&amp;sourceID=11","")</f>
        <v/>
      </c>
      <c r="N49" s="4" t="str">
        <f>HYPERLINK("http://141.218.60.56/~jnz1568/getInfo.php?workbook=06_01.xlsx&amp;sheet=A0&amp;row=49&amp;col=14&amp;number=2239700000&amp;sourceID=12","2239700000")</f>
        <v>2239700000</v>
      </c>
      <c r="O49" s="4" t="str">
        <f>HYPERLINK("http://141.218.60.56/~jnz1568/getInfo.php?workbook=06_01.xlsx&amp;sheet=A0&amp;row=49&amp;col=15&amp;number=2239700000&amp;sourceID=12","2239700000")</f>
        <v>2239700000</v>
      </c>
      <c r="P49" s="4" t="str">
        <f>HYPERLINK("http://141.218.60.56/~jnz1568/getInfo.php?workbook=06_01.xlsx&amp;sheet=A0&amp;row=49&amp;col=16&amp;number=&amp;sourceID=12","")</f>
        <v/>
      </c>
      <c r="Q49" s="4" t="str">
        <f>HYPERLINK("http://141.218.60.56/~jnz1568/getInfo.php?workbook=06_01.xlsx&amp;sheet=A0&amp;row=49&amp;col=17&amp;number=&amp;sourceID=12","")</f>
        <v/>
      </c>
      <c r="R49" s="4" t="str">
        <f>HYPERLINK("http://141.218.60.56/~jnz1568/getInfo.php?workbook=06_01.xlsx&amp;sheet=A0&amp;row=49&amp;col=18&amp;number=&amp;sourceID=12","")</f>
        <v/>
      </c>
      <c r="S49" s="4" t="str">
        <f>HYPERLINK("http://141.218.60.56/~jnz1568/getInfo.php?workbook=06_01.xlsx&amp;sheet=A0&amp;row=49&amp;col=19&amp;number=13.571&amp;sourceID=12","13.571")</f>
        <v>13.571</v>
      </c>
      <c r="T49" s="4" t="str">
        <f>HYPERLINK("http://141.218.60.56/~jnz1568/getInfo.php?workbook=06_01.xlsx&amp;sheet=A0&amp;row=49&amp;col=20&amp;number=&amp;sourceID=12","")</f>
        <v/>
      </c>
      <c r="U49" s="4" t="str">
        <f>HYPERLINK("http://141.218.60.56/~jnz1568/getInfo.php?workbook=06_01.xlsx&amp;sheet=A0&amp;row=49&amp;col=21&amp;number==&amp;sourceID=13","=")</f>
        <v>=</v>
      </c>
      <c r="V49" s="4" t="str">
        <f>HYPERLINK("http://141.218.60.56/~jnz1568/getInfo.php?workbook=06_01.xlsx&amp;sheet=A0&amp;row=49&amp;col=22&amp;number=2220000000&amp;sourceID=13","2220000000")</f>
        <v>2220000000</v>
      </c>
      <c r="W49" s="4" t="str">
        <f>HYPERLINK("http://141.218.60.56/~jnz1568/getInfo.php?workbook=06_01.xlsx&amp;sheet=A0&amp;row=49&amp;col=23&amp;number=&amp;sourceID=13","")</f>
        <v/>
      </c>
      <c r="X49" s="4" t="str">
        <f>HYPERLINK("http://141.218.60.56/~jnz1568/getInfo.php?workbook=06_01.xlsx&amp;sheet=A0&amp;row=49&amp;col=24&amp;number=&amp;sourceID=13","")</f>
        <v/>
      </c>
      <c r="Y49" s="4" t="str">
        <f>HYPERLINK("http://141.218.60.56/~jnz1568/getInfo.php?workbook=06_01.xlsx&amp;sheet=A0&amp;row=49&amp;col=25&amp;number=&amp;sourceID=13","")</f>
        <v/>
      </c>
      <c r="Z49" s="4" t="str">
        <f>HYPERLINK("http://141.218.60.56/~jnz1568/getInfo.php?workbook=06_01.xlsx&amp;sheet=A0&amp;row=49&amp;col=26&amp;number=&amp;sourceID=13","")</f>
        <v/>
      </c>
    </row>
    <row r="50" spans="1:26">
      <c r="A50" s="3">
        <v>6</v>
      </c>
      <c r="B50" s="3">
        <v>1</v>
      </c>
      <c r="C50" s="3">
        <v>11</v>
      </c>
      <c r="D50" s="3">
        <v>5</v>
      </c>
      <c r="E50" s="3">
        <f>((1/(INDEX(E0!J$4:J$28,C50,1)-INDEX(E0!J$4:J$28,D50,1))))*100000000</f>
        <v>0</v>
      </c>
      <c r="F50" s="4" t="str">
        <f>HYPERLINK("http://141.218.60.56/~jnz1568/getInfo.php?workbook=06_01.xlsx&amp;sheet=A0&amp;row=50&amp;col=6&amp;number=&amp;sourceID=18","")</f>
        <v/>
      </c>
      <c r="G50" s="4" t="str">
        <f>HYPERLINK("http://141.218.60.56/~jnz1568/getInfo.php?workbook=06_01.xlsx&amp;sheet=A0&amp;row=50&amp;col=7&amp;number==&amp;sourceID=11","=")</f>
        <v>=</v>
      </c>
      <c r="H50" s="4" t="str">
        <f>HYPERLINK("http://141.218.60.56/~jnz1568/getInfo.php?workbook=06_01.xlsx&amp;sheet=A0&amp;row=50&amp;col=8&amp;number=794070000&amp;sourceID=11","794070000")</f>
        <v>794070000</v>
      </c>
      <c r="I50" s="4" t="str">
        <f>HYPERLINK("http://141.218.60.56/~jnz1568/getInfo.php?workbook=06_01.xlsx&amp;sheet=A0&amp;row=50&amp;col=9&amp;number=&amp;sourceID=11","")</f>
        <v/>
      </c>
      <c r="J50" s="4" t="str">
        <f>HYPERLINK("http://141.218.60.56/~jnz1568/getInfo.php?workbook=06_01.xlsx&amp;sheet=A0&amp;row=50&amp;col=10&amp;number=&amp;sourceID=11","")</f>
        <v/>
      </c>
      <c r="K50" s="4" t="str">
        <f>HYPERLINK("http://141.218.60.56/~jnz1568/getInfo.php?workbook=06_01.xlsx&amp;sheet=A0&amp;row=50&amp;col=11&amp;number=&amp;sourceID=11","")</f>
        <v/>
      </c>
      <c r="L50" s="4" t="str">
        <f>HYPERLINK("http://141.218.60.56/~jnz1568/getInfo.php?workbook=06_01.xlsx&amp;sheet=A0&amp;row=50&amp;col=12&amp;number=&amp;sourceID=11","")</f>
        <v/>
      </c>
      <c r="M50" s="4" t="str">
        <f>HYPERLINK("http://141.218.60.56/~jnz1568/getInfo.php?workbook=06_01.xlsx&amp;sheet=A0&amp;row=50&amp;col=13&amp;number=&amp;sourceID=11","")</f>
        <v/>
      </c>
      <c r="N50" s="4" t="str">
        <f>HYPERLINK("http://141.218.60.56/~jnz1568/getInfo.php?workbook=06_01.xlsx&amp;sheet=A0&amp;row=50&amp;col=14&amp;number=794110000&amp;sourceID=12","794110000")</f>
        <v>794110000</v>
      </c>
      <c r="O50" s="4" t="str">
        <f>HYPERLINK("http://141.218.60.56/~jnz1568/getInfo.php?workbook=06_01.xlsx&amp;sheet=A0&amp;row=50&amp;col=15&amp;number=794110000&amp;sourceID=12","794110000")</f>
        <v>794110000</v>
      </c>
      <c r="P50" s="4" t="str">
        <f>HYPERLINK("http://141.218.60.56/~jnz1568/getInfo.php?workbook=06_01.xlsx&amp;sheet=A0&amp;row=50&amp;col=16&amp;number=&amp;sourceID=12","")</f>
        <v/>
      </c>
      <c r="Q50" s="4" t="str">
        <f>HYPERLINK("http://141.218.60.56/~jnz1568/getInfo.php?workbook=06_01.xlsx&amp;sheet=A0&amp;row=50&amp;col=17&amp;number=&amp;sourceID=12","")</f>
        <v/>
      </c>
      <c r="R50" s="4" t="str">
        <f>HYPERLINK("http://141.218.60.56/~jnz1568/getInfo.php?workbook=06_01.xlsx&amp;sheet=A0&amp;row=50&amp;col=18&amp;number=&amp;sourceID=12","")</f>
        <v/>
      </c>
      <c r="S50" s="4" t="str">
        <f>HYPERLINK("http://141.218.60.56/~jnz1568/getInfo.php?workbook=06_01.xlsx&amp;sheet=A0&amp;row=50&amp;col=19&amp;number=&amp;sourceID=12","")</f>
        <v/>
      </c>
      <c r="T50" s="4" t="str">
        <f>HYPERLINK("http://141.218.60.56/~jnz1568/getInfo.php?workbook=06_01.xlsx&amp;sheet=A0&amp;row=50&amp;col=20&amp;number=&amp;sourceID=12","")</f>
        <v/>
      </c>
      <c r="U50" s="4" t="str">
        <f>HYPERLINK("http://141.218.60.56/~jnz1568/getInfo.php?workbook=06_01.xlsx&amp;sheet=A0&amp;row=50&amp;col=21&amp;number==&amp;sourceID=13","=")</f>
        <v>=</v>
      </c>
      <c r="V50" s="4" t="str">
        <f>HYPERLINK("http://141.218.60.56/~jnz1568/getInfo.php?workbook=06_01.xlsx&amp;sheet=A0&amp;row=50&amp;col=22&amp;number=789000000&amp;sourceID=13","789000000")</f>
        <v>789000000</v>
      </c>
      <c r="W50" s="4" t="str">
        <f>HYPERLINK("http://141.218.60.56/~jnz1568/getInfo.php?workbook=06_01.xlsx&amp;sheet=A0&amp;row=50&amp;col=23&amp;number=&amp;sourceID=13","")</f>
        <v/>
      </c>
      <c r="X50" s="4" t="str">
        <f>HYPERLINK("http://141.218.60.56/~jnz1568/getInfo.php?workbook=06_01.xlsx&amp;sheet=A0&amp;row=50&amp;col=24&amp;number=&amp;sourceID=13","")</f>
        <v/>
      </c>
      <c r="Y50" s="4" t="str">
        <f>HYPERLINK("http://141.218.60.56/~jnz1568/getInfo.php?workbook=06_01.xlsx&amp;sheet=A0&amp;row=50&amp;col=25&amp;number=&amp;sourceID=13","")</f>
        <v/>
      </c>
      <c r="Z50" s="4" t="str">
        <f>HYPERLINK("http://141.218.60.56/~jnz1568/getInfo.php?workbook=06_01.xlsx&amp;sheet=A0&amp;row=50&amp;col=26&amp;number=&amp;sourceID=13","")</f>
        <v/>
      </c>
    </row>
    <row r="51" spans="1:26">
      <c r="A51" s="3">
        <v>6</v>
      </c>
      <c r="B51" s="3">
        <v>1</v>
      </c>
      <c r="C51" s="3">
        <v>11</v>
      </c>
      <c r="D51" s="3">
        <v>6</v>
      </c>
      <c r="E51" s="3">
        <f>((1/(INDEX(E0!J$4:J$28,C51,1)-INDEX(E0!J$4:J$28,D51,1))))*100000000</f>
        <v>0</v>
      </c>
      <c r="F51" s="4" t="str">
        <f>HYPERLINK("http://141.218.60.56/~jnz1568/getInfo.php?workbook=06_01.xlsx&amp;sheet=A0&amp;row=51&amp;col=6&amp;number=&amp;sourceID=18","")</f>
        <v/>
      </c>
      <c r="G51" s="4" t="str">
        <f>HYPERLINK("http://141.218.60.56/~jnz1568/getInfo.php?workbook=06_01.xlsx&amp;sheet=A0&amp;row=51&amp;col=7&amp;number==&amp;sourceID=11","=")</f>
        <v>=</v>
      </c>
      <c r="H51" s="4" t="str">
        <f>HYPERLINK("http://141.218.60.56/~jnz1568/getInfo.php?workbook=06_01.xlsx&amp;sheet=A0&amp;row=51&amp;col=8&amp;number=&amp;sourceID=11","")</f>
        <v/>
      </c>
      <c r="I51" s="4" t="str">
        <f>HYPERLINK("http://141.218.60.56/~jnz1568/getInfo.php?workbook=06_01.xlsx&amp;sheet=A0&amp;row=51&amp;col=9&amp;number=&amp;sourceID=11","")</f>
        <v/>
      </c>
      <c r="J51" s="4" t="str">
        <f>HYPERLINK("http://141.218.60.56/~jnz1568/getInfo.php?workbook=06_01.xlsx&amp;sheet=A0&amp;row=51&amp;col=10&amp;number=&amp;sourceID=11","")</f>
        <v/>
      </c>
      <c r="K51" s="4" t="str">
        <f>HYPERLINK("http://141.218.60.56/~jnz1568/getInfo.php?workbook=06_01.xlsx&amp;sheet=A0&amp;row=51&amp;col=11&amp;number=0.0012407&amp;sourceID=11","0.0012407")</f>
        <v>0.0012407</v>
      </c>
      <c r="L51" s="4" t="str">
        <f>HYPERLINK("http://141.218.60.56/~jnz1568/getInfo.php?workbook=06_01.xlsx&amp;sheet=A0&amp;row=51&amp;col=12&amp;number=&amp;sourceID=11","")</f>
        <v/>
      </c>
      <c r="M51" s="4" t="str">
        <f>HYPERLINK("http://141.218.60.56/~jnz1568/getInfo.php?workbook=06_01.xlsx&amp;sheet=A0&amp;row=51&amp;col=13&amp;number=&amp;sourceID=11","")</f>
        <v/>
      </c>
      <c r="N51" s="4" t="str">
        <f>HYPERLINK("http://141.218.60.56/~jnz1568/getInfo.php?workbook=06_01.xlsx&amp;sheet=A0&amp;row=51&amp;col=14&amp;number=0.0012408&amp;sourceID=12","0.0012408")</f>
        <v>0.0012408</v>
      </c>
      <c r="O51" s="4" t="str">
        <f>HYPERLINK("http://141.218.60.56/~jnz1568/getInfo.php?workbook=06_01.xlsx&amp;sheet=A0&amp;row=51&amp;col=15&amp;number=&amp;sourceID=12","")</f>
        <v/>
      </c>
      <c r="P51" s="4" t="str">
        <f>HYPERLINK("http://141.218.60.56/~jnz1568/getInfo.php?workbook=06_01.xlsx&amp;sheet=A0&amp;row=51&amp;col=16&amp;number=&amp;sourceID=12","")</f>
        <v/>
      </c>
      <c r="Q51" s="4" t="str">
        <f>HYPERLINK("http://141.218.60.56/~jnz1568/getInfo.php?workbook=06_01.xlsx&amp;sheet=A0&amp;row=51&amp;col=17&amp;number=&amp;sourceID=12","")</f>
        <v/>
      </c>
      <c r="R51" s="4" t="str">
        <f>HYPERLINK("http://141.218.60.56/~jnz1568/getInfo.php?workbook=06_01.xlsx&amp;sheet=A0&amp;row=51&amp;col=18&amp;number=0.0012408&amp;sourceID=12","0.0012408")</f>
        <v>0.0012408</v>
      </c>
      <c r="S51" s="4" t="str">
        <f>HYPERLINK("http://141.218.60.56/~jnz1568/getInfo.php?workbook=06_01.xlsx&amp;sheet=A0&amp;row=51&amp;col=19&amp;number=&amp;sourceID=12","")</f>
        <v/>
      </c>
      <c r="T51" s="4" t="str">
        <f>HYPERLINK("http://141.218.60.56/~jnz1568/getInfo.php?workbook=06_01.xlsx&amp;sheet=A0&amp;row=51&amp;col=20&amp;number=&amp;sourceID=12","")</f>
        <v/>
      </c>
      <c r="U51" s="4" t="str">
        <f>HYPERLINK("http://141.218.60.56/~jnz1568/getInfo.php?workbook=06_01.xlsx&amp;sheet=A0&amp;row=51&amp;col=21&amp;number==&amp;sourceID=13","=")</f>
        <v>=</v>
      </c>
      <c r="V51" s="4" t="str">
        <f>HYPERLINK("http://141.218.60.56/~jnz1568/getInfo.php?workbook=06_01.xlsx&amp;sheet=A0&amp;row=51&amp;col=22&amp;number=&amp;sourceID=13","")</f>
        <v/>
      </c>
      <c r="W51" s="4" t="str">
        <f>HYPERLINK("http://141.218.60.56/~jnz1568/getInfo.php?workbook=06_01.xlsx&amp;sheet=A0&amp;row=51&amp;col=23&amp;number=&amp;sourceID=13","")</f>
        <v/>
      </c>
      <c r="X51" s="4" t="str">
        <f>HYPERLINK("http://141.218.60.56/~jnz1568/getInfo.php?workbook=06_01.xlsx&amp;sheet=A0&amp;row=51&amp;col=24&amp;number=&amp;sourceID=13","")</f>
        <v/>
      </c>
      <c r="Y51" s="4" t="str">
        <f>HYPERLINK("http://141.218.60.56/~jnz1568/getInfo.php?workbook=06_01.xlsx&amp;sheet=A0&amp;row=51&amp;col=25&amp;number=0.00123&amp;sourceID=13","0.00123")</f>
        <v>0.00123</v>
      </c>
      <c r="Z51" s="4" t="str">
        <f>HYPERLINK("http://141.218.60.56/~jnz1568/getInfo.php?workbook=06_01.xlsx&amp;sheet=A0&amp;row=51&amp;col=26&amp;number=&amp;sourceID=13","")</f>
        <v/>
      </c>
    </row>
    <row r="52" spans="1:26">
      <c r="A52" s="3">
        <v>6</v>
      </c>
      <c r="B52" s="3">
        <v>1</v>
      </c>
      <c r="C52" s="3">
        <v>11</v>
      </c>
      <c r="D52" s="3">
        <v>7</v>
      </c>
      <c r="E52" s="3">
        <f>((1/(INDEX(E0!J$4:J$28,C52,1)-INDEX(E0!J$4:J$28,D52,1))))*100000000</f>
        <v>0</v>
      </c>
      <c r="F52" s="4" t="str">
        <f>HYPERLINK("http://141.218.60.56/~jnz1568/getInfo.php?workbook=06_01.xlsx&amp;sheet=A0&amp;row=52&amp;col=6&amp;number=&amp;sourceID=18","")</f>
        <v/>
      </c>
      <c r="G52" s="4" t="str">
        <f>HYPERLINK("http://141.218.60.56/~jnz1568/getInfo.php?workbook=06_01.xlsx&amp;sheet=A0&amp;row=52&amp;col=7&amp;number==&amp;sourceID=11","=")</f>
        <v>=</v>
      </c>
      <c r="H52" s="4" t="str">
        <f>HYPERLINK("http://141.218.60.56/~jnz1568/getInfo.php?workbook=06_01.xlsx&amp;sheet=A0&amp;row=52&amp;col=8&amp;number=&amp;sourceID=11","")</f>
        <v/>
      </c>
      <c r="I52" s="4" t="str">
        <f>HYPERLINK("http://141.218.60.56/~jnz1568/getInfo.php?workbook=06_01.xlsx&amp;sheet=A0&amp;row=52&amp;col=9&amp;number=19229&amp;sourceID=11","19229")</f>
        <v>19229</v>
      </c>
      <c r="J52" s="4" t="str">
        <f>HYPERLINK("http://141.218.60.56/~jnz1568/getInfo.php?workbook=06_01.xlsx&amp;sheet=A0&amp;row=52&amp;col=10&amp;number=&amp;sourceID=11","")</f>
        <v/>
      </c>
      <c r="K52" s="4" t="str">
        <f>HYPERLINK("http://141.218.60.56/~jnz1568/getInfo.php?workbook=06_01.xlsx&amp;sheet=A0&amp;row=52&amp;col=11&amp;number=4.1151e-07&amp;sourceID=11","4.1151e-07")</f>
        <v>4.1151e-07</v>
      </c>
      <c r="L52" s="4" t="str">
        <f>HYPERLINK("http://141.218.60.56/~jnz1568/getInfo.php?workbook=06_01.xlsx&amp;sheet=A0&amp;row=52&amp;col=12&amp;number=&amp;sourceID=11","")</f>
        <v/>
      </c>
      <c r="M52" s="4" t="str">
        <f>HYPERLINK("http://141.218.60.56/~jnz1568/getInfo.php?workbook=06_01.xlsx&amp;sheet=A0&amp;row=52&amp;col=13&amp;number=&amp;sourceID=11","")</f>
        <v/>
      </c>
      <c r="N52" s="4" t="str">
        <f>HYPERLINK("http://141.218.60.56/~jnz1568/getInfo.php?workbook=06_01.xlsx&amp;sheet=A0&amp;row=52&amp;col=14&amp;number=19230&amp;sourceID=12","19230")</f>
        <v>19230</v>
      </c>
      <c r="O52" s="4" t="str">
        <f>HYPERLINK("http://141.218.60.56/~jnz1568/getInfo.php?workbook=06_01.xlsx&amp;sheet=A0&amp;row=52&amp;col=15&amp;number=&amp;sourceID=12","")</f>
        <v/>
      </c>
      <c r="P52" s="4" t="str">
        <f>HYPERLINK("http://141.218.60.56/~jnz1568/getInfo.php?workbook=06_01.xlsx&amp;sheet=A0&amp;row=52&amp;col=16&amp;number=19230&amp;sourceID=12","19230")</f>
        <v>19230</v>
      </c>
      <c r="Q52" s="4" t="str">
        <f>HYPERLINK("http://141.218.60.56/~jnz1568/getInfo.php?workbook=06_01.xlsx&amp;sheet=A0&amp;row=52&amp;col=17&amp;number=&amp;sourceID=12","")</f>
        <v/>
      </c>
      <c r="R52" s="4" t="str">
        <f>HYPERLINK("http://141.218.60.56/~jnz1568/getInfo.php?workbook=06_01.xlsx&amp;sheet=A0&amp;row=52&amp;col=18&amp;number=4.1156e-07&amp;sourceID=12","4.1156e-07")</f>
        <v>4.1156e-07</v>
      </c>
      <c r="S52" s="4" t="str">
        <f>HYPERLINK("http://141.218.60.56/~jnz1568/getInfo.php?workbook=06_01.xlsx&amp;sheet=A0&amp;row=52&amp;col=19&amp;number=&amp;sourceID=12","")</f>
        <v/>
      </c>
      <c r="T52" s="4" t="str">
        <f>HYPERLINK("http://141.218.60.56/~jnz1568/getInfo.php?workbook=06_01.xlsx&amp;sheet=A0&amp;row=52&amp;col=20&amp;number=&amp;sourceID=12","")</f>
        <v/>
      </c>
      <c r="U52" s="4" t="str">
        <f>HYPERLINK("http://141.218.60.56/~jnz1568/getInfo.php?workbook=06_01.xlsx&amp;sheet=A0&amp;row=52&amp;col=21&amp;number==&amp;sourceID=13","=")</f>
        <v>=</v>
      </c>
      <c r="V52" s="4" t="str">
        <f>HYPERLINK("http://141.218.60.56/~jnz1568/getInfo.php?workbook=06_01.xlsx&amp;sheet=A0&amp;row=52&amp;col=22&amp;number=&amp;sourceID=13","")</f>
        <v/>
      </c>
      <c r="W52" s="4" t="str">
        <f>HYPERLINK("http://141.218.60.56/~jnz1568/getInfo.php?workbook=06_01.xlsx&amp;sheet=A0&amp;row=52&amp;col=23&amp;number=19200&amp;sourceID=13","19200")</f>
        <v>19200</v>
      </c>
      <c r="X52" s="4" t="str">
        <f>HYPERLINK("http://141.218.60.56/~jnz1568/getInfo.php?workbook=06_01.xlsx&amp;sheet=A0&amp;row=52&amp;col=24&amp;number=&amp;sourceID=13","")</f>
        <v/>
      </c>
      <c r="Y52" s="4" t="str">
        <f>HYPERLINK("http://141.218.60.56/~jnz1568/getInfo.php?workbook=06_01.xlsx&amp;sheet=A0&amp;row=52&amp;col=25&amp;number=1.4e-07&amp;sourceID=13","1.4e-07")</f>
        <v>1.4e-07</v>
      </c>
      <c r="Z52" s="4" t="str">
        <f>HYPERLINK("http://141.218.60.56/~jnz1568/getInfo.php?workbook=06_01.xlsx&amp;sheet=A0&amp;row=52&amp;col=26&amp;number=&amp;sourceID=13","")</f>
        <v/>
      </c>
    </row>
    <row r="53" spans="1:26">
      <c r="A53" s="3">
        <v>6</v>
      </c>
      <c r="B53" s="3">
        <v>1</v>
      </c>
      <c r="C53" s="3">
        <v>11</v>
      </c>
      <c r="D53" s="3">
        <v>8</v>
      </c>
      <c r="E53" s="3">
        <f>((1/(INDEX(E0!J$4:J$28,C53,1)-INDEX(E0!J$4:J$28,D53,1))))*100000000</f>
        <v>0</v>
      </c>
      <c r="F53" s="4" t="str">
        <f>HYPERLINK("http://141.218.60.56/~jnz1568/getInfo.php?workbook=06_01.xlsx&amp;sheet=A0&amp;row=53&amp;col=6&amp;number=&amp;sourceID=18","")</f>
        <v/>
      </c>
      <c r="G53" s="4" t="str">
        <f>HYPERLINK("http://141.218.60.56/~jnz1568/getInfo.php?workbook=06_01.xlsx&amp;sheet=A0&amp;row=53&amp;col=7&amp;number==&amp;sourceID=11","=")</f>
        <v>=</v>
      </c>
      <c r="H53" s="4" t="str">
        <f>HYPERLINK("http://141.218.60.56/~jnz1568/getInfo.php?workbook=06_01.xlsx&amp;sheet=A0&amp;row=53&amp;col=8&amp;number=1593900000&amp;sourceID=11","1593900000")</f>
        <v>1593900000</v>
      </c>
      <c r="I53" s="4" t="str">
        <f>HYPERLINK("http://141.218.60.56/~jnz1568/getInfo.php?workbook=06_01.xlsx&amp;sheet=A0&amp;row=53&amp;col=9&amp;number=&amp;sourceID=11","")</f>
        <v/>
      </c>
      <c r="J53" s="4" t="str">
        <f>HYPERLINK("http://141.218.60.56/~jnz1568/getInfo.php?workbook=06_01.xlsx&amp;sheet=A0&amp;row=53&amp;col=10&amp;number=&amp;sourceID=11","")</f>
        <v/>
      </c>
      <c r="K53" s="4" t="str">
        <f>HYPERLINK("http://141.218.60.56/~jnz1568/getInfo.php?workbook=06_01.xlsx&amp;sheet=A0&amp;row=53&amp;col=11&amp;number=&amp;sourceID=11","")</f>
        <v/>
      </c>
      <c r="L53" s="4" t="str">
        <f>HYPERLINK("http://141.218.60.56/~jnz1568/getInfo.php?workbook=06_01.xlsx&amp;sheet=A0&amp;row=53&amp;col=12&amp;number=0.64877&amp;sourceID=11","0.64877")</f>
        <v>0.64877</v>
      </c>
      <c r="M53" s="4" t="str">
        <f>HYPERLINK("http://141.218.60.56/~jnz1568/getInfo.php?workbook=06_01.xlsx&amp;sheet=A0&amp;row=53&amp;col=13&amp;number=&amp;sourceID=11","")</f>
        <v/>
      </c>
      <c r="N53" s="4" t="str">
        <f>HYPERLINK("http://141.218.60.56/~jnz1568/getInfo.php?workbook=06_01.xlsx&amp;sheet=A0&amp;row=53&amp;col=14&amp;number=1594000000&amp;sourceID=12","1594000000")</f>
        <v>1594000000</v>
      </c>
      <c r="O53" s="4" t="str">
        <f>HYPERLINK("http://141.218.60.56/~jnz1568/getInfo.php?workbook=06_01.xlsx&amp;sheet=A0&amp;row=53&amp;col=15&amp;number=1594000000&amp;sourceID=12","1594000000")</f>
        <v>1594000000</v>
      </c>
      <c r="P53" s="4" t="str">
        <f>HYPERLINK("http://141.218.60.56/~jnz1568/getInfo.php?workbook=06_01.xlsx&amp;sheet=A0&amp;row=53&amp;col=16&amp;number=&amp;sourceID=12","")</f>
        <v/>
      </c>
      <c r="Q53" s="4" t="str">
        <f>HYPERLINK("http://141.218.60.56/~jnz1568/getInfo.php?workbook=06_01.xlsx&amp;sheet=A0&amp;row=53&amp;col=17&amp;number=&amp;sourceID=12","")</f>
        <v/>
      </c>
      <c r="R53" s="4" t="str">
        <f>HYPERLINK("http://141.218.60.56/~jnz1568/getInfo.php?workbook=06_01.xlsx&amp;sheet=A0&amp;row=53&amp;col=18&amp;number=&amp;sourceID=12","")</f>
        <v/>
      </c>
      <c r="S53" s="4" t="str">
        <f>HYPERLINK("http://141.218.60.56/~jnz1568/getInfo.php?workbook=06_01.xlsx&amp;sheet=A0&amp;row=53&amp;col=19&amp;number=0.6488&amp;sourceID=12","0.6488")</f>
        <v>0.6488</v>
      </c>
      <c r="T53" s="4" t="str">
        <f>HYPERLINK("http://141.218.60.56/~jnz1568/getInfo.php?workbook=06_01.xlsx&amp;sheet=A0&amp;row=53&amp;col=20&amp;number=&amp;sourceID=12","")</f>
        <v/>
      </c>
      <c r="U53" s="4" t="str">
        <f>HYPERLINK("http://141.218.60.56/~jnz1568/getInfo.php?workbook=06_01.xlsx&amp;sheet=A0&amp;row=53&amp;col=21&amp;number==&amp;sourceID=13","=")</f>
        <v>=</v>
      </c>
      <c r="V53" s="4" t="str">
        <f>HYPERLINK("http://141.218.60.56/~jnz1568/getInfo.php?workbook=06_01.xlsx&amp;sheet=A0&amp;row=53&amp;col=22&amp;number=1590000000&amp;sourceID=13","1590000000")</f>
        <v>1590000000</v>
      </c>
      <c r="W53" s="4" t="str">
        <f>HYPERLINK("http://141.218.60.56/~jnz1568/getInfo.php?workbook=06_01.xlsx&amp;sheet=A0&amp;row=53&amp;col=23&amp;number=&amp;sourceID=13","")</f>
        <v/>
      </c>
      <c r="X53" s="4" t="str">
        <f>HYPERLINK("http://141.218.60.56/~jnz1568/getInfo.php?workbook=06_01.xlsx&amp;sheet=A0&amp;row=53&amp;col=24&amp;number=&amp;sourceID=13","")</f>
        <v/>
      </c>
      <c r="Y53" s="4" t="str">
        <f>HYPERLINK("http://141.218.60.56/~jnz1568/getInfo.php?workbook=06_01.xlsx&amp;sheet=A0&amp;row=53&amp;col=25&amp;number=&amp;sourceID=13","")</f>
        <v/>
      </c>
      <c r="Z53" s="4" t="str">
        <f>HYPERLINK("http://141.218.60.56/~jnz1568/getInfo.php?workbook=06_01.xlsx&amp;sheet=A0&amp;row=53&amp;col=26&amp;number=&amp;sourceID=13","")</f>
        <v/>
      </c>
    </row>
    <row r="54" spans="1:26">
      <c r="A54" s="3">
        <v>6</v>
      </c>
      <c r="B54" s="3">
        <v>1</v>
      </c>
      <c r="C54" s="3">
        <v>11</v>
      </c>
      <c r="D54" s="3">
        <v>9</v>
      </c>
      <c r="E54" s="3">
        <f>((1/(INDEX(E0!J$4:J$28,C54,1)-INDEX(E0!J$4:J$28,D54,1))))*100000000</f>
        <v>0</v>
      </c>
      <c r="F54" s="4" t="str">
        <f>HYPERLINK("http://141.218.60.56/~jnz1568/getInfo.php?workbook=06_01.xlsx&amp;sheet=A0&amp;row=54&amp;col=6&amp;number=&amp;sourceID=18","")</f>
        <v/>
      </c>
      <c r="G54" s="4" t="str">
        <f>HYPERLINK("http://141.218.60.56/~jnz1568/getInfo.php?workbook=06_01.xlsx&amp;sheet=A0&amp;row=54&amp;col=7&amp;number==&amp;sourceID=11","=")</f>
        <v>=</v>
      </c>
      <c r="H54" s="4" t="str">
        <f>HYPERLINK("http://141.218.60.56/~jnz1568/getInfo.php?workbook=06_01.xlsx&amp;sheet=A0&amp;row=54&amp;col=8&amp;number=&amp;sourceID=11","")</f>
        <v/>
      </c>
      <c r="I54" s="4" t="str">
        <f>HYPERLINK("http://141.218.60.56/~jnz1568/getInfo.php?workbook=06_01.xlsx&amp;sheet=A0&amp;row=54&amp;col=9&amp;number=28850&amp;sourceID=11","28850")</f>
        <v>28850</v>
      </c>
      <c r="J54" s="4" t="str">
        <f>HYPERLINK("http://141.218.60.56/~jnz1568/getInfo.php?workbook=06_01.xlsx&amp;sheet=A0&amp;row=54&amp;col=10&amp;number=&amp;sourceID=11","")</f>
        <v/>
      </c>
      <c r="K54" s="4" t="str">
        <f>HYPERLINK("http://141.218.60.56/~jnz1568/getInfo.php?workbook=06_01.xlsx&amp;sheet=A0&amp;row=54&amp;col=11&amp;number=&amp;sourceID=11","")</f>
        <v/>
      </c>
      <c r="L54" s="4" t="str">
        <f>HYPERLINK("http://141.218.60.56/~jnz1568/getInfo.php?workbook=06_01.xlsx&amp;sheet=A0&amp;row=54&amp;col=12&amp;number=&amp;sourceID=11","")</f>
        <v/>
      </c>
      <c r="M54" s="4" t="str">
        <f>HYPERLINK("http://141.218.60.56/~jnz1568/getInfo.php?workbook=06_01.xlsx&amp;sheet=A0&amp;row=54&amp;col=13&amp;number=1.3909e-05&amp;sourceID=11","1.3909e-05")</f>
        <v>1.3909e-05</v>
      </c>
      <c r="N54" s="4" t="str">
        <f>HYPERLINK("http://141.218.60.56/~jnz1568/getInfo.php?workbook=06_01.xlsx&amp;sheet=A0&amp;row=54&amp;col=14&amp;number=28851&amp;sourceID=12","28851")</f>
        <v>28851</v>
      </c>
      <c r="O54" s="4" t="str">
        <f>HYPERLINK("http://141.218.60.56/~jnz1568/getInfo.php?workbook=06_01.xlsx&amp;sheet=A0&amp;row=54&amp;col=15&amp;number=&amp;sourceID=12","")</f>
        <v/>
      </c>
      <c r="P54" s="4" t="str">
        <f>HYPERLINK("http://141.218.60.56/~jnz1568/getInfo.php?workbook=06_01.xlsx&amp;sheet=A0&amp;row=54&amp;col=16&amp;number=28851&amp;sourceID=12","28851")</f>
        <v>28851</v>
      </c>
      <c r="Q54" s="4" t="str">
        <f>HYPERLINK("http://141.218.60.56/~jnz1568/getInfo.php?workbook=06_01.xlsx&amp;sheet=A0&amp;row=54&amp;col=17&amp;number=&amp;sourceID=12","")</f>
        <v/>
      </c>
      <c r="R54" s="4" t="str">
        <f>HYPERLINK("http://141.218.60.56/~jnz1568/getInfo.php?workbook=06_01.xlsx&amp;sheet=A0&amp;row=54&amp;col=18&amp;number=&amp;sourceID=12","")</f>
        <v/>
      </c>
      <c r="S54" s="4" t="str">
        <f>HYPERLINK("http://141.218.60.56/~jnz1568/getInfo.php?workbook=06_01.xlsx&amp;sheet=A0&amp;row=54&amp;col=19&amp;number=&amp;sourceID=12","")</f>
        <v/>
      </c>
      <c r="T54" s="4" t="str">
        <f>HYPERLINK("http://141.218.60.56/~jnz1568/getInfo.php?workbook=06_01.xlsx&amp;sheet=A0&amp;row=54&amp;col=20&amp;number=1.391e-05&amp;sourceID=12","1.391e-05")</f>
        <v>1.391e-05</v>
      </c>
      <c r="U54" s="4" t="str">
        <f>HYPERLINK("http://141.218.60.56/~jnz1568/getInfo.php?workbook=06_01.xlsx&amp;sheet=A0&amp;row=54&amp;col=21&amp;number==&amp;sourceID=13","=")</f>
        <v>=</v>
      </c>
      <c r="V54" s="4" t="str">
        <f>HYPERLINK("http://141.218.60.56/~jnz1568/getInfo.php?workbook=06_01.xlsx&amp;sheet=A0&amp;row=54&amp;col=22&amp;number=&amp;sourceID=13","")</f>
        <v/>
      </c>
      <c r="W54" s="4" t="str">
        <f>HYPERLINK("http://141.218.60.56/~jnz1568/getInfo.php?workbook=06_01.xlsx&amp;sheet=A0&amp;row=54&amp;col=23&amp;number=28800&amp;sourceID=13","28800")</f>
        <v>28800</v>
      </c>
      <c r="X54" s="4" t="str">
        <f>HYPERLINK("http://141.218.60.56/~jnz1568/getInfo.php?workbook=06_01.xlsx&amp;sheet=A0&amp;row=54&amp;col=24&amp;number=&amp;sourceID=13","")</f>
        <v/>
      </c>
      <c r="Y54" s="4" t="str">
        <f>HYPERLINK("http://141.218.60.56/~jnz1568/getInfo.php?workbook=06_01.xlsx&amp;sheet=A0&amp;row=54&amp;col=25&amp;number=&amp;sourceID=13","")</f>
        <v/>
      </c>
      <c r="Z54" s="4" t="str">
        <f>HYPERLINK("http://141.218.60.56/~jnz1568/getInfo.php?workbook=06_01.xlsx&amp;sheet=A0&amp;row=54&amp;col=26&amp;number=&amp;sourceID=13","")</f>
        <v/>
      </c>
    </row>
    <row r="55" spans="1:26">
      <c r="A55" s="3">
        <v>6</v>
      </c>
      <c r="B55" s="3">
        <v>1</v>
      </c>
      <c r="C55" s="3">
        <v>12</v>
      </c>
      <c r="D55" s="3">
        <v>1</v>
      </c>
      <c r="E55" s="3">
        <f>((1/(INDEX(E0!J$4:J$28,C55,1)-INDEX(E0!J$4:J$28,D55,1))))*100000000</f>
        <v>0</v>
      </c>
      <c r="F55" s="4" t="str">
        <f>HYPERLINK("http://141.218.60.56/~jnz1568/getInfo.php?workbook=06_01.xlsx&amp;sheet=A0&amp;row=55&amp;col=6&amp;number=&amp;sourceID=18","")</f>
        <v/>
      </c>
      <c r="G55" s="4" t="str">
        <f>HYPERLINK("http://141.218.60.56/~jnz1568/getInfo.php?workbook=06_01.xlsx&amp;sheet=A0&amp;row=55&amp;col=7&amp;number==&amp;sourceID=11","=")</f>
        <v>=</v>
      </c>
      <c r="H55" s="4" t="str">
        <f>HYPERLINK("http://141.218.60.56/~jnz1568/getInfo.php?workbook=06_01.xlsx&amp;sheet=A0&amp;row=55&amp;col=8&amp;number=&amp;sourceID=11","")</f>
        <v/>
      </c>
      <c r="I55" s="4" t="str">
        <f>HYPERLINK("http://141.218.60.56/~jnz1568/getInfo.php?workbook=06_01.xlsx&amp;sheet=A0&amp;row=55&amp;col=9&amp;number=15246000&amp;sourceID=11","15246000")</f>
        <v>15246000</v>
      </c>
      <c r="J55" s="4" t="str">
        <f>HYPERLINK("http://141.218.60.56/~jnz1568/getInfo.php?workbook=06_01.xlsx&amp;sheet=A0&amp;row=55&amp;col=10&amp;number=&amp;sourceID=11","")</f>
        <v/>
      </c>
      <c r="K55" s="4" t="str">
        <f>HYPERLINK("http://141.218.60.56/~jnz1568/getInfo.php?workbook=06_01.xlsx&amp;sheet=A0&amp;row=55&amp;col=11&amp;number=0.26153&amp;sourceID=11","0.26153")</f>
        <v>0.26153</v>
      </c>
      <c r="L55" s="4" t="str">
        <f>HYPERLINK("http://141.218.60.56/~jnz1568/getInfo.php?workbook=06_01.xlsx&amp;sheet=A0&amp;row=55&amp;col=12&amp;number=&amp;sourceID=11","")</f>
        <v/>
      </c>
      <c r="M55" s="4" t="str">
        <f>HYPERLINK("http://141.218.60.56/~jnz1568/getInfo.php?workbook=06_01.xlsx&amp;sheet=A0&amp;row=55&amp;col=13&amp;number=&amp;sourceID=11","")</f>
        <v/>
      </c>
      <c r="N55" s="4" t="str">
        <f>HYPERLINK("http://141.218.60.56/~jnz1568/getInfo.php?workbook=06_01.xlsx&amp;sheet=A0&amp;row=55&amp;col=14&amp;number=15246000&amp;sourceID=12","15246000")</f>
        <v>15246000</v>
      </c>
      <c r="O55" s="4" t="str">
        <f>HYPERLINK("http://141.218.60.56/~jnz1568/getInfo.php?workbook=06_01.xlsx&amp;sheet=A0&amp;row=55&amp;col=15&amp;number=&amp;sourceID=12","")</f>
        <v/>
      </c>
      <c r="P55" s="4" t="str">
        <f>HYPERLINK("http://141.218.60.56/~jnz1568/getInfo.php?workbook=06_01.xlsx&amp;sheet=A0&amp;row=55&amp;col=16&amp;number=15246000&amp;sourceID=12","15246000")</f>
        <v>15246000</v>
      </c>
      <c r="Q55" s="4" t="str">
        <f>HYPERLINK("http://141.218.60.56/~jnz1568/getInfo.php?workbook=06_01.xlsx&amp;sheet=A0&amp;row=55&amp;col=17&amp;number=&amp;sourceID=12","")</f>
        <v/>
      </c>
      <c r="R55" s="4" t="str">
        <f>HYPERLINK("http://141.218.60.56/~jnz1568/getInfo.php?workbook=06_01.xlsx&amp;sheet=A0&amp;row=55&amp;col=18&amp;number=0.26169&amp;sourceID=12","0.26169")</f>
        <v>0.26169</v>
      </c>
      <c r="S55" s="4" t="str">
        <f>HYPERLINK("http://141.218.60.56/~jnz1568/getInfo.php?workbook=06_01.xlsx&amp;sheet=A0&amp;row=55&amp;col=19&amp;number=&amp;sourceID=12","")</f>
        <v/>
      </c>
      <c r="T55" s="4" t="str">
        <f>HYPERLINK("http://141.218.60.56/~jnz1568/getInfo.php?workbook=06_01.xlsx&amp;sheet=A0&amp;row=55&amp;col=20&amp;number=&amp;sourceID=12","")</f>
        <v/>
      </c>
      <c r="U55" s="4" t="str">
        <f>HYPERLINK("http://141.218.60.56/~jnz1568/getInfo.php?workbook=06_01.xlsx&amp;sheet=A0&amp;row=55&amp;col=21&amp;number==&amp;sourceID=13","=")</f>
        <v>=</v>
      </c>
      <c r="V55" s="4" t="str">
        <f>HYPERLINK("http://141.218.60.56/~jnz1568/getInfo.php?workbook=06_01.xlsx&amp;sheet=A0&amp;row=55&amp;col=22&amp;number=&amp;sourceID=13","")</f>
        <v/>
      </c>
      <c r="W55" s="4" t="str">
        <f>HYPERLINK("http://141.218.60.56/~jnz1568/getInfo.php?workbook=06_01.xlsx&amp;sheet=A0&amp;row=55&amp;col=23&amp;number=15900000&amp;sourceID=13","15900000")</f>
        <v>15900000</v>
      </c>
      <c r="X55" s="4" t="str">
        <f>HYPERLINK("http://141.218.60.56/~jnz1568/getInfo.php?workbook=06_01.xlsx&amp;sheet=A0&amp;row=55&amp;col=24&amp;number=&amp;sourceID=13","")</f>
        <v/>
      </c>
      <c r="Y55" s="4" t="str">
        <f>HYPERLINK("http://141.218.60.56/~jnz1568/getInfo.php?workbook=06_01.xlsx&amp;sheet=A0&amp;row=55&amp;col=25&amp;number=0.708&amp;sourceID=13","0.708")</f>
        <v>0.708</v>
      </c>
      <c r="Z55" s="4" t="str">
        <f>HYPERLINK("http://141.218.60.56/~jnz1568/getInfo.php?workbook=06_01.xlsx&amp;sheet=A0&amp;row=55&amp;col=26&amp;number=&amp;sourceID=13","")</f>
        <v/>
      </c>
    </row>
    <row r="56" spans="1:26">
      <c r="A56" s="3">
        <v>6</v>
      </c>
      <c r="B56" s="3">
        <v>1</v>
      </c>
      <c r="C56" s="3">
        <v>12</v>
      </c>
      <c r="D56" s="3">
        <v>2</v>
      </c>
      <c r="E56" s="3">
        <f>((1/(INDEX(E0!J$4:J$28,C56,1)-INDEX(E0!J$4:J$28,D56,1))))*100000000</f>
        <v>0</v>
      </c>
      <c r="F56" s="4" t="str">
        <f>HYPERLINK("http://141.218.60.56/~jnz1568/getInfo.php?workbook=06_01.xlsx&amp;sheet=A0&amp;row=56&amp;col=6&amp;number=&amp;sourceID=18","")</f>
        <v/>
      </c>
      <c r="G56" s="4" t="str">
        <f>HYPERLINK("http://141.218.60.56/~jnz1568/getInfo.php?workbook=06_01.xlsx&amp;sheet=A0&amp;row=56&amp;col=7&amp;number==&amp;sourceID=11","=")</f>
        <v>=</v>
      </c>
      <c r="H56" s="4" t="str">
        <f>HYPERLINK("http://141.218.60.56/~jnz1568/getInfo.php?workbook=06_01.xlsx&amp;sheet=A0&amp;row=56&amp;col=8&amp;number=22315000000&amp;sourceID=11","22315000000")</f>
        <v>22315000000</v>
      </c>
      <c r="I56" s="4" t="str">
        <f>HYPERLINK("http://141.218.60.56/~jnz1568/getInfo.php?workbook=06_01.xlsx&amp;sheet=A0&amp;row=56&amp;col=9&amp;number=&amp;sourceID=11","")</f>
        <v/>
      </c>
      <c r="J56" s="4" t="str">
        <f>HYPERLINK("http://141.218.60.56/~jnz1568/getInfo.php?workbook=06_01.xlsx&amp;sheet=A0&amp;row=56&amp;col=10&amp;number=&amp;sourceID=11","")</f>
        <v/>
      </c>
      <c r="K56" s="4" t="str">
        <f>HYPERLINK("http://141.218.60.56/~jnz1568/getInfo.php?workbook=06_01.xlsx&amp;sheet=A0&amp;row=56&amp;col=11&amp;number=&amp;sourceID=11","")</f>
        <v/>
      </c>
      <c r="L56" s="4" t="str">
        <f>HYPERLINK("http://141.218.60.56/~jnz1568/getInfo.php?workbook=06_01.xlsx&amp;sheet=A0&amp;row=56&amp;col=12&amp;number=5.4106&amp;sourceID=11","5.4106")</f>
        <v>5.4106</v>
      </c>
      <c r="M56" s="4" t="str">
        <f>HYPERLINK("http://141.218.60.56/~jnz1568/getInfo.php?workbook=06_01.xlsx&amp;sheet=A0&amp;row=56&amp;col=13&amp;number=&amp;sourceID=11","")</f>
        <v/>
      </c>
      <c r="N56" s="4" t="str">
        <f>HYPERLINK("http://141.218.60.56/~jnz1568/getInfo.php?workbook=06_01.xlsx&amp;sheet=A0&amp;row=56&amp;col=14&amp;number=22316000000&amp;sourceID=12","22316000000")</f>
        <v>22316000000</v>
      </c>
      <c r="O56" s="4" t="str">
        <f>HYPERLINK("http://141.218.60.56/~jnz1568/getInfo.php?workbook=06_01.xlsx&amp;sheet=A0&amp;row=56&amp;col=15&amp;number=22316000000&amp;sourceID=12","22316000000")</f>
        <v>22316000000</v>
      </c>
      <c r="P56" s="4" t="str">
        <f>HYPERLINK("http://141.218.60.56/~jnz1568/getInfo.php?workbook=06_01.xlsx&amp;sheet=A0&amp;row=56&amp;col=16&amp;number=&amp;sourceID=12","")</f>
        <v/>
      </c>
      <c r="Q56" s="4" t="str">
        <f>HYPERLINK("http://141.218.60.56/~jnz1568/getInfo.php?workbook=06_01.xlsx&amp;sheet=A0&amp;row=56&amp;col=17&amp;number=&amp;sourceID=12","")</f>
        <v/>
      </c>
      <c r="R56" s="4" t="str">
        <f>HYPERLINK("http://141.218.60.56/~jnz1568/getInfo.php?workbook=06_01.xlsx&amp;sheet=A0&amp;row=56&amp;col=18&amp;number=&amp;sourceID=12","")</f>
        <v/>
      </c>
      <c r="S56" s="4" t="str">
        <f>HYPERLINK("http://141.218.60.56/~jnz1568/getInfo.php?workbook=06_01.xlsx&amp;sheet=A0&amp;row=56&amp;col=19&amp;number=5.4109&amp;sourceID=12","5.4109")</f>
        <v>5.4109</v>
      </c>
      <c r="T56" s="4" t="str">
        <f>HYPERLINK("http://141.218.60.56/~jnz1568/getInfo.php?workbook=06_01.xlsx&amp;sheet=A0&amp;row=56&amp;col=20&amp;number=&amp;sourceID=12","")</f>
        <v/>
      </c>
      <c r="U56" s="4" t="str">
        <f>HYPERLINK("http://141.218.60.56/~jnz1568/getInfo.php?workbook=06_01.xlsx&amp;sheet=A0&amp;row=56&amp;col=21&amp;number==&amp;sourceID=13","=")</f>
        <v>=</v>
      </c>
      <c r="V56" s="4" t="str">
        <f>HYPERLINK("http://141.218.60.56/~jnz1568/getInfo.php?workbook=06_01.xlsx&amp;sheet=A0&amp;row=56&amp;col=22&amp;number=22300000000&amp;sourceID=13","22300000000")</f>
        <v>22300000000</v>
      </c>
      <c r="W56" s="4" t="str">
        <f>HYPERLINK("http://141.218.60.56/~jnz1568/getInfo.php?workbook=06_01.xlsx&amp;sheet=A0&amp;row=56&amp;col=23&amp;number=&amp;sourceID=13","")</f>
        <v/>
      </c>
      <c r="X56" s="4" t="str">
        <f>HYPERLINK("http://141.218.60.56/~jnz1568/getInfo.php?workbook=06_01.xlsx&amp;sheet=A0&amp;row=56&amp;col=24&amp;number=&amp;sourceID=13","")</f>
        <v/>
      </c>
      <c r="Y56" s="4" t="str">
        <f>HYPERLINK("http://141.218.60.56/~jnz1568/getInfo.php?workbook=06_01.xlsx&amp;sheet=A0&amp;row=56&amp;col=25&amp;number=&amp;sourceID=13","")</f>
        <v/>
      </c>
      <c r="Z56" s="4" t="str">
        <f>HYPERLINK("http://141.218.60.56/~jnz1568/getInfo.php?workbook=06_01.xlsx&amp;sheet=A0&amp;row=56&amp;col=26&amp;number=&amp;sourceID=13","")</f>
        <v/>
      </c>
    </row>
    <row r="57" spans="1:26">
      <c r="A57" s="3">
        <v>6</v>
      </c>
      <c r="B57" s="3">
        <v>1</v>
      </c>
      <c r="C57" s="3">
        <v>12</v>
      </c>
      <c r="D57" s="3">
        <v>3</v>
      </c>
      <c r="E57" s="3">
        <f>((1/(INDEX(E0!J$4:J$28,C57,1)-INDEX(E0!J$4:J$28,D57,1))))*100000000</f>
        <v>0</v>
      </c>
      <c r="F57" s="4" t="str">
        <f>HYPERLINK("http://141.218.60.56/~jnz1568/getInfo.php?workbook=06_01.xlsx&amp;sheet=A0&amp;row=57&amp;col=6&amp;number=&amp;sourceID=18","")</f>
        <v/>
      </c>
      <c r="G57" s="4" t="str">
        <f>HYPERLINK("http://141.218.60.56/~jnz1568/getInfo.php?workbook=06_01.xlsx&amp;sheet=A0&amp;row=57&amp;col=7&amp;number==&amp;sourceID=11","=")</f>
        <v>=</v>
      </c>
      <c r="H57" s="4" t="str">
        <f>HYPERLINK("http://141.218.60.56/~jnz1568/getInfo.php?workbook=06_01.xlsx&amp;sheet=A0&amp;row=57&amp;col=8&amp;number=&amp;sourceID=11","")</f>
        <v/>
      </c>
      <c r="I57" s="4" t="str">
        <f>HYPERLINK("http://141.218.60.56/~jnz1568/getInfo.php?workbook=06_01.xlsx&amp;sheet=A0&amp;row=57&amp;col=9&amp;number=241470&amp;sourceID=11","241470")</f>
        <v>241470</v>
      </c>
      <c r="J57" s="4" t="str">
        <f>HYPERLINK("http://141.218.60.56/~jnz1568/getInfo.php?workbook=06_01.xlsx&amp;sheet=A0&amp;row=57&amp;col=10&amp;number=&amp;sourceID=11","")</f>
        <v/>
      </c>
      <c r="K57" s="4" t="str">
        <f>HYPERLINK("http://141.218.60.56/~jnz1568/getInfo.php?workbook=06_01.xlsx&amp;sheet=A0&amp;row=57&amp;col=11&amp;number=0.0036603&amp;sourceID=11","0.0036603")</f>
        <v>0.0036603</v>
      </c>
      <c r="L57" s="4" t="str">
        <f>HYPERLINK("http://141.218.60.56/~jnz1568/getInfo.php?workbook=06_01.xlsx&amp;sheet=A0&amp;row=57&amp;col=12&amp;number=&amp;sourceID=11","")</f>
        <v/>
      </c>
      <c r="M57" s="4" t="str">
        <f>HYPERLINK("http://141.218.60.56/~jnz1568/getInfo.php?workbook=06_01.xlsx&amp;sheet=A0&amp;row=57&amp;col=13&amp;number=&amp;sourceID=11","")</f>
        <v/>
      </c>
      <c r="N57" s="4" t="str">
        <f>HYPERLINK("http://141.218.60.56/~jnz1568/getInfo.php?workbook=06_01.xlsx&amp;sheet=A0&amp;row=57&amp;col=14&amp;number=241480&amp;sourceID=12","241480")</f>
        <v>241480</v>
      </c>
      <c r="O57" s="4" t="str">
        <f>HYPERLINK("http://141.218.60.56/~jnz1568/getInfo.php?workbook=06_01.xlsx&amp;sheet=A0&amp;row=57&amp;col=15&amp;number=&amp;sourceID=12","")</f>
        <v/>
      </c>
      <c r="P57" s="4" t="str">
        <f>HYPERLINK("http://141.218.60.56/~jnz1568/getInfo.php?workbook=06_01.xlsx&amp;sheet=A0&amp;row=57&amp;col=16&amp;number=241480&amp;sourceID=12","241480")</f>
        <v>241480</v>
      </c>
      <c r="Q57" s="4" t="str">
        <f>HYPERLINK("http://141.218.60.56/~jnz1568/getInfo.php?workbook=06_01.xlsx&amp;sheet=A0&amp;row=57&amp;col=17&amp;number=&amp;sourceID=12","")</f>
        <v/>
      </c>
      <c r="R57" s="4" t="str">
        <f>HYPERLINK("http://141.218.60.56/~jnz1568/getInfo.php?workbook=06_01.xlsx&amp;sheet=A0&amp;row=57&amp;col=18&amp;number=0.0036606&amp;sourceID=12","0.0036606")</f>
        <v>0.0036606</v>
      </c>
      <c r="S57" s="4" t="str">
        <f>HYPERLINK("http://141.218.60.56/~jnz1568/getInfo.php?workbook=06_01.xlsx&amp;sheet=A0&amp;row=57&amp;col=19&amp;number=&amp;sourceID=12","")</f>
        <v/>
      </c>
      <c r="T57" s="4" t="str">
        <f>HYPERLINK("http://141.218.60.56/~jnz1568/getInfo.php?workbook=06_01.xlsx&amp;sheet=A0&amp;row=57&amp;col=20&amp;number=&amp;sourceID=12","")</f>
        <v/>
      </c>
      <c r="U57" s="4" t="str">
        <f>HYPERLINK("http://141.218.60.56/~jnz1568/getInfo.php?workbook=06_01.xlsx&amp;sheet=A0&amp;row=57&amp;col=21&amp;number==&amp;sourceID=13","=")</f>
        <v>=</v>
      </c>
      <c r="V57" s="4" t="str">
        <f>HYPERLINK("http://141.218.60.56/~jnz1568/getInfo.php?workbook=06_01.xlsx&amp;sheet=A0&amp;row=57&amp;col=22&amp;number=&amp;sourceID=13","")</f>
        <v/>
      </c>
      <c r="W57" s="4" t="str">
        <f>HYPERLINK("http://141.218.60.56/~jnz1568/getInfo.php?workbook=06_01.xlsx&amp;sheet=A0&amp;row=57&amp;col=23&amp;number=238000&amp;sourceID=13","238000")</f>
        <v>238000</v>
      </c>
      <c r="X57" s="4" t="str">
        <f>HYPERLINK("http://141.218.60.56/~jnz1568/getInfo.php?workbook=06_01.xlsx&amp;sheet=A0&amp;row=57&amp;col=24&amp;number=&amp;sourceID=13","")</f>
        <v/>
      </c>
      <c r="Y57" s="4" t="str">
        <f>HYPERLINK("http://141.218.60.56/~jnz1568/getInfo.php?workbook=06_01.xlsx&amp;sheet=A0&amp;row=57&amp;col=25&amp;number=0.00797&amp;sourceID=13","0.00797")</f>
        <v>0.00797</v>
      </c>
      <c r="Z57" s="4" t="str">
        <f>HYPERLINK("http://141.218.60.56/~jnz1568/getInfo.php?workbook=06_01.xlsx&amp;sheet=A0&amp;row=57&amp;col=26&amp;number=&amp;sourceID=13","")</f>
        <v/>
      </c>
    </row>
    <row r="58" spans="1:26">
      <c r="A58" s="3">
        <v>6</v>
      </c>
      <c r="B58" s="3">
        <v>1</v>
      </c>
      <c r="C58" s="3">
        <v>12</v>
      </c>
      <c r="D58" s="3">
        <v>4</v>
      </c>
      <c r="E58" s="3">
        <f>((1/(INDEX(E0!J$4:J$28,C58,1)-INDEX(E0!J$4:J$28,D58,1))))*100000000</f>
        <v>0</v>
      </c>
      <c r="F58" s="4" t="str">
        <f>HYPERLINK("http://141.218.60.56/~jnz1568/getInfo.php?workbook=06_01.xlsx&amp;sheet=A0&amp;row=58&amp;col=6&amp;number=&amp;sourceID=18","")</f>
        <v/>
      </c>
      <c r="G58" s="4" t="str">
        <f>HYPERLINK("http://141.218.60.56/~jnz1568/getInfo.php?workbook=06_01.xlsx&amp;sheet=A0&amp;row=58&amp;col=7&amp;number==&amp;sourceID=11","=")</f>
        <v>=</v>
      </c>
      <c r="H58" s="4" t="str">
        <f>HYPERLINK("http://141.218.60.56/~jnz1568/getInfo.php?workbook=06_01.xlsx&amp;sheet=A0&amp;row=58&amp;col=8&amp;number=4455600000&amp;sourceID=11","4455600000")</f>
        <v>4455600000</v>
      </c>
      <c r="I58" s="4" t="str">
        <f>HYPERLINK("http://141.218.60.56/~jnz1568/getInfo.php?workbook=06_01.xlsx&amp;sheet=A0&amp;row=58&amp;col=9&amp;number=&amp;sourceID=11","")</f>
        <v/>
      </c>
      <c r="J58" s="4" t="str">
        <f>HYPERLINK("http://141.218.60.56/~jnz1568/getInfo.php?workbook=06_01.xlsx&amp;sheet=A0&amp;row=58&amp;col=10&amp;number=6.6707e-06&amp;sourceID=11","6.6707e-06")</f>
        <v>6.6707e-06</v>
      </c>
      <c r="K58" s="4" t="str">
        <f>HYPERLINK("http://141.218.60.56/~jnz1568/getInfo.php?workbook=06_01.xlsx&amp;sheet=A0&amp;row=58&amp;col=11&amp;number=&amp;sourceID=11","")</f>
        <v/>
      </c>
      <c r="L58" s="4" t="str">
        <f>HYPERLINK("http://141.218.60.56/~jnz1568/getInfo.php?workbook=06_01.xlsx&amp;sheet=A0&amp;row=58&amp;col=12&amp;number=&amp;sourceID=11","")</f>
        <v/>
      </c>
      <c r="M58" s="4" t="str">
        <f>HYPERLINK("http://141.218.60.56/~jnz1568/getInfo.php?workbook=06_01.xlsx&amp;sheet=A0&amp;row=58&amp;col=13&amp;number=&amp;sourceID=11","")</f>
        <v/>
      </c>
      <c r="N58" s="4" t="str">
        <f>HYPERLINK("http://141.218.60.56/~jnz1568/getInfo.php?workbook=06_01.xlsx&amp;sheet=A0&amp;row=58&amp;col=14&amp;number=4455800000&amp;sourceID=12","4455800000")</f>
        <v>4455800000</v>
      </c>
      <c r="O58" s="4" t="str">
        <f>HYPERLINK("http://141.218.60.56/~jnz1568/getInfo.php?workbook=06_01.xlsx&amp;sheet=A0&amp;row=58&amp;col=15&amp;number=4455800000&amp;sourceID=12","4455800000")</f>
        <v>4455800000</v>
      </c>
      <c r="P58" s="4" t="str">
        <f>HYPERLINK("http://141.218.60.56/~jnz1568/getInfo.php?workbook=06_01.xlsx&amp;sheet=A0&amp;row=58&amp;col=16&amp;number=&amp;sourceID=12","")</f>
        <v/>
      </c>
      <c r="Q58" s="4" t="str">
        <f>HYPERLINK("http://141.218.60.56/~jnz1568/getInfo.php?workbook=06_01.xlsx&amp;sheet=A0&amp;row=58&amp;col=17&amp;number=6.6686e-06&amp;sourceID=12","6.6686e-06")</f>
        <v>6.6686e-06</v>
      </c>
      <c r="R58" s="4" t="str">
        <f>HYPERLINK("http://141.218.60.56/~jnz1568/getInfo.php?workbook=06_01.xlsx&amp;sheet=A0&amp;row=58&amp;col=18&amp;number=&amp;sourceID=12","")</f>
        <v/>
      </c>
      <c r="S58" s="4" t="str">
        <f>HYPERLINK("http://141.218.60.56/~jnz1568/getInfo.php?workbook=06_01.xlsx&amp;sheet=A0&amp;row=58&amp;col=19&amp;number=&amp;sourceID=12","")</f>
        <v/>
      </c>
      <c r="T58" s="4" t="str">
        <f>HYPERLINK("http://141.218.60.56/~jnz1568/getInfo.php?workbook=06_01.xlsx&amp;sheet=A0&amp;row=58&amp;col=20&amp;number=&amp;sourceID=12","")</f>
        <v/>
      </c>
      <c r="U58" s="4" t="str">
        <f>HYPERLINK("http://141.218.60.56/~jnz1568/getInfo.php?workbook=06_01.xlsx&amp;sheet=A0&amp;row=58&amp;col=21&amp;number==&amp;sourceID=13","=")</f>
        <v>=</v>
      </c>
      <c r="V58" s="4" t="str">
        <f>HYPERLINK("http://141.218.60.56/~jnz1568/getInfo.php?workbook=06_01.xlsx&amp;sheet=A0&amp;row=58&amp;col=22&amp;number=4450000000&amp;sourceID=13","4450000000")</f>
        <v>4450000000</v>
      </c>
      <c r="W58" s="4" t="str">
        <f>HYPERLINK("http://141.218.60.56/~jnz1568/getInfo.php?workbook=06_01.xlsx&amp;sheet=A0&amp;row=58&amp;col=23&amp;number=&amp;sourceID=13","")</f>
        <v/>
      </c>
      <c r="X58" s="4" t="str">
        <f>HYPERLINK("http://141.218.60.56/~jnz1568/getInfo.php?workbook=06_01.xlsx&amp;sheet=A0&amp;row=58&amp;col=24&amp;number=&amp;sourceID=13","")</f>
        <v/>
      </c>
      <c r="Y58" s="4" t="str">
        <f>HYPERLINK("http://141.218.60.56/~jnz1568/getInfo.php?workbook=06_01.xlsx&amp;sheet=A0&amp;row=58&amp;col=25&amp;number=&amp;sourceID=13","")</f>
        <v/>
      </c>
      <c r="Z58" s="4" t="str">
        <f>HYPERLINK("http://141.218.60.56/~jnz1568/getInfo.php?workbook=06_01.xlsx&amp;sheet=A0&amp;row=58&amp;col=26&amp;number=&amp;sourceID=13","")</f>
        <v/>
      </c>
    </row>
    <row r="59" spans="1:26">
      <c r="A59" s="3">
        <v>6</v>
      </c>
      <c r="B59" s="3">
        <v>1</v>
      </c>
      <c r="C59" s="3">
        <v>12</v>
      </c>
      <c r="D59" s="3">
        <v>5</v>
      </c>
      <c r="E59" s="3">
        <f>((1/(INDEX(E0!J$4:J$28,C59,1)-INDEX(E0!J$4:J$28,D59,1))))*100000000</f>
        <v>0</v>
      </c>
      <c r="F59" s="4" t="str">
        <f>HYPERLINK("http://141.218.60.56/~jnz1568/getInfo.php?workbook=06_01.xlsx&amp;sheet=A0&amp;row=59&amp;col=6&amp;number=&amp;sourceID=18","")</f>
        <v/>
      </c>
      <c r="G59" s="4" t="str">
        <f>HYPERLINK("http://141.218.60.56/~jnz1568/getInfo.php?workbook=06_01.xlsx&amp;sheet=A0&amp;row=59&amp;col=7&amp;number==&amp;sourceID=11","=")</f>
        <v>=</v>
      </c>
      <c r="H59" s="4" t="str">
        <f>HYPERLINK("http://141.218.60.56/~jnz1568/getInfo.php?workbook=06_01.xlsx&amp;sheet=A0&amp;row=59&amp;col=8&amp;number=7604600000&amp;sourceID=11","7604600000")</f>
        <v>7604600000</v>
      </c>
      <c r="I59" s="4" t="str">
        <f>HYPERLINK("http://141.218.60.56/~jnz1568/getInfo.php?workbook=06_01.xlsx&amp;sheet=A0&amp;row=59&amp;col=9&amp;number=&amp;sourceID=11","")</f>
        <v/>
      </c>
      <c r="J59" s="4" t="str">
        <f>HYPERLINK("http://141.218.60.56/~jnz1568/getInfo.php?workbook=06_01.xlsx&amp;sheet=A0&amp;row=59&amp;col=10&amp;number=&amp;sourceID=11","")</f>
        <v/>
      </c>
      <c r="K59" s="4" t="str">
        <f>HYPERLINK("http://141.218.60.56/~jnz1568/getInfo.php?workbook=06_01.xlsx&amp;sheet=A0&amp;row=59&amp;col=11&amp;number=&amp;sourceID=11","")</f>
        <v/>
      </c>
      <c r="L59" s="4" t="str">
        <f>HYPERLINK("http://141.218.60.56/~jnz1568/getInfo.php?workbook=06_01.xlsx&amp;sheet=A0&amp;row=59&amp;col=12&amp;number=0.12403&amp;sourceID=11","0.12403")</f>
        <v>0.12403</v>
      </c>
      <c r="M59" s="4" t="str">
        <f>HYPERLINK("http://141.218.60.56/~jnz1568/getInfo.php?workbook=06_01.xlsx&amp;sheet=A0&amp;row=59&amp;col=13&amp;number=&amp;sourceID=11","")</f>
        <v/>
      </c>
      <c r="N59" s="4" t="str">
        <f>HYPERLINK("http://141.218.60.56/~jnz1568/getInfo.php?workbook=06_01.xlsx&amp;sheet=A0&amp;row=59&amp;col=14&amp;number=7604900000&amp;sourceID=12","7604900000")</f>
        <v>7604900000</v>
      </c>
      <c r="O59" s="4" t="str">
        <f>HYPERLINK("http://141.218.60.56/~jnz1568/getInfo.php?workbook=06_01.xlsx&amp;sheet=A0&amp;row=59&amp;col=15&amp;number=7604900000&amp;sourceID=12","7604900000")</f>
        <v>7604900000</v>
      </c>
      <c r="P59" s="4" t="str">
        <f>HYPERLINK("http://141.218.60.56/~jnz1568/getInfo.php?workbook=06_01.xlsx&amp;sheet=A0&amp;row=59&amp;col=16&amp;number=&amp;sourceID=12","")</f>
        <v/>
      </c>
      <c r="Q59" s="4" t="str">
        <f>HYPERLINK("http://141.218.60.56/~jnz1568/getInfo.php?workbook=06_01.xlsx&amp;sheet=A0&amp;row=59&amp;col=17&amp;number=&amp;sourceID=12","")</f>
        <v/>
      </c>
      <c r="R59" s="4" t="str">
        <f>HYPERLINK("http://141.218.60.56/~jnz1568/getInfo.php?workbook=06_01.xlsx&amp;sheet=A0&amp;row=59&amp;col=18&amp;number=&amp;sourceID=12","")</f>
        <v/>
      </c>
      <c r="S59" s="4" t="str">
        <f>HYPERLINK("http://141.218.60.56/~jnz1568/getInfo.php?workbook=06_01.xlsx&amp;sheet=A0&amp;row=59&amp;col=19&amp;number=0.12404&amp;sourceID=12","0.12404")</f>
        <v>0.12404</v>
      </c>
      <c r="T59" s="4" t="str">
        <f>HYPERLINK("http://141.218.60.56/~jnz1568/getInfo.php?workbook=06_01.xlsx&amp;sheet=A0&amp;row=59&amp;col=20&amp;number=&amp;sourceID=12","")</f>
        <v/>
      </c>
      <c r="U59" s="4" t="str">
        <f>HYPERLINK("http://141.218.60.56/~jnz1568/getInfo.php?workbook=06_01.xlsx&amp;sheet=A0&amp;row=59&amp;col=21&amp;number==&amp;sourceID=13","=")</f>
        <v>=</v>
      </c>
      <c r="V59" s="4" t="str">
        <f>HYPERLINK("http://141.218.60.56/~jnz1568/getInfo.php?workbook=06_01.xlsx&amp;sheet=A0&amp;row=59&amp;col=22&amp;number=7600000000&amp;sourceID=13","7600000000")</f>
        <v>7600000000</v>
      </c>
      <c r="W59" s="4" t="str">
        <f>HYPERLINK("http://141.218.60.56/~jnz1568/getInfo.php?workbook=06_01.xlsx&amp;sheet=A0&amp;row=59&amp;col=23&amp;number=&amp;sourceID=13","")</f>
        <v/>
      </c>
      <c r="X59" s="4" t="str">
        <f>HYPERLINK("http://141.218.60.56/~jnz1568/getInfo.php?workbook=06_01.xlsx&amp;sheet=A0&amp;row=59&amp;col=24&amp;number=&amp;sourceID=13","")</f>
        <v/>
      </c>
      <c r="Y59" s="4" t="str">
        <f>HYPERLINK("http://141.218.60.56/~jnz1568/getInfo.php?workbook=06_01.xlsx&amp;sheet=A0&amp;row=59&amp;col=25&amp;number=&amp;sourceID=13","")</f>
        <v/>
      </c>
      <c r="Z59" s="4" t="str">
        <f>HYPERLINK("http://141.218.60.56/~jnz1568/getInfo.php?workbook=06_01.xlsx&amp;sheet=A0&amp;row=59&amp;col=26&amp;number=&amp;sourceID=13","")</f>
        <v/>
      </c>
    </row>
    <row r="60" spans="1:26">
      <c r="A60" s="3">
        <v>6</v>
      </c>
      <c r="B60" s="3">
        <v>1</v>
      </c>
      <c r="C60" s="3">
        <v>12</v>
      </c>
      <c r="D60" s="3">
        <v>6</v>
      </c>
      <c r="E60" s="3">
        <f>((1/(INDEX(E0!J$4:J$28,C60,1)-INDEX(E0!J$4:J$28,D60,1))))*100000000</f>
        <v>0</v>
      </c>
      <c r="F60" s="4" t="str">
        <f>HYPERLINK("http://141.218.60.56/~jnz1568/getInfo.php?workbook=06_01.xlsx&amp;sheet=A0&amp;row=60&amp;col=6&amp;number=&amp;sourceID=18","")</f>
        <v/>
      </c>
      <c r="G60" s="4" t="str">
        <f>HYPERLINK("http://141.218.60.56/~jnz1568/getInfo.php?workbook=06_01.xlsx&amp;sheet=A0&amp;row=60&amp;col=7&amp;number==&amp;sourceID=11","=")</f>
        <v>=</v>
      </c>
      <c r="H60" s="4" t="str">
        <f>HYPERLINK("http://141.218.60.56/~jnz1568/getInfo.php?workbook=06_01.xlsx&amp;sheet=A0&amp;row=60&amp;col=8&amp;number=&amp;sourceID=11","")</f>
        <v/>
      </c>
      <c r="I60" s="4" t="str">
        <f>HYPERLINK("http://141.218.60.56/~jnz1568/getInfo.php?workbook=06_01.xlsx&amp;sheet=A0&amp;row=60&amp;col=9&amp;number=175820&amp;sourceID=11","175820")</f>
        <v>175820</v>
      </c>
      <c r="J60" s="4" t="str">
        <f>HYPERLINK("http://141.218.60.56/~jnz1568/getInfo.php?workbook=06_01.xlsx&amp;sheet=A0&amp;row=60&amp;col=10&amp;number=&amp;sourceID=11","")</f>
        <v/>
      </c>
      <c r="K60" s="4" t="str">
        <f>HYPERLINK("http://141.218.60.56/~jnz1568/getInfo.php?workbook=06_01.xlsx&amp;sheet=A0&amp;row=60&amp;col=11&amp;number=3.273e-05&amp;sourceID=11","3.273e-05")</f>
        <v>3.273e-05</v>
      </c>
      <c r="L60" s="4" t="str">
        <f>HYPERLINK("http://141.218.60.56/~jnz1568/getInfo.php?workbook=06_01.xlsx&amp;sheet=A0&amp;row=60&amp;col=12&amp;number=&amp;sourceID=11","")</f>
        <v/>
      </c>
      <c r="M60" s="4" t="str">
        <f>HYPERLINK("http://141.218.60.56/~jnz1568/getInfo.php?workbook=06_01.xlsx&amp;sheet=A0&amp;row=60&amp;col=13&amp;number=&amp;sourceID=11","")</f>
        <v/>
      </c>
      <c r="N60" s="4" t="str">
        <f>HYPERLINK("http://141.218.60.56/~jnz1568/getInfo.php?workbook=06_01.xlsx&amp;sheet=A0&amp;row=60&amp;col=14&amp;number=175830&amp;sourceID=12","175830")</f>
        <v>175830</v>
      </c>
      <c r="O60" s="4" t="str">
        <f>HYPERLINK("http://141.218.60.56/~jnz1568/getInfo.php?workbook=06_01.xlsx&amp;sheet=A0&amp;row=60&amp;col=15&amp;number=&amp;sourceID=12","")</f>
        <v/>
      </c>
      <c r="P60" s="4" t="str">
        <f>HYPERLINK("http://141.218.60.56/~jnz1568/getInfo.php?workbook=06_01.xlsx&amp;sheet=A0&amp;row=60&amp;col=16&amp;number=175830&amp;sourceID=12","175830")</f>
        <v>175830</v>
      </c>
      <c r="Q60" s="4" t="str">
        <f>HYPERLINK("http://141.218.60.56/~jnz1568/getInfo.php?workbook=06_01.xlsx&amp;sheet=A0&amp;row=60&amp;col=17&amp;number=&amp;sourceID=12","")</f>
        <v/>
      </c>
      <c r="R60" s="4" t="str">
        <f>HYPERLINK("http://141.218.60.56/~jnz1568/getInfo.php?workbook=06_01.xlsx&amp;sheet=A0&amp;row=60&amp;col=18&amp;number=3.2732e-05&amp;sourceID=12","3.2732e-05")</f>
        <v>3.2732e-05</v>
      </c>
      <c r="S60" s="4" t="str">
        <f>HYPERLINK("http://141.218.60.56/~jnz1568/getInfo.php?workbook=06_01.xlsx&amp;sheet=A0&amp;row=60&amp;col=19&amp;number=&amp;sourceID=12","")</f>
        <v/>
      </c>
      <c r="T60" s="4" t="str">
        <f>HYPERLINK("http://141.218.60.56/~jnz1568/getInfo.php?workbook=06_01.xlsx&amp;sheet=A0&amp;row=60&amp;col=20&amp;number=&amp;sourceID=12","")</f>
        <v/>
      </c>
      <c r="U60" s="4" t="str">
        <f>HYPERLINK("http://141.218.60.56/~jnz1568/getInfo.php?workbook=06_01.xlsx&amp;sheet=A0&amp;row=60&amp;col=21&amp;number==&amp;sourceID=13","=")</f>
        <v>=</v>
      </c>
      <c r="V60" s="4" t="str">
        <f>HYPERLINK("http://141.218.60.56/~jnz1568/getInfo.php?workbook=06_01.xlsx&amp;sheet=A0&amp;row=60&amp;col=22&amp;number=&amp;sourceID=13","")</f>
        <v/>
      </c>
      <c r="W60" s="4" t="str">
        <f>HYPERLINK("http://141.218.60.56/~jnz1568/getInfo.php?workbook=06_01.xlsx&amp;sheet=A0&amp;row=60&amp;col=23&amp;number=176000&amp;sourceID=13","176000")</f>
        <v>176000</v>
      </c>
      <c r="X60" s="4" t="str">
        <f>HYPERLINK("http://141.218.60.56/~jnz1568/getInfo.php?workbook=06_01.xlsx&amp;sheet=A0&amp;row=60&amp;col=24&amp;number=&amp;sourceID=13","")</f>
        <v/>
      </c>
      <c r="Y60" s="4" t="str">
        <f>HYPERLINK("http://141.218.60.56/~jnz1568/getInfo.php?workbook=06_01.xlsx&amp;sheet=A0&amp;row=60&amp;col=25&amp;number=5.2e-05&amp;sourceID=13","5.2e-05")</f>
        <v>5.2e-05</v>
      </c>
      <c r="Z60" s="4" t="str">
        <f>HYPERLINK("http://141.218.60.56/~jnz1568/getInfo.php?workbook=06_01.xlsx&amp;sheet=A0&amp;row=60&amp;col=26&amp;number=&amp;sourceID=13","")</f>
        <v/>
      </c>
    </row>
    <row r="61" spans="1:26">
      <c r="A61" s="3">
        <v>6</v>
      </c>
      <c r="B61" s="3">
        <v>1</v>
      </c>
      <c r="C61" s="3">
        <v>12</v>
      </c>
      <c r="D61" s="3">
        <v>7</v>
      </c>
      <c r="E61" s="3">
        <f>((1/(INDEX(E0!J$4:J$28,C61,1)-INDEX(E0!J$4:J$28,D61,1))))*100000000</f>
        <v>0</v>
      </c>
      <c r="F61" s="4" t="str">
        <f>HYPERLINK("http://141.218.60.56/~jnz1568/getInfo.php?workbook=06_01.xlsx&amp;sheet=A0&amp;row=61&amp;col=6&amp;number=&amp;sourceID=18","")</f>
        <v/>
      </c>
      <c r="G61" s="4" t="str">
        <f>HYPERLINK("http://141.218.60.56/~jnz1568/getInfo.php?workbook=06_01.xlsx&amp;sheet=A0&amp;row=61&amp;col=7&amp;number==&amp;sourceID=11","=")</f>
        <v>=</v>
      </c>
      <c r="H61" s="4" t="str">
        <f>HYPERLINK("http://141.218.60.56/~jnz1568/getInfo.php?workbook=06_01.xlsx&amp;sheet=A0&amp;row=61&amp;col=8&amp;number=&amp;sourceID=11","")</f>
        <v/>
      </c>
      <c r="I61" s="4" t="str">
        <f>HYPERLINK("http://141.218.60.56/~jnz1568/getInfo.php?workbook=06_01.xlsx&amp;sheet=A0&amp;row=61&amp;col=9&amp;number=38882&amp;sourceID=11","38882")</f>
        <v>38882</v>
      </c>
      <c r="J61" s="4" t="str">
        <f>HYPERLINK("http://141.218.60.56/~jnz1568/getInfo.php?workbook=06_01.xlsx&amp;sheet=A0&amp;row=61&amp;col=10&amp;number=&amp;sourceID=11","")</f>
        <v/>
      </c>
      <c r="K61" s="4" t="str">
        <f>HYPERLINK("http://141.218.60.56/~jnz1568/getInfo.php?workbook=06_01.xlsx&amp;sheet=A0&amp;row=61&amp;col=11&amp;number=0.0011037&amp;sourceID=11","0.0011037")</f>
        <v>0.0011037</v>
      </c>
      <c r="L61" s="4" t="str">
        <f>HYPERLINK("http://141.218.60.56/~jnz1568/getInfo.php?workbook=06_01.xlsx&amp;sheet=A0&amp;row=61&amp;col=12&amp;number=&amp;sourceID=11","")</f>
        <v/>
      </c>
      <c r="M61" s="4" t="str">
        <f>HYPERLINK("http://141.218.60.56/~jnz1568/getInfo.php?workbook=06_01.xlsx&amp;sheet=A0&amp;row=61&amp;col=13&amp;number=6.893e-07&amp;sourceID=11","6.893e-07")</f>
        <v>6.893e-07</v>
      </c>
      <c r="N61" s="4" t="str">
        <f>HYPERLINK("http://141.218.60.56/~jnz1568/getInfo.php?workbook=06_01.xlsx&amp;sheet=A0&amp;row=61&amp;col=14&amp;number=38884&amp;sourceID=12","38884")</f>
        <v>38884</v>
      </c>
      <c r="O61" s="4" t="str">
        <f>HYPERLINK("http://141.218.60.56/~jnz1568/getInfo.php?workbook=06_01.xlsx&amp;sheet=A0&amp;row=61&amp;col=15&amp;number=&amp;sourceID=12","")</f>
        <v/>
      </c>
      <c r="P61" s="4" t="str">
        <f>HYPERLINK("http://141.218.60.56/~jnz1568/getInfo.php?workbook=06_01.xlsx&amp;sheet=A0&amp;row=61&amp;col=16&amp;number=38884&amp;sourceID=12","38884")</f>
        <v>38884</v>
      </c>
      <c r="Q61" s="4" t="str">
        <f>HYPERLINK("http://141.218.60.56/~jnz1568/getInfo.php?workbook=06_01.xlsx&amp;sheet=A0&amp;row=61&amp;col=17&amp;number=&amp;sourceID=12","")</f>
        <v/>
      </c>
      <c r="R61" s="4" t="str">
        <f>HYPERLINK("http://141.218.60.56/~jnz1568/getInfo.php?workbook=06_01.xlsx&amp;sheet=A0&amp;row=61&amp;col=18&amp;number=0.0011037&amp;sourceID=12","0.0011037")</f>
        <v>0.0011037</v>
      </c>
      <c r="S61" s="4" t="str">
        <f>HYPERLINK("http://141.218.60.56/~jnz1568/getInfo.php?workbook=06_01.xlsx&amp;sheet=A0&amp;row=61&amp;col=19&amp;number=&amp;sourceID=12","")</f>
        <v/>
      </c>
      <c r="T61" s="4" t="str">
        <f>HYPERLINK("http://141.218.60.56/~jnz1568/getInfo.php?workbook=06_01.xlsx&amp;sheet=A0&amp;row=61&amp;col=20&amp;number=6.8933e-07&amp;sourceID=12","6.8933e-07")</f>
        <v>6.8933e-07</v>
      </c>
      <c r="U61" s="4" t="str">
        <f>HYPERLINK("http://141.218.60.56/~jnz1568/getInfo.php?workbook=06_01.xlsx&amp;sheet=A0&amp;row=61&amp;col=21&amp;number==&amp;sourceID=13","=")</f>
        <v>=</v>
      </c>
      <c r="V61" s="4" t="str">
        <f>HYPERLINK("http://141.218.60.56/~jnz1568/getInfo.php?workbook=06_01.xlsx&amp;sheet=A0&amp;row=61&amp;col=22&amp;number=&amp;sourceID=13","")</f>
        <v/>
      </c>
      <c r="W61" s="4" t="str">
        <f>HYPERLINK("http://141.218.60.56/~jnz1568/getInfo.php?workbook=06_01.xlsx&amp;sheet=A0&amp;row=61&amp;col=23&amp;number=38800&amp;sourceID=13","38800")</f>
        <v>38800</v>
      </c>
      <c r="X61" s="4" t="str">
        <f>HYPERLINK("http://141.218.60.56/~jnz1568/getInfo.php?workbook=06_01.xlsx&amp;sheet=A0&amp;row=61&amp;col=24&amp;number=&amp;sourceID=13","")</f>
        <v/>
      </c>
      <c r="Y61" s="4" t="str">
        <f>HYPERLINK("http://141.218.60.56/~jnz1568/getInfo.php?workbook=06_01.xlsx&amp;sheet=A0&amp;row=61&amp;col=25&amp;number=0.0011&amp;sourceID=13","0.0011")</f>
        <v>0.0011</v>
      </c>
      <c r="Z61" s="4" t="str">
        <f>HYPERLINK("http://141.218.60.56/~jnz1568/getInfo.php?workbook=06_01.xlsx&amp;sheet=A0&amp;row=61&amp;col=26&amp;number=&amp;sourceID=13","")</f>
        <v/>
      </c>
    </row>
    <row r="62" spans="1:26">
      <c r="A62" s="3">
        <v>6</v>
      </c>
      <c r="B62" s="3">
        <v>1</v>
      </c>
      <c r="C62" s="3">
        <v>12</v>
      </c>
      <c r="D62" s="3">
        <v>8</v>
      </c>
      <c r="E62" s="3">
        <f>((1/(INDEX(E0!J$4:J$28,C62,1)-INDEX(E0!J$4:J$28,D62,1))))*100000000</f>
        <v>0</v>
      </c>
      <c r="F62" s="4" t="str">
        <f>HYPERLINK("http://141.218.60.56/~jnz1568/getInfo.php?workbook=06_01.xlsx&amp;sheet=A0&amp;row=62&amp;col=6&amp;number=&amp;sourceID=18","")</f>
        <v/>
      </c>
      <c r="G62" s="4" t="str">
        <f>HYPERLINK("http://141.218.60.56/~jnz1568/getInfo.php?workbook=06_01.xlsx&amp;sheet=A0&amp;row=62&amp;col=7&amp;number==&amp;sourceID=11","=")</f>
        <v>=</v>
      </c>
      <c r="H62" s="4" t="str">
        <f>HYPERLINK("http://141.218.60.56/~jnz1568/getInfo.php?workbook=06_01.xlsx&amp;sheet=A0&amp;row=62&amp;col=8&amp;number=1521300000&amp;sourceID=11","1521300000")</f>
        <v>1521300000</v>
      </c>
      <c r="I62" s="4" t="str">
        <f>HYPERLINK("http://141.218.60.56/~jnz1568/getInfo.php?workbook=06_01.xlsx&amp;sheet=A0&amp;row=62&amp;col=9&amp;number=&amp;sourceID=11","")</f>
        <v/>
      </c>
      <c r="J62" s="4" t="str">
        <f>HYPERLINK("http://141.218.60.56/~jnz1568/getInfo.php?workbook=06_01.xlsx&amp;sheet=A0&amp;row=62&amp;col=10&amp;number=2.1128&amp;sourceID=11","2.1128")</f>
        <v>2.1128</v>
      </c>
      <c r="K62" s="4" t="str">
        <f>HYPERLINK("http://141.218.60.56/~jnz1568/getInfo.php?workbook=06_01.xlsx&amp;sheet=A0&amp;row=62&amp;col=11&amp;number=&amp;sourceID=11","")</f>
        <v/>
      </c>
      <c r="L62" s="4" t="str">
        <f>HYPERLINK("http://141.218.60.56/~jnz1568/getInfo.php?workbook=06_01.xlsx&amp;sheet=A0&amp;row=62&amp;col=12&amp;number=&amp;sourceID=11","")</f>
        <v/>
      </c>
      <c r="M62" s="4" t="str">
        <f>HYPERLINK("http://141.218.60.56/~jnz1568/getInfo.php?workbook=06_01.xlsx&amp;sheet=A0&amp;row=62&amp;col=13&amp;number=&amp;sourceID=11","")</f>
        <v/>
      </c>
      <c r="N62" s="4" t="str">
        <f>HYPERLINK("http://141.218.60.56/~jnz1568/getInfo.php?workbook=06_01.xlsx&amp;sheet=A0&amp;row=62&amp;col=14&amp;number=1521400000&amp;sourceID=12","1521400000")</f>
        <v>1521400000</v>
      </c>
      <c r="O62" s="4" t="str">
        <f>HYPERLINK("http://141.218.60.56/~jnz1568/getInfo.php?workbook=06_01.xlsx&amp;sheet=A0&amp;row=62&amp;col=15&amp;number=1521400000&amp;sourceID=12","1521400000")</f>
        <v>1521400000</v>
      </c>
      <c r="P62" s="4" t="str">
        <f>HYPERLINK("http://141.218.60.56/~jnz1568/getInfo.php?workbook=06_01.xlsx&amp;sheet=A0&amp;row=62&amp;col=16&amp;number=&amp;sourceID=12","")</f>
        <v/>
      </c>
      <c r="Q62" s="4" t="str">
        <f>HYPERLINK("http://141.218.60.56/~jnz1568/getInfo.php?workbook=06_01.xlsx&amp;sheet=A0&amp;row=62&amp;col=17&amp;number=2.1129&amp;sourceID=12","2.1129")</f>
        <v>2.1129</v>
      </c>
      <c r="R62" s="4" t="str">
        <f>HYPERLINK("http://141.218.60.56/~jnz1568/getInfo.php?workbook=06_01.xlsx&amp;sheet=A0&amp;row=62&amp;col=18&amp;number=&amp;sourceID=12","")</f>
        <v/>
      </c>
      <c r="S62" s="4" t="str">
        <f>HYPERLINK("http://141.218.60.56/~jnz1568/getInfo.php?workbook=06_01.xlsx&amp;sheet=A0&amp;row=62&amp;col=19&amp;number=&amp;sourceID=12","")</f>
        <v/>
      </c>
      <c r="T62" s="4" t="str">
        <f>HYPERLINK("http://141.218.60.56/~jnz1568/getInfo.php?workbook=06_01.xlsx&amp;sheet=A0&amp;row=62&amp;col=20&amp;number=&amp;sourceID=12","")</f>
        <v/>
      </c>
      <c r="U62" s="4" t="str">
        <f>HYPERLINK("http://141.218.60.56/~jnz1568/getInfo.php?workbook=06_01.xlsx&amp;sheet=A0&amp;row=62&amp;col=21&amp;number==&amp;sourceID=13","=")</f>
        <v>=</v>
      </c>
      <c r="V62" s="4" t="str">
        <f>HYPERLINK("http://141.218.60.56/~jnz1568/getInfo.php?workbook=06_01.xlsx&amp;sheet=A0&amp;row=62&amp;col=22&amp;number=1520000000&amp;sourceID=13","1520000000")</f>
        <v>1520000000</v>
      </c>
      <c r="W62" s="4" t="str">
        <f>HYPERLINK("http://141.218.60.56/~jnz1568/getInfo.php?workbook=06_01.xlsx&amp;sheet=A0&amp;row=62&amp;col=23&amp;number=&amp;sourceID=13","")</f>
        <v/>
      </c>
      <c r="X62" s="4" t="str">
        <f>HYPERLINK("http://141.218.60.56/~jnz1568/getInfo.php?workbook=06_01.xlsx&amp;sheet=A0&amp;row=62&amp;col=24&amp;number=&amp;sourceID=13","")</f>
        <v/>
      </c>
      <c r="Y62" s="4" t="str">
        <f>HYPERLINK("http://141.218.60.56/~jnz1568/getInfo.php?workbook=06_01.xlsx&amp;sheet=A0&amp;row=62&amp;col=25&amp;number=&amp;sourceID=13","")</f>
        <v/>
      </c>
      <c r="Z62" s="4" t="str">
        <f>HYPERLINK("http://141.218.60.56/~jnz1568/getInfo.php?workbook=06_01.xlsx&amp;sheet=A0&amp;row=62&amp;col=26&amp;number=&amp;sourceID=13","")</f>
        <v/>
      </c>
    </row>
    <row r="63" spans="1:26">
      <c r="A63" s="3">
        <v>6</v>
      </c>
      <c r="B63" s="3">
        <v>1</v>
      </c>
      <c r="C63" s="3">
        <v>12</v>
      </c>
      <c r="D63" s="3">
        <v>9</v>
      </c>
      <c r="E63" s="3">
        <f>((1/(INDEX(E0!J$4:J$28,C63,1)-INDEX(E0!J$4:J$28,D63,1))))*100000000</f>
        <v>0</v>
      </c>
      <c r="F63" s="4" t="str">
        <f>HYPERLINK("http://141.218.60.56/~jnz1568/getInfo.php?workbook=06_01.xlsx&amp;sheet=A0&amp;row=63&amp;col=6&amp;number=&amp;sourceID=18","")</f>
        <v/>
      </c>
      <c r="G63" s="4" t="str">
        <f>HYPERLINK("http://141.218.60.56/~jnz1568/getInfo.php?workbook=06_01.xlsx&amp;sheet=A0&amp;row=63&amp;col=7&amp;number==&amp;sourceID=11","=")</f>
        <v>=</v>
      </c>
      <c r="H63" s="4" t="str">
        <f>HYPERLINK("http://141.218.60.56/~jnz1568/getInfo.php?workbook=06_01.xlsx&amp;sheet=A0&amp;row=63&amp;col=8&amp;number=&amp;sourceID=11","")</f>
        <v/>
      </c>
      <c r="I63" s="4" t="str">
        <f>HYPERLINK("http://141.218.60.56/~jnz1568/getInfo.php?workbook=06_01.xlsx&amp;sheet=A0&amp;row=63&amp;col=9&amp;number=16659&amp;sourceID=11","16659")</f>
        <v>16659</v>
      </c>
      <c r="J63" s="4" t="str">
        <f>HYPERLINK("http://141.218.60.56/~jnz1568/getInfo.php?workbook=06_01.xlsx&amp;sheet=A0&amp;row=63&amp;col=10&amp;number=&amp;sourceID=11","")</f>
        <v/>
      </c>
      <c r="K63" s="4" t="str">
        <f>HYPERLINK("http://141.218.60.56/~jnz1568/getInfo.php?workbook=06_01.xlsx&amp;sheet=A0&amp;row=63&amp;col=11&amp;number=0.0032931&amp;sourceID=11","0.0032931")</f>
        <v>0.0032931</v>
      </c>
      <c r="L63" s="4" t="str">
        <f>HYPERLINK("http://141.218.60.56/~jnz1568/getInfo.php?workbook=06_01.xlsx&amp;sheet=A0&amp;row=63&amp;col=12&amp;number=&amp;sourceID=11","")</f>
        <v/>
      </c>
      <c r="M63" s="4" t="str">
        <f>HYPERLINK("http://141.218.60.56/~jnz1568/getInfo.php?workbook=06_01.xlsx&amp;sheet=A0&amp;row=63&amp;col=13&amp;number=4.5923e-07&amp;sourceID=11","4.5923e-07")</f>
        <v>4.5923e-07</v>
      </c>
      <c r="N63" s="4" t="str">
        <f>HYPERLINK("http://141.218.60.56/~jnz1568/getInfo.php?workbook=06_01.xlsx&amp;sheet=A0&amp;row=63&amp;col=14&amp;number=16660&amp;sourceID=12","16660")</f>
        <v>16660</v>
      </c>
      <c r="O63" s="4" t="str">
        <f>HYPERLINK("http://141.218.60.56/~jnz1568/getInfo.php?workbook=06_01.xlsx&amp;sheet=A0&amp;row=63&amp;col=15&amp;number=&amp;sourceID=12","")</f>
        <v/>
      </c>
      <c r="P63" s="4" t="str">
        <f>HYPERLINK("http://141.218.60.56/~jnz1568/getInfo.php?workbook=06_01.xlsx&amp;sheet=A0&amp;row=63&amp;col=16&amp;number=16660&amp;sourceID=12","16660")</f>
        <v>16660</v>
      </c>
      <c r="Q63" s="4" t="str">
        <f>HYPERLINK("http://141.218.60.56/~jnz1568/getInfo.php?workbook=06_01.xlsx&amp;sheet=A0&amp;row=63&amp;col=17&amp;number=&amp;sourceID=12","")</f>
        <v/>
      </c>
      <c r="R63" s="4" t="str">
        <f>HYPERLINK("http://141.218.60.56/~jnz1568/getInfo.php?workbook=06_01.xlsx&amp;sheet=A0&amp;row=63&amp;col=18&amp;number=0.0032933&amp;sourceID=12","0.0032933")</f>
        <v>0.0032933</v>
      </c>
      <c r="S63" s="4" t="str">
        <f>HYPERLINK("http://141.218.60.56/~jnz1568/getInfo.php?workbook=06_01.xlsx&amp;sheet=A0&amp;row=63&amp;col=19&amp;number=&amp;sourceID=12","")</f>
        <v/>
      </c>
      <c r="T63" s="4" t="str">
        <f>HYPERLINK("http://141.218.60.56/~jnz1568/getInfo.php?workbook=06_01.xlsx&amp;sheet=A0&amp;row=63&amp;col=20&amp;number=4.5925e-07&amp;sourceID=12","4.5925e-07")</f>
        <v>4.5925e-07</v>
      </c>
      <c r="U63" s="4" t="str">
        <f>HYPERLINK("http://141.218.60.56/~jnz1568/getInfo.php?workbook=06_01.xlsx&amp;sheet=A0&amp;row=63&amp;col=21&amp;number==&amp;sourceID=13","=")</f>
        <v>=</v>
      </c>
      <c r="V63" s="4" t="str">
        <f>HYPERLINK("http://141.218.60.56/~jnz1568/getInfo.php?workbook=06_01.xlsx&amp;sheet=A0&amp;row=63&amp;col=22&amp;number=&amp;sourceID=13","")</f>
        <v/>
      </c>
      <c r="W63" s="4" t="str">
        <f>HYPERLINK("http://141.218.60.56/~jnz1568/getInfo.php?workbook=06_01.xlsx&amp;sheet=A0&amp;row=63&amp;col=23&amp;number=16600&amp;sourceID=13","16600")</f>
        <v>16600</v>
      </c>
      <c r="X63" s="4" t="str">
        <f>HYPERLINK("http://141.218.60.56/~jnz1568/getInfo.php?workbook=06_01.xlsx&amp;sheet=A0&amp;row=63&amp;col=24&amp;number=&amp;sourceID=13","")</f>
        <v/>
      </c>
      <c r="Y63" s="4" t="str">
        <f>HYPERLINK("http://141.218.60.56/~jnz1568/getInfo.php?workbook=06_01.xlsx&amp;sheet=A0&amp;row=63&amp;col=25&amp;number=0.00359&amp;sourceID=13","0.00359")</f>
        <v>0.00359</v>
      </c>
      <c r="Z63" s="4" t="str">
        <f>HYPERLINK("http://141.218.60.56/~jnz1568/getInfo.php?workbook=06_01.xlsx&amp;sheet=A0&amp;row=63&amp;col=26&amp;number=&amp;sourceID=13","")</f>
        <v/>
      </c>
    </row>
    <row r="64" spans="1:26">
      <c r="A64" s="3">
        <v>6</v>
      </c>
      <c r="B64" s="3">
        <v>1</v>
      </c>
      <c r="C64" s="3">
        <v>12</v>
      </c>
      <c r="D64" s="3">
        <v>10</v>
      </c>
      <c r="E64" s="3">
        <f>((1/(INDEX(E0!J$4:J$28,C64,1)-INDEX(E0!J$4:J$28,D64,1))))*100000000</f>
        <v>0</v>
      </c>
      <c r="F64" s="4" t="str">
        <f>HYPERLINK("http://141.218.60.56/~jnz1568/getInfo.php?workbook=06_01.xlsx&amp;sheet=A0&amp;row=64&amp;col=6&amp;number=&amp;sourceID=18","")</f>
        <v/>
      </c>
      <c r="G64" s="4" t="str">
        <f>HYPERLINK("http://141.218.60.56/~jnz1568/getInfo.php?workbook=06_01.xlsx&amp;sheet=A0&amp;row=64&amp;col=7&amp;number==&amp;sourceID=11","=")</f>
        <v>=</v>
      </c>
      <c r="H64" s="4" t="str">
        <f>HYPERLINK("http://141.218.60.56/~jnz1568/getInfo.php?workbook=06_01.xlsx&amp;sheet=A0&amp;row=64&amp;col=8&amp;number=1.6843&amp;sourceID=11","1.6843")</f>
        <v>1.6843</v>
      </c>
      <c r="I64" s="4" t="str">
        <f>HYPERLINK("http://141.218.60.56/~jnz1568/getInfo.php?workbook=06_01.xlsx&amp;sheet=A0&amp;row=64&amp;col=9&amp;number=&amp;sourceID=11","")</f>
        <v/>
      </c>
      <c r="J64" s="4" t="str">
        <f>HYPERLINK("http://141.218.60.56/~jnz1568/getInfo.php?workbook=06_01.xlsx&amp;sheet=A0&amp;row=64&amp;col=10&amp;number=&amp;sourceID=11","")</f>
        <v/>
      </c>
      <c r="K64" s="4" t="str">
        <f>HYPERLINK("http://141.218.60.56/~jnz1568/getInfo.php?workbook=06_01.xlsx&amp;sheet=A0&amp;row=64&amp;col=11&amp;number=&amp;sourceID=11","")</f>
        <v/>
      </c>
      <c r="L64" s="4" t="str">
        <f>HYPERLINK("http://141.218.60.56/~jnz1568/getInfo.php?workbook=06_01.xlsx&amp;sheet=A0&amp;row=64&amp;col=12&amp;number=0&amp;sourceID=11","0")</f>
        <v>0</v>
      </c>
      <c r="M64" s="4" t="str">
        <f>HYPERLINK("http://141.218.60.56/~jnz1568/getInfo.php?workbook=06_01.xlsx&amp;sheet=A0&amp;row=64&amp;col=13&amp;number=&amp;sourceID=11","")</f>
        <v/>
      </c>
      <c r="N64" s="4" t="str">
        <f>HYPERLINK("http://141.218.60.56/~jnz1568/getInfo.php?workbook=06_01.xlsx&amp;sheet=A0&amp;row=64&amp;col=14&amp;number=1.6844&amp;sourceID=12","1.6844")</f>
        <v>1.6844</v>
      </c>
      <c r="O64" s="4" t="str">
        <f>HYPERLINK("http://141.218.60.56/~jnz1568/getInfo.php?workbook=06_01.xlsx&amp;sheet=A0&amp;row=64&amp;col=15&amp;number=1.6844&amp;sourceID=12","1.6844")</f>
        <v>1.6844</v>
      </c>
      <c r="P64" s="4" t="str">
        <f>HYPERLINK("http://141.218.60.56/~jnz1568/getInfo.php?workbook=06_01.xlsx&amp;sheet=A0&amp;row=64&amp;col=16&amp;number=&amp;sourceID=12","")</f>
        <v/>
      </c>
      <c r="Q64" s="4" t="str">
        <f>HYPERLINK("http://141.218.60.56/~jnz1568/getInfo.php?workbook=06_01.xlsx&amp;sheet=A0&amp;row=64&amp;col=17&amp;number=&amp;sourceID=12","")</f>
        <v/>
      </c>
      <c r="R64" s="4" t="str">
        <f>HYPERLINK("http://141.218.60.56/~jnz1568/getInfo.php?workbook=06_01.xlsx&amp;sheet=A0&amp;row=64&amp;col=18&amp;number=&amp;sourceID=12","")</f>
        <v/>
      </c>
      <c r="S64" s="4" t="str">
        <f>HYPERLINK("http://141.218.60.56/~jnz1568/getInfo.php?workbook=06_01.xlsx&amp;sheet=A0&amp;row=64&amp;col=19&amp;number=0&amp;sourceID=12","0")</f>
        <v>0</v>
      </c>
      <c r="T64" s="4" t="str">
        <f>HYPERLINK("http://141.218.60.56/~jnz1568/getInfo.php?workbook=06_01.xlsx&amp;sheet=A0&amp;row=64&amp;col=20&amp;number=&amp;sourceID=12","")</f>
        <v/>
      </c>
      <c r="U64" s="4" t="str">
        <f>HYPERLINK("http://141.218.60.56/~jnz1568/getInfo.php?workbook=06_01.xlsx&amp;sheet=A0&amp;row=64&amp;col=21&amp;number=&amp;sourceID=13","")</f>
        <v/>
      </c>
      <c r="V64" s="4" t="str">
        <f>HYPERLINK("http://141.218.60.56/~jnz1568/getInfo.php?workbook=06_01.xlsx&amp;sheet=A0&amp;row=64&amp;col=22&amp;number=&amp;sourceID=13","")</f>
        <v/>
      </c>
      <c r="W64" s="4" t="str">
        <f>HYPERLINK("http://141.218.60.56/~jnz1568/getInfo.php?workbook=06_01.xlsx&amp;sheet=A0&amp;row=64&amp;col=23&amp;number=&amp;sourceID=13","")</f>
        <v/>
      </c>
      <c r="X64" s="4" t="str">
        <f>HYPERLINK("http://141.218.60.56/~jnz1568/getInfo.php?workbook=06_01.xlsx&amp;sheet=A0&amp;row=64&amp;col=24&amp;number=&amp;sourceID=13","")</f>
        <v/>
      </c>
      <c r="Y64" s="4" t="str">
        <f>HYPERLINK("http://141.218.60.56/~jnz1568/getInfo.php?workbook=06_01.xlsx&amp;sheet=A0&amp;row=64&amp;col=25&amp;number=&amp;sourceID=13","")</f>
        <v/>
      </c>
      <c r="Z64" s="4" t="str">
        <f>HYPERLINK("http://141.218.60.56/~jnz1568/getInfo.php?workbook=06_01.xlsx&amp;sheet=A0&amp;row=64&amp;col=26&amp;number=&amp;sourceID=13","")</f>
        <v/>
      </c>
    </row>
    <row r="65" spans="1:26">
      <c r="A65" s="3">
        <v>6</v>
      </c>
      <c r="B65" s="3">
        <v>1</v>
      </c>
      <c r="C65" s="3">
        <v>12</v>
      </c>
      <c r="D65" s="3">
        <v>11</v>
      </c>
      <c r="E65" s="3">
        <f>((1/(INDEX(E0!J$4:J$28,C65,1)-INDEX(E0!J$4:J$28,D65,1))))*100000000</f>
        <v>0</v>
      </c>
      <c r="F65" s="4" t="str">
        <f>HYPERLINK("http://141.218.60.56/~jnz1568/getInfo.php?workbook=06_01.xlsx&amp;sheet=A0&amp;row=65&amp;col=6&amp;number=&amp;sourceID=18","")</f>
        <v/>
      </c>
      <c r="G65" s="4" t="str">
        <f>HYPERLINK("http://141.218.60.56/~jnz1568/getInfo.php?workbook=06_01.xlsx&amp;sheet=A0&amp;row=65&amp;col=7&amp;number==&amp;sourceID=11","=")</f>
        <v>=</v>
      </c>
      <c r="H65" s="4" t="str">
        <f>HYPERLINK("http://141.218.60.56/~jnz1568/getInfo.php?workbook=06_01.xlsx&amp;sheet=A0&amp;row=65&amp;col=8&amp;number=&amp;sourceID=11","")</f>
        <v/>
      </c>
      <c r="I65" s="4" t="str">
        <f>HYPERLINK("http://141.218.60.56/~jnz1568/getInfo.php?workbook=06_01.xlsx&amp;sheet=A0&amp;row=65&amp;col=9&amp;number=3.628e-12&amp;sourceID=11","3.628e-12")</f>
        <v>3.628e-12</v>
      </c>
      <c r="J65" s="4" t="str">
        <f>HYPERLINK("http://141.218.60.56/~jnz1568/getInfo.php?workbook=06_01.xlsx&amp;sheet=A0&amp;row=65&amp;col=10&amp;number=&amp;sourceID=11","")</f>
        <v/>
      </c>
      <c r="K65" s="4" t="str">
        <f>HYPERLINK("http://141.218.60.56/~jnz1568/getInfo.php?workbook=06_01.xlsx&amp;sheet=A0&amp;row=65&amp;col=11&amp;number=0&amp;sourceID=11","0")</f>
        <v>0</v>
      </c>
      <c r="L65" s="4" t="str">
        <f>HYPERLINK("http://141.218.60.56/~jnz1568/getInfo.php?workbook=06_01.xlsx&amp;sheet=A0&amp;row=65&amp;col=12&amp;number=&amp;sourceID=11","")</f>
        <v/>
      </c>
      <c r="M65" s="4" t="str">
        <f>HYPERLINK("http://141.218.60.56/~jnz1568/getInfo.php?workbook=06_01.xlsx&amp;sheet=A0&amp;row=65&amp;col=13&amp;number=&amp;sourceID=11","")</f>
        <v/>
      </c>
      <c r="N65" s="4" t="str">
        <f>HYPERLINK("http://141.218.60.56/~jnz1568/getInfo.php?workbook=06_01.xlsx&amp;sheet=A0&amp;row=65&amp;col=14&amp;number=3.629e-12&amp;sourceID=12","3.629e-12")</f>
        <v>3.629e-12</v>
      </c>
      <c r="O65" s="4" t="str">
        <f>HYPERLINK("http://141.218.60.56/~jnz1568/getInfo.php?workbook=06_01.xlsx&amp;sheet=A0&amp;row=65&amp;col=15&amp;number=&amp;sourceID=12","")</f>
        <v/>
      </c>
      <c r="P65" s="4" t="str">
        <f>HYPERLINK("http://141.218.60.56/~jnz1568/getInfo.php?workbook=06_01.xlsx&amp;sheet=A0&amp;row=65&amp;col=16&amp;number=3.628e-12&amp;sourceID=12","3.628e-12")</f>
        <v>3.628e-12</v>
      </c>
      <c r="Q65" s="4" t="str">
        <f>HYPERLINK("http://141.218.60.56/~jnz1568/getInfo.php?workbook=06_01.xlsx&amp;sheet=A0&amp;row=65&amp;col=17&amp;number=&amp;sourceID=12","")</f>
        <v/>
      </c>
      <c r="R65" s="4" t="str">
        <f>HYPERLINK("http://141.218.60.56/~jnz1568/getInfo.php?workbook=06_01.xlsx&amp;sheet=A0&amp;row=65&amp;col=18&amp;number=0&amp;sourceID=12","0")</f>
        <v>0</v>
      </c>
      <c r="S65" s="4" t="str">
        <f>HYPERLINK("http://141.218.60.56/~jnz1568/getInfo.php?workbook=06_01.xlsx&amp;sheet=A0&amp;row=65&amp;col=19&amp;number=&amp;sourceID=12","")</f>
        <v/>
      </c>
      <c r="T65" s="4" t="str">
        <f>HYPERLINK("http://141.218.60.56/~jnz1568/getInfo.php?workbook=06_01.xlsx&amp;sheet=A0&amp;row=65&amp;col=20&amp;number=&amp;sourceID=12","")</f>
        <v/>
      </c>
      <c r="U65" s="4" t="str">
        <f>HYPERLINK("http://141.218.60.56/~jnz1568/getInfo.php?workbook=06_01.xlsx&amp;sheet=A0&amp;row=65&amp;col=21&amp;number=&amp;sourceID=13","")</f>
        <v/>
      </c>
      <c r="V65" s="4" t="str">
        <f>HYPERLINK("http://141.218.60.56/~jnz1568/getInfo.php?workbook=06_01.xlsx&amp;sheet=A0&amp;row=65&amp;col=22&amp;number=&amp;sourceID=13","")</f>
        <v/>
      </c>
      <c r="W65" s="4" t="str">
        <f>HYPERLINK("http://141.218.60.56/~jnz1568/getInfo.php?workbook=06_01.xlsx&amp;sheet=A0&amp;row=65&amp;col=23&amp;number=&amp;sourceID=13","")</f>
        <v/>
      </c>
      <c r="X65" s="4" t="str">
        <f>HYPERLINK("http://141.218.60.56/~jnz1568/getInfo.php?workbook=06_01.xlsx&amp;sheet=A0&amp;row=65&amp;col=24&amp;number=&amp;sourceID=13","")</f>
        <v/>
      </c>
      <c r="Y65" s="4" t="str">
        <f>HYPERLINK("http://141.218.60.56/~jnz1568/getInfo.php?workbook=06_01.xlsx&amp;sheet=A0&amp;row=65&amp;col=25&amp;number=&amp;sourceID=13","")</f>
        <v/>
      </c>
      <c r="Z65" s="4" t="str">
        <f>HYPERLINK("http://141.218.60.56/~jnz1568/getInfo.php?workbook=06_01.xlsx&amp;sheet=A0&amp;row=65&amp;col=26&amp;number=&amp;sourceID=13","")</f>
        <v/>
      </c>
    </row>
    <row r="66" spans="1:26">
      <c r="A66" s="3">
        <v>6</v>
      </c>
      <c r="B66" s="3">
        <v>1</v>
      </c>
      <c r="C66" s="3">
        <v>13</v>
      </c>
      <c r="D66" s="3">
        <v>1</v>
      </c>
      <c r="E66" s="3">
        <f>((1/(INDEX(E0!J$4:J$28,C66,1)-INDEX(E0!J$4:J$28,D66,1))))*100000000</f>
        <v>0</v>
      </c>
      <c r="F66" s="4" t="str">
        <f>HYPERLINK("http://141.218.60.56/~jnz1568/getInfo.php?workbook=06_01.xlsx&amp;sheet=A0&amp;row=66&amp;col=6&amp;number=&amp;sourceID=18","")</f>
        <v/>
      </c>
      <c r="G66" s="4" t="str">
        <f>HYPERLINK("http://141.218.60.56/~jnz1568/getInfo.php?workbook=06_01.xlsx&amp;sheet=A0&amp;row=66&amp;col=7&amp;number==&amp;sourceID=11","=")</f>
        <v>=</v>
      </c>
      <c r="H66" s="4" t="str">
        <f>HYPERLINK("http://141.218.60.56/~jnz1568/getInfo.php?workbook=06_01.xlsx&amp;sheet=A0&amp;row=66&amp;col=8&amp;number=88398000000&amp;sourceID=11","88398000000")</f>
        <v>88398000000</v>
      </c>
      <c r="I66" s="4" t="str">
        <f>HYPERLINK("http://141.218.60.56/~jnz1568/getInfo.php?workbook=06_01.xlsx&amp;sheet=A0&amp;row=66&amp;col=9&amp;number=&amp;sourceID=11","")</f>
        <v/>
      </c>
      <c r="J66" s="4" t="str">
        <f>HYPERLINK("http://141.218.60.56/~jnz1568/getInfo.php?workbook=06_01.xlsx&amp;sheet=A0&amp;row=66&amp;col=10&amp;number=&amp;sourceID=11","")</f>
        <v/>
      </c>
      <c r="K66" s="4" t="str">
        <f>HYPERLINK("http://141.218.60.56/~jnz1568/getInfo.php?workbook=06_01.xlsx&amp;sheet=A0&amp;row=66&amp;col=11&amp;number=&amp;sourceID=11","")</f>
        <v/>
      </c>
      <c r="L66" s="4" t="str">
        <f>HYPERLINK("http://141.218.60.56/~jnz1568/getInfo.php?workbook=06_01.xlsx&amp;sheet=A0&amp;row=66&amp;col=12&amp;number=13390&amp;sourceID=11","13390")</f>
        <v>13390</v>
      </c>
      <c r="M66" s="4" t="str">
        <f>HYPERLINK("http://141.218.60.56/~jnz1568/getInfo.php?workbook=06_01.xlsx&amp;sheet=A0&amp;row=66&amp;col=13&amp;number=&amp;sourceID=11","")</f>
        <v/>
      </c>
      <c r="N66" s="4" t="str">
        <f>HYPERLINK("http://141.218.60.56/~jnz1568/getInfo.php?workbook=06_01.xlsx&amp;sheet=A0&amp;row=66&amp;col=14&amp;number=88402000000&amp;sourceID=12","88402000000")</f>
        <v>88402000000</v>
      </c>
      <c r="O66" s="4" t="str">
        <f>HYPERLINK("http://141.218.60.56/~jnz1568/getInfo.php?workbook=06_01.xlsx&amp;sheet=A0&amp;row=66&amp;col=15&amp;number=88402000000&amp;sourceID=12","88402000000")</f>
        <v>88402000000</v>
      </c>
      <c r="P66" s="4" t="str">
        <f>HYPERLINK("http://141.218.60.56/~jnz1568/getInfo.php?workbook=06_01.xlsx&amp;sheet=A0&amp;row=66&amp;col=16&amp;number=&amp;sourceID=12","")</f>
        <v/>
      </c>
      <c r="Q66" s="4" t="str">
        <f>HYPERLINK("http://141.218.60.56/~jnz1568/getInfo.php?workbook=06_01.xlsx&amp;sheet=A0&amp;row=66&amp;col=17&amp;number=&amp;sourceID=12","")</f>
        <v/>
      </c>
      <c r="R66" s="4" t="str">
        <f>HYPERLINK("http://141.218.60.56/~jnz1568/getInfo.php?workbook=06_01.xlsx&amp;sheet=A0&amp;row=66&amp;col=18&amp;number=&amp;sourceID=12","")</f>
        <v/>
      </c>
      <c r="S66" s="4" t="str">
        <f>HYPERLINK("http://141.218.60.56/~jnz1568/getInfo.php?workbook=06_01.xlsx&amp;sheet=A0&amp;row=66&amp;col=19&amp;number=13391&amp;sourceID=12","13391")</f>
        <v>13391</v>
      </c>
      <c r="T66" s="4" t="str">
        <f>HYPERLINK("http://141.218.60.56/~jnz1568/getInfo.php?workbook=06_01.xlsx&amp;sheet=A0&amp;row=66&amp;col=20&amp;number=&amp;sourceID=12","")</f>
        <v/>
      </c>
      <c r="U66" s="4" t="str">
        <f>HYPERLINK("http://141.218.60.56/~jnz1568/getInfo.php?workbook=06_01.xlsx&amp;sheet=A0&amp;row=66&amp;col=21&amp;number==SUM(V66:Z66)&amp;sourceID=13","=SUM(V66:Z66)")</f>
        <v>=SUM(V66:Z66)</v>
      </c>
      <c r="V66" s="4" t="str">
        <f>HYPERLINK("http://141.218.60.56/~jnz1568/getInfo.php?workbook=06_01.xlsx&amp;sheet=A0&amp;row=66&amp;col=22&amp;number=87700000000&amp;sourceID=13","87700000000")</f>
        <v>87700000000</v>
      </c>
      <c r="W66" s="4" t="str">
        <f>HYPERLINK("http://141.218.60.56/~jnz1568/getInfo.php?workbook=06_01.xlsx&amp;sheet=A0&amp;row=66&amp;col=23&amp;number=&amp;sourceID=13","")</f>
        <v/>
      </c>
      <c r="X66" s="4" t="str">
        <f>HYPERLINK("http://141.218.60.56/~jnz1568/getInfo.php?workbook=06_01.xlsx&amp;sheet=A0&amp;row=66&amp;col=24&amp;number=&amp;sourceID=13","")</f>
        <v/>
      </c>
      <c r="Y66" s="4" t="str">
        <f>HYPERLINK("http://141.218.60.56/~jnz1568/getInfo.php?workbook=06_01.xlsx&amp;sheet=A0&amp;row=66&amp;col=25&amp;number=&amp;sourceID=13","")</f>
        <v/>
      </c>
      <c r="Z66" s="4" t="str">
        <f>HYPERLINK("http://141.218.60.56/~jnz1568/getInfo.php?workbook=06_01.xlsx&amp;sheet=A0&amp;row=66&amp;col=26&amp;number=&amp;sourceID=13","")</f>
        <v/>
      </c>
    </row>
    <row r="67" spans="1:26">
      <c r="A67" s="3">
        <v>6</v>
      </c>
      <c r="B67" s="3">
        <v>1</v>
      </c>
      <c r="C67" s="3">
        <v>13</v>
      </c>
      <c r="D67" s="3">
        <v>2</v>
      </c>
      <c r="E67" s="3">
        <f>((1/(INDEX(E0!J$4:J$28,C67,1)-INDEX(E0!J$4:J$28,D67,1))))*100000000</f>
        <v>0</v>
      </c>
      <c r="F67" s="4" t="str">
        <f>HYPERLINK("http://141.218.60.56/~jnz1568/getInfo.php?workbook=06_01.xlsx&amp;sheet=A0&amp;row=67&amp;col=6&amp;number=&amp;sourceID=18","")</f>
        <v/>
      </c>
      <c r="G67" s="4" t="str">
        <f>HYPERLINK("http://141.218.60.56/~jnz1568/getInfo.php?workbook=06_01.xlsx&amp;sheet=A0&amp;row=67&amp;col=7&amp;number==&amp;sourceID=11","=")</f>
        <v>=</v>
      </c>
      <c r="H67" s="4" t="str">
        <f>HYPERLINK("http://141.218.60.56/~jnz1568/getInfo.php?workbook=06_01.xlsx&amp;sheet=A0&amp;row=67&amp;col=8&amp;number=&amp;sourceID=11","")</f>
        <v/>
      </c>
      <c r="I67" s="4" t="str">
        <f>HYPERLINK("http://141.218.60.56/~jnz1568/getInfo.php?workbook=06_01.xlsx&amp;sheet=A0&amp;row=67&amp;col=9&amp;number=240620&amp;sourceID=11","240620")</f>
        <v>240620</v>
      </c>
      <c r="J67" s="4" t="str">
        <f>HYPERLINK("http://141.218.60.56/~jnz1568/getInfo.php?workbook=06_01.xlsx&amp;sheet=A0&amp;row=67&amp;col=10&amp;number=&amp;sourceID=11","")</f>
        <v/>
      </c>
      <c r="K67" s="4" t="str">
        <f>HYPERLINK("http://141.218.60.56/~jnz1568/getInfo.php?workbook=06_01.xlsx&amp;sheet=A0&amp;row=67&amp;col=11&amp;number=0.10551&amp;sourceID=11","0.10551")</f>
        <v>0.10551</v>
      </c>
      <c r="L67" s="4" t="str">
        <f>HYPERLINK("http://141.218.60.56/~jnz1568/getInfo.php?workbook=06_01.xlsx&amp;sheet=A0&amp;row=67&amp;col=12&amp;number=&amp;sourceID=11","")</f>
        <v/>
      </c>
      <c r="M67" s="4" t="str">
        <f>HYPERLINK("http://141.218.60.56/~jnz1568/getInfo.php?workbook=06_01.xlsx&amp;sheet=A0&amp;row=67&amp;col=13&amp;number=&amp;sourceID=11","")</f>
        <v/>
      </c>
      <c r="N67" s="4" t="str">
        <f>HYPERLINK("http://141.218.60.56/~jnz1568/getInfo.php?workbook=06_01.xlsx&amp;sheet=A0&amp;row=67&amp;col=14&amp;number=240630&amp;sourceID=12","240630")</f>
        <v>240630</v>
      </c>
      <c r="O67" s="4" t="str">
        <f>HYPERLINK("http://141.218.60.56/~jnz1568/getInfo.php?workbook=06_01.xlsx&amp;sheet=A0&amp;row=67&amp;col=15&amp;number=&amp;sourceID=12","")</f>
        <v/>
      </c>
      <c r="P67" s="4" t="str">
        <f>HYPERLINK("http://141.218.60.56/~jnz1568/getInfo.php?workbook=06_01.xlsx&amp;sheet=A0&amp;row=67&amp;col=16&amp;number=240630&amp;sourceID=12","240630")</f>
        <v>240630</v>
      </c>
      <c r="Q67" s="4" t="str">
        <f>HYPERLINK("http://141.218.60.56/~jnz1568/getInfo.php?workbook=06_01.xlsx&amp;sheet=A0&amp;row=67&amp;col=17&amp;number=&amp;sourceID=12","")</f>
        <v/>
      </c>
      <c r="R67" s="4" t="str">
        <f>HYPERLINK("http://141.218.60.56/~jnz1568/getInfo.php?workbook=06_01.xlsx&amp;sheet=A0&amp;row=67&amp;col=18&amp;number=0.10552&amp;sourceID=12","0.10552")</f>
        <v>0.10552</v>
      </c>
      <c r="S67" s="4" t="str">
        <f>HYPERLINK("http://141.218.60.56/~jnz1568/getInfo.php?workbook=06_01.xlsx&amp;sheet=A0&amp;row=67&amp;col=19&amp;number=&amp;sourceID=12","")</f>
        <v/>
      </c>
      <c r="T67" s="4" t="str">
        <f>HYPERLINK("http://141.218.60.56/~jnz1568/getInfo.php?workbook=06_01.xlsx&amp;sheet=A0&amp;row=67&amp;col=20&amp;number=&amp;sourceID=12","")</f>
        <v/>
      </c>
      <c r="U67" s="4" t="str">
        <f>HYPERLINK("http://141.218.60.56/~jnz1568/getInfo.php?workbook=06_01.xlsx&amp;sheet=A0&amp;row=67&amp;col=21&amp;number==&amp;sourceID=13","=")</f>
        <v>=</v>
      </c>
      <c r="V67" s="4" t="str">
        <f>HYPERLINK("http://141.218.60.56/~jnz1568/getInfo.php?workbook=06_01.xlsx&amp;sheet=A0&amp;row=67&amp;col=22&amp;number=&amp;sourceID=13","")</f>
        <v/>
      </c>
      <c r="W67" s="4" t="str">
        <f>HYPERLINK("http://141.218.60.56/~jnz1568/getInfo.php?workbook=06_01.xlsx&amp;sheet=A0&amp;row=67&amp;col=23&amp;number=234000&amp;sourceID=13","234000")</f>
        <v>234000</v>
      </c>
      <c r="X67" s="4" t="str">
        <f>HYPERLINK("http://141.218.60.56/~jnz1568/getInfo.php?workbook=06_01.xlsx&amp;sheet=A0&amp;row=67&amp;col=24&amp;number=&amp;sourceID=13","")</f>
        <v/>
      </c>
      <c r="Y67" s="4" t="str">
        <f>HYPERLINK("http://141.218.60.56/~jnz1568/getInfo.php?workbook=06_01.xlsx&amp;sheet=A0&amp;row=67&amp;col=25&amp;number=0.087&amp;sourceID=13","0.087")</f>
        <v>0.087</v>
      </c>
      <c r="Z67" s="4" t="str">
        <f>HYPERLINK("http://141.218.60.56/~jnz1568/getInfo.php?workbook=06_01.xlsx&amp;sheet=A0&amp;row=67&amp;col=26&amp;number=&amp;sourceID=13","")</f>
        <v/>
      </c>
    </row>
    <row r="68" spans="1:26">
      <c r="A68" s="3">
        <v>6</v>
      </c>
      <c r="B68" s="3">
        <v>1</v>
      </c>
      <c r="C68" s="3">
        <v>13</v>
      </c>
      <c r="D68" s="3">
        <v>3</v>
      </c>
      <c r="E68" s="3">
        <f>((1/(INDEX(E0!J$4:J$28,C68,1)-INDEX(E0!J$4:J$28,D68,1))))*100000000</f>
        <v>0</v>
      </c>
      <c r="F68" s="4" t="str">
        <f>HYPERLINK("http://141.218.60.56/~jnz1568/getInfo.php?workbook=06_01.xlsx&amp;sheet=A0&amp;row=68&amp;col=6&amp;number=&amp;sourceID=18","")</f>
        <v/>
      </c>
      <c r="G68" s="4" t="str">
        <f>HYPERLINK("http://141.218.60.56/~jnz1568/getInfo.php?workbook=06_01.xlsx&amp;sheet=A0&amp;row=68&amp;col=7&amp;number==&amp;sourceID=11","=")</f>
        <v>=</v>
      </c>
      <c r="H68" s="4" t="str">
        <f>HYPERLINK("http://141.218.60.56/~jnz1568/getInfo.php?workbook=06_01.xlsx&amp;sheet=A0&amp;row=68&amp;col=8&amp;number=12535000000&amp;sourceID=11","12535000000")</f>
        <v>12535000000</v>
      </c>
      <c r="I68" s="4" t="str">
        <f>HYPERLINK("http://141.218.60.56/~jnz1568/getInfo.php?workbook=06_01.xlsx&amp;sheet=A0&amp;row=68&amp;col=9&amp;number=&amp;sourceID=11","")</f>
        <v/>
      </c>
      <c r="J68" s="4" t="str">
        <f>HYPERLINK("http://141.218.60.56/~jnz1568/getInfo.php?workbook=06_01.xlsx&amp;sheet=A0&amp;row=68&amp;col=10&amp;number=&amp;sourceID=11","")</f>
        <v/>
      </c>
      <c r="K68" s="4" t="str">
        <f>HYPERLINK("http://141.218.60.56/~jnz1568/getInfo.php?workbook=06_01.xlsx&amp;sheet=A0&amp;row=68&amp;col=11&amp;number=&amp;sourceID=11","")</f>
        <v/>
      </c>
      <c r="L68" s="4" t="str">
        <f>HYPERLINK("http://141.218.60.56/~jnz1568/getInfo.php?workbook=06_01.xlsx&amp;sheet=A0&amp;row=68&amp;col=12&amp;number=76.028&amp;sourceID=11","76.028")</f>
        <v>76.028</v>
      </c>
      <c r="M68" s="4" t="str">
        <f>HYPERLINK("http://141.218.60.56/~jnz1568/getInfo.php?workbook=06_01.xlsx&amp;sheet=A0&amp;row=68&amp;col=13&amp;number=&amp;sourceID=11","")</f>
        <v/>
      </c>
      <c r="N68" s="4" t="str">
        <f>HYPERLINK("http://141.218.60.56/~jnz1568/getInfo.php?workbook=06_01.xlsx&amp;sheet=A0&amp;row=68&amp;col=14&amp;number=12536000000&amp;sourceID=12","12536000000")</f>
        <v>12536000000</v>
      </c>
      <c r="O68" s="4" t="str">
        <f>HYPERLINK("http://141.218.60.56/~jnz1568/getInfo.php?workbook=06_01.xlsx&amp;sheet=A0&amp;row=68&amp;col=15&amp;number=12536000000&amp;sourceID=12","12536000000")</f>
        <v>12536000000</v>
      </c>
      <c r="P68" s="4" t="str">
        <f>HYPERLINK("http://141.218.60.56/~jnz1568/getInfo.php?workbook=06_01.xlsx&amp;sheet=A0&amp;row=68&amp;col=16&amp;number=&amp;sourceID=12","")</f>
        <v/>
      </c>
      <c r="Q68" s="4" t="str">
        <f>HYPERLINK("http://141.218.60.56/~jnz1568/getInfo.php?workbook=06_01.xlsx&amp;sheet=A0&amp;row=68&amp;col=17&amp;number=&amp;sourceID=12","")</f>
        <v/>
      </c>
      <c r="R68" s="4" t="str">
        <f>HYPERLINK("http://141.218.60.56/~jnz1568/getInfo.php?workbook=06_01.xlsx&amp;sheet=A0&amp;row=68&amp;col=18&amp;number=&amp;sourceID=12","")</f>
        <v/>
      </c>
      <c r="S68" s="4" t="str">
        <f>HYPERLINK("http://141.218.60.56/~jnz1568/getInfo.php?workbook=06_01.xlsx&amp;sheet=A0&amp;row=68&amp;col=19&amp;number=76.032&amp;sourceID=12","76.032")</f>
        <v>76.032</v>
      </c>
      <c r="T68" s="4" t="str">
        <f>HYPERLINK("http://141.218.60.56/~jnz1568/getInfo.php?workbook=06_01.xlsx&amp;sheet=A0&amp;row=68&amp;col=20&amp;number=&amp;sourceID=12","")</f>
        <v/>
      </c>
      <c r="U68" s="4" t="str">
        <f>HYPERLINK("http://141.218.60.56/~jnz1568/getInfo.php?workbook=06_01.xlsx&amp;sheet=A0&amp;row=68&amp;col=21&amp;number==&amp;sourceID=13","=")</f>
        <v>=</v>
      </c>
      <c r="V68" s="4" t="str">
        <f>HYPERLINK("http://141.218.60.56/~jnz1568/getInfo.php?workbook=06_01.xlsx&amp;sheet=A0&amp;row=68&amp;col=22&amp;number=12500000000&amp;sourceID=13","12500000000")</f>
        <v>12500000000</v>
      </c>
      <c r="W68" s="4" t="str">
        <f>HYPERLINK("http://141.218.60.56/~jnz1568/getInfo.php?workbook=06_01.xlsx&amp;sheet=A0&amp;row=68&amp;col=23&amp;number=&amp;sourceID=13","")</f>
        <v/>
      </c>
      <c r="X68" s="4" t="str">
        <f>HYPERLINK("http://141.218.60.56/~jnz1568/getInfo.php?workbook=06_01.xlsx&amp;sheet=A0&amp;row=68&amp;col=24&amp;number=&amp;sourceID=13","")</f>
        <v/>
      </c>
      <c r="Y68" s="4" t="str">
        <f>HYPERLINK("http://141.218.60.56/~jnz1568/getInfo.php?workbook=06_01.xlsx&amp;sheet=A0&amp;row=68&amp;col=25&amp;number=&amp;sourceID=13","")</f>
        <v/>
      </c>
      <c r="Z68" s="4" t="str">
        <f>HYPERLINK("http://141.218.60.56/~jnz1568/getInfo.php?workbook=06_01.xlsx&amp;sheet=A0&amp;row=68&amp;col=26&amp;number=&amp;sourceID=13","")</f>
        <v/>
      </c>
    </row>
    <row r="69" spans="1:26">
      <c r="A69" s="3">
        <v>6</v>
      </c>
      <c r="B69" s="3">
        <v>1</v>
      </c>
      <c r="C69" s="3">
        <v>13</v>
      </c>
      <c r="D69" s="3">
        <v>4</v>
      </c>
      <c r="E69" s="3">
        <f>((1/(INDEX(E0!J$4:J$28,C69,1)-INDEX(E0!J$4:J$28,D69,1))))*100000000</f>
        <v>0</v>
      </c>
      <c r="F69" s="4" t="str">
        <f>HYPERLINK("http://141.218.60.56/~jnz1568/getInfo.php?workbook=06_01.xlsx&amp;sheet=A0&amp;row=69&amp;col=6&amp;number=&amp;sourceID=18","")</f>
        <v/>
      </c>
      <c r="G69" s="4" t="str">
        <f>HYPERLINK("http://141.218.60.56/~jnz1568/getInfo.php?workbook=06_01.xlsx&amp;sheet=A0&amp;row=69&amp;col=7&amp;number==&amp;sourceID=11","=")</f>
        <v>=</v>
      </c>
      <c r="H69" s="4" t="str">
        <f>HYPERLINK("http://141.218.60.56/~jnz1568/getInfo.php?workbook=06_01.xlsx&amp;sheet=A0&amp;row=69&amp;col=8&amp;number=&amp;sourceID=11","")</f>
        <v/>
      </c>
      <c r="I69" s="4" t="str">
        <f>HYPERLINK("http://141.218.60.56/~jnz1568/getInfo.php?workbook=06_01.xlsx&amp;sheet=A0&amp;row=69&amp;col=9&amp;number=240240&amp;sourceID=11","240240")</f>
        <v>240240</v>
      </c>
      <c r="J69" s="4" t="str">
        <f>HYPERLINK("http://141.218.60.56/~jnz1568/getInfo.php?workbook=06_01.xlsx&amp;sheet=A0&amp;row=69&amp;col=10&amp;number=&amp;sourceID=11","")</f>
        <v/>
      </c>
      <c r="K69" s="4" t="str">
        <f>HYPERLINK("http://141.218.60.56/~jnz1568/getInfo.php?workbook=06_01.xlsx&amp;sheet=A0&amp;row=69&amp;col=11&amp;number=0.16773&amp;sourceID=11","0.16773")</f>
        <v>0.16773</v>
      </c>
      <c r="L69" s="4" t="str">
        <f>HYPERLINK("http://141.218.60.56/~jnz1568/getInfo.php?workbook=06_01.xlsx&amp;sheet=A0&amp;row=69&amp;col=12&amp;number=&amp;sourceID=11","")</f>
        <v/>
      </c>
      <c r="M69" s="4" t="str">
        <f>HYPERLINK("http://141.218.60.56/~jnz1568/getInfo.php?workbook=06_01.xlsx&amp;sheet=A0&amp;row=69&amp;col=13&amp;number=0.0031045&amp;sourceID=11","0.0031045")</f>
        <v>0.0031045</v>
      </c>
      <c r="N69" s="4" t="str">
        <f>HYPERLINK("http://141.218.60.56/~jnz1568/getInfo.php?workbook=06_01.xlsx&amp;sheet=A0&amp;row=69&amp;col=14&amp;number=240250&amp;sourceID=12","240250")</f>
        <v>240250</v>
      </c>
      <c r="O69" s="4" t="str">
        <f>HYPERLINK("http://141.218.60.56/~jnz1568/getInfo.php?workbook=06_01.xlsx&amp;sheet=A0&amp;row=69&amp;col=15&amp;number=&amp;sourceID=12","")</f>
        <v/>
      </c>
      <c r="P69" s="4" t="str">
        <f>HYPERLINK("http://141.218.60.56/~jnz1568/getInfo.php?workbook=06_01.xlsx&amp;sheet=A0&amp;row=69&amp;col=16&amp;number=240250&amp;sourceID=12","240250")</f>
        <v>240250</v>
      </c>
      <c r="Q69" s="4" t="str">
        <f>HYPERLINK("http://141.218.60.56/~jnz1568/getInfo.php?workbook=06_01.xlsx&amp;sheet=A0&amp;row=69&amp;col=17&amp;number=&amp;sourceID=12","")</f>
        <v/>
      </c>
      <c r="R69" s="4" t="str">
        <f>HYPERLINK("http://141.218.60.56/~jnz1568/getInfo.php?workbook=06_01.xlsx&amp;sheet=A0&amp;row=69&amp;col=18&amp;number=0.16774&amp;sourceID=12","0.16774")</f>
        <v>0.16774</v>
      </c>
      <c r="S69" s="4" t="str">
        <f>HYPERLINK("http://141.218.60.56/~jnz1568/getInfo.php?workbook=06_01.xlsx&amp;sheet=A0&amp;row=69&amp;col=19&amp;number=&amp;sourceID=12","")</f>
        <v/>
      </c>
      <c r="T69" s="4" t="str">
        <f>HYPERLINK("http://141.218.60.56/~jnz1568/getInfo.php?workbook=06_01.xlsx&amp;sheet=A0&amp;row=69&amp;col=20&amp;number=0.0031046&amp;sourceID=12","0.0031046")</f>
        <v>0.0031046</v>
      </c>
      <c r="U69" s="4" t="str">
        <f>HYPERLINK("http://141.218.60.56/~jnz1568/getInfo.php?workbook=06_01.xlsx&amp;sheet=A0&amp;row=69&amp;col=21&amp;number==&amp;sourceID=13","=")</f>
        <v>=</v>
      </c>
      <c r="V69" s="4" t="str">
        <f>HYPERLINK("http://141.218.60.56/~jnz1568/getInfo.php?workbook=06_01.xlsx&amp;sheet=A0&amp;row=69&amp;col=22&amp;number=&amp;sourceID=13","")</f>
        <v/>
      </c>
      <c r="W69" s="4" t="str">
        <f>HYPERLINK("http://141.218.60.56/~jnz1568/getInfo.php?workbook=06_01.xlsx&amp;sheet=A0&amp;row=69&amp;col=23&amp;number=238000&amp;sourceID=13","238000")</f>
        <v>238000</v>
      </c>
      <c r="X69" s="4" t="str">
        <f>HYPERLINK("http://141.218.60.56/~jnz1568/getInfo.php?workbook=06_01.xlsx&amp;sheet=A0&amp;row=69&amp;col=24&amp;number=&amp;sourceID=13","")</f>
        <v/>
      </c>
      <c r="Y69" s="4" t="str">
        <f>HYPERLINK("http://141.218.60.56/~jnz1568/getInfo.php?workbook=06_01.xlsx&amp;sheet=A0&amp;row=69&amp;col=25&amp;number=0.168&amp;sourceID=13","0.168")</f>
        <v>0.168</v>
      </c>
      <c r="Z69" s="4" t="str">
        <f>HYPERLINK("http://141.218.60.56/~jnz1568/getInfo.php?workbook=06_01.xlsx&amp;sheet=A0&amp;row=69&amp;col=26&amp;number=&amp;sourceID=13","")</f>
        <v/>
      </c>
    </row>
    <row r="70" spans="1:26">
      <c r="A70" s="3">
        <v>6</v>
      </c>
      <c r="B70" s="3">
        <v>1</v>
      </c>
      <c r="C70" s="3">
        <v>13</v>
      </c>
      <c r="D70" s="3">
        <v>5</v>
      </c>
      <c r="E70" s="3">
        <f>((1/(INDEX(E0!J$4:J$28,C70,1)-INDEX(E0!J$4:J$28,D70,1))))*100000000</f>
        <v>0</v>
      </c>
      <c r="F70" s="4" t="str">
        <f>HYPERLINK("http://141.218.60.56/~jnz1568/getInfo.php?workbook=06_01.xlsx&amp;sheet=A0&amp;row=70&amp;col=6&amp;number=&amp;sourceID=18","")</f>
        <v/>
      </c>
      <c r="G70" s="4" t="str">
        <f>HYPERLINK("http://141.218.60.56/~jnz1568/getInfo.php?workbook=06_01.xlsx&amp;sheet=A0&amp;row=70&amp;col=7&amp;number==SUM(H70:M70)&amp;sourceID=11","=SUM(H70:M70)")</f>
        <v>=SUM(H70:M70)</v>
      </c>
      <c r="H70" s="4" t="str">
        <f>HYPERLINK("http://141.218.60.56/~jnz1568/getInfo.php?workbook=06_01.xlsx&amp;sheet=A0&amp;row=70&amp;col=8&amp;number=&amp;sourceID=11","")</f>
        <v/>
      </c>
      <c r="I70" s="4" t="str">
        <f>HYPERLINK("http://141.218.60.56/~jnz1568/getInfo.php?workbook=06_01.xlsx&amp;sheet=A0&amp;row=70&amp;col=9&amp;number=59557&amp;sourceID=11","59557")</f>
        <v>59557</v>
      </c>
      <c r="J70" s="4" t="str">
        <f>HYPERLINK("http://141.218.60.56/~jnz1568/getInfo.php?workbook=06_01.xlsx&amp;sheet=A0&amp;row=70&amp;col=10&amp;number=&amp;sourceID=11","")</f>
        <v/>
      </c>
      <c r="K70" s="4" t="str">
        <f>HYPERLINK("http://141.218.60.56/~jnz1568/getInfo.php?workbook=06_01.xlsx&amp;sheet=A0&amp;row=70&amp;col=11&amp;number=0.011648&amp;sourceID=11","0.011648")</f>
        <v>0.011648</v>
      </c>
      <c r="L70" s="4" t="str">
        <f>HYPERLINK("http://141.218.60.56/~jnz1568/getInfo.php?workbook=06_01.xlsx&amp;sheet=A0&amp;row=70&amp;col=12&amp;number=&amp;sourceID=11","")</f>
        <v/>
      </c>
      <c r="M70" s="4" t="str">
        <f>HYPERLINK("http://141.218.60.56/~jnz1568/getInfo.php?workbook=06_01.xlsx&amp;sheet=A0&amp;row=70&amp;col=13&amp;number=&amp;sourceID=11","")</f>
        <v/>
      </c>
      <c r="N70" s="4" t="str">
        <f>HYPERLINK("http://141.218.60.56/~jnz1568/getInfo.php?workbook=06_01.xlsx&amp;sheet=A0&amp;row=70&amp;col=14&amp;number=59560&amp;sourceID=12","59560")</f>
        <v>59560</v>
      </c>
      <c r="O70" s="4" t="str">
        <f>HYPERLINK("http://141.218.60.56/~jnz1568/getInfo.php?workbook=06_01.xlsx&amp;sheet=A0&amp;row=70&amp;col=15&amp;number=&amp;sourceID=12","")</f>
        <v/>
      </c>
      <c r="P70" s="4" t="str">
        <f>HYPERLINK("http://141.218.60.56/~jnz1568/getInfo.php?workbook=06_01.xlsx&amp;sheet=A0&amp;row=70&amp;col=16&amp;number=59560&amp;sourceID=12","59560")</f>
        <v>59560</v>
      </c>
      <c r="Q70" s="4" t="str">
        <f>HYPERLINK("http://141.218.60.56/~jnz1568/getInfo.php?workbook=06_01.xlsx&amp;sheet=A0&amp;row=70&amp;col=17&amp;number=&amp;sourceID=12","")</f>
        <v/>
      </c>
      <c r="R70" s="4" t="str">
        <f>HYPERLINK("http://141.218.60.56/~jnz1568/getInfo.php?workbook=06_01.xlsx&amp;sheet=A0&amp;row=70&amp;col=18&amp;number=0.011649&amp;sourceID=12","0.011649")</f>
        <v>0.011649</v>
      </c>
      <c r="S70" s="4" t="str">
        <f>HYPERLINK("http://141.218.60.56/~jnz1568/getInfo.php?workbook=06_01.xlsx&amp;sheet=A0&amp;row=70&amp;col=19&amp;number=&amp;sourceID=12","")</f>
        <v/>
      </c>
      <c r="T70" s="4" t="str">
        <f>HYPERLINK("http://141.218.60.56/~jnz1568/getInfo.php?workbook=06_01.xlsx&amp;sheet=A0&amp;row=70&amp;col=20&amp;number=&amp;sourceID=12","")</f>
        <v/>
      </c>
      <c r="U70" s="4" t="str">
        <f>HYPERLINK("http://141.218.60.56/~jnz1568/getInfo.php?workbook=06_01.xlsx&amp;sheet=A0&amp;row=70&amp;col=21&amp;number==&amp;sourceID=13","=")</f>
        <v>=</v>
      </c>
      <c r="V70" s="4" t="str">
        <f>HYPERLINK("http://141.218.60.56/~jnz1568/getInfo.php?workbook=06_01.xlsx&amp;sheet=A0&amp;row=70&amp;col=22&amp;number=&amp;sourceID=13","")</f>
        <v/>
      </c>
      <c r="W70" s="4" t="str">
        <f>HYPERLINK("http://141.218.60.56/~jnz1568/getInfo.php?workbook=06_01.xlsx&amp;sheet=A0&amp;row=70&amp;col=23&amp;number=59400&amp;sourceID=13","59400")</f>
        <v>59400</v>
      </c>
      <c r="X70" s="4" t="str">
        <f>HYPERLINK("http://141.218.60.56/~jnz1568/getInfo.php?workbook=06_01.xlsx&amp;sheet=A0&amp;row=70&amp;col=24&amp;number=&amp;sourceID=13","")</f>
        <v/>
      </c>
      <c r="Y70" s="4" t="str">
        <f>HYPERLINK("http://141.218.60.56/~jnz1568/getInfo.php?workbook=06_01.xlsx&amp;sheet=A0&amp;row=70&amp;col=25&amp;number=0.0111&amp;sourceID=13","0.0111")</f>
        <v>0.0111</v>
      </c>
      <c r="Z70" s="4" t="str">
        <f>HYPERLINK("http://141.218.60.56/~jnz1568/getInfo.php?workbook=06_01.xlsx&amp;sheet=A0&amp;row=70&amp;col=26&amp;number=&amp;sourceID=13","")</f>
        <v/>
      </c>
    </row>
    <row r="71" spans="1:26">
      <c r="A71" s="3">
        <v>6</v>
      </c>
      <c r="B71" s="3">
        <v>1</v>
      </c>
      <c r="C71" s="3">
        <v>13</v>
      </c>
      <c r="D71" s="3">
        <v>6</v>
      </c>
      <c r="E71" s="3">
        <f>((1/(INDEX(E0!J$4:J$28,C71,1)-INDEX(E0!J$4:J$28,D71,1))))*100000000</f>
        <v>0</v>
      </c>
      <c r="F71" s="4" t="str">
        <f>HYPERLINK("http://141.218.60.56/~jnz1568/getInfo.php?workbook=06_01.xlsx&amp;sheet=A0&amp;row=71&amp;col=6&amp;number=&amp;sourceID=18","")</f>
        <v/>
      </c>
      <c r="G71" s="4" t="str">
        <f>HYPERLINK("http://141.218.60.56/~jnz1568/getInfo.php?workbook=06_01.xlsx&amp;sheet=A0&amp;row=71&amp;col=7&amp;number==&amp;sourceID=11","=")</f>
        <v>=</v>
      </c>
      <c r="H71" s="4" t="str">
        <f>HYPERLINK("http://141.218.60.56/~jnz1568/getInfo.php?workbook=06_01.xlsx&amp;sheet=A0&amp;row=71&amp;col=8&amp;number=3970500000&amp;sourceID=11","3970500000")</f>
        <v>3970500000</v>
      </c>
      <c r="I71" s="4" t="str">
        <f>HYPERLINK("http://141.218.60.56/~jnz1568/getInfo.php?workbook=06_01.xlsx&amp;sheet=A0&amp;row=71&amp;col=9&amp;number=&amp;sourceID=11","")</f>
        <v/>
      </c>
      <c r="J71" s="4" t="str">
        <f>HYPERLINK("http://141.218.60.56/~jnz1568/getInfo.php?workbook=06_01.xlsx&amp;sheet=A0&amp;row=71&amp;col=10&amp;number=&amp;sourceID=11","")</f>
        <v/>
      </c>
      <c r="K71" s="4" t="str">
        <f>HYPERLINK("http://141.218.60.56/~jnz1568/getInfo.php?workbook=06_01.xlsx&amp;sheet=A0&amp;row=71&amp;col=11&amp;number=&amp;sourceID=11","")</f>
        <v/>
      </c>
      <c r="L71" s="4" t="str">
        <f>HYPERLINK("http://141.218.60.56/~jnz1568/getInfo.php?workbook=06_01.xlsx&amp;sheet=A0&amp;row=71&amp;col=12&amp;number=1.6193&amp;sourceID=11","1.6193")</f>
        <v>1.6193</v>
      </c>
      <c r="M71" s="4" t="str">
        <f>HYPERLINK("http://141.218.60.56/~jnz1568/getInfo.php?workbook=06_01.xlsx&amp;sheet=A0&amp;row=71&amp;col=13&amp;number=&amp;sourceID=11","")</f>
        <v/>
      </c>
      <c r="N71" s="4" t="str">
        <f>HYPERLINK("http://141.218.60.56/~jnz1568/getInfo.php?workbook=06_01.xlsx&amp;sheet=A0&amp;row=71&amp;col=14&amp;number=3970700000&amp;sourceID=12","3970700000")</f>
        <v>3970700000</v>
      </c>
      <c r="O71" s="4" t="str">
        <f>HYPERLINK("http://141.218.60.56/~jnz1568/getInfo.php?workbook=06_01.xlsx&amp;sheet=A0&amp;row=71&amp;col=15&amp;number=3970700000&amp;sourceID=12","3970700000")</f>
        <v>3970700000</v>
      </c>
      <c r="P71" s="4" t="str">
        <f>HYPERLINK("http://141.218.60.56/~jnz1568/getInfo.php?workbook=06_01.xlsx&amp;sheet=A0&amp;row=71&amp;col=16&amp;number=&amp;sourceID=12","")</f>
        <v/>
      </c>
      <c r="Q71" s="4" t="str">
        <f>HYPERLINK("http://141.218.60.56/~jnz1568/getInfo.php?workbook=06_01.xlsx&amp;sheet=A0&amp;row=71&amp;col=17&amp;number=&amp;sourceID=12","")</f>
        <v/>
      </c>
      <c r="R71" s="4" t="str">
        <f>HYPERLINK("http://141.218.60.56/~jnz1568/getInfo.php?workbook=06_01.xlsx&amp;sheet=A0&amp;row=71&amp;col=18&amp;number=&amp;sourceID=12","")</f>
        <v/>
      </c>
      <c r="S71" s="4" t="str">
        <f>HYPERLINK("http://141.218.60.56/~jnz1568/getInfo.php?workbook=06_01.xlsx&amp;sheet=A0&amp;row=71&amp;col=19&amp;number=1.6194&amp;sourceID=12","1.6194")</f>
        <v>1.6194</v>
      </c>
      <c r="T71" s="4" t="str">
        <f>HYPERLINK("http://141.218.60.56/~jnz1568/getInfo.php?workbook=06_01.xlsx&amp;sheet=A0&amp;row=71&amp;col=20&amp;number=&amp;sourceID=12","")</f>
        <v/>
      </c>
      <c r="U71" s="4" t="str">
        <f>HYPERLINK("http://141.218.60.56/~jnz1568/getInfo.php?workbook=06_01.xlsx&amp;sheet=A0&amp;row=71&amp;col=21&amp;number==&amp;sourceID=13","=")</f>
        <v>=</v>
      </c>
      <c r="V71" s="4" t="str">
        <f>HYPERLINK("http://141.218.60.56/~jnz1568/getInfo.php?workbook=06_01.xlsx&amp;sheet=A0&amp;row=71&amp;col=22&amp;number=3960000000&amp;sourceID=13","3960000000")</f>
        <v>3960000000</v>
      </c>
      <c r="W71" s="4" t="str">
        <f>HYPERLINK("http://141.218.60.56/~jnz1568/getInfo.php?workbook=06_01.xlsx&amp;sheet=A0&amp;row=71&amp;col=23&amp;number=&amp;sourceID=13","")</f>
        <v/>
      </c>
      <c r="X71" s="4" t="str">
        <f>HYPERLINK("http://141.218.60.56/~jnz1568/getInfo.php?workbook=06_01.xlsx&amp;sheet=A0&amp;row=71&amp;col=24&amp;number=&amp;sourceID=13","")</f>
        <v/>
      </c>
      <c r="Y71" s="4" t="str">
        <f>HYPERLINK("http://141.218.60.56/~jnz1568/getInfo.php?workbook=06_01.xlsx&amp;sheet=A0&amp;row=71&amp;col=25&amp;number=&amp;sourceID=13","")</f>
        <v/>
      </c>
      <c r="Z71" s="4" t="str">
        <f>HYPERLINK("http://141.218.60.56/~jnz1568/getInfo.php?workbook=06_01.xlsx&amp;sheet=A0&amp;row=71&amp;col=26&amp;number=&amp;sourceID=13","")</f>
        <v/>
      </c>
    </row>
    <row r="72" spans="1:26">
      <c r="A72" s="3">
        <v>6</v>
      </c>
      <c r="B72" s="3">
        <v>1</v>
      </c>
      <c r="C72" s="3">
        <v>13</v>
      </c>
      <c r="D72" s="3">
        <v>7</v>
      </c>
      <c r="E72" s="3">
        <f>((1/(INDEX(E0!J$4:J$28,C72,1)-INDEX(E0!J$4:J$28,D72,1))))*100000000</f>
        <v>0</v>
      </c>
      <c r="F72" s="4" t="str">
        <f>HYPERLINK("http://141.218.60.56/~jnz1568/getInfo.php?workbook=06_01.xlsx&amp;sheet=A0&amp;row=72&amp;col=6&amp;number=&amp;sourceID=18","")</f>
        <v/>
      </c>
      <c r="G72" s="4" t="str">
        <f>HYPERLINK("http://141.218.60.56/~jnz1568/getInfo.php?workbook=06_01.xlsx&amp;sheet=A0&amp;row=72&amp;col=7&amp;number==&amp;sourceID=11","=")</f>
        <v>=</v>
      </c>
      <c r="H72" s="4" t="str">
        <f>HYPERLINK("http://141.218.60.56/~jnz1568/getInfo.php?workbook=06_01.xlsx&amp;sheet=A0&amp;row=72&amp;col=8&amp;number=45081000&amp;sourceID=11","45081000")</f>
        <v>45081000</v>
      </c>
      <c r="I72" s="4" t="str">
        <f>HYPERLINK("http://141.218.60.56/~jnz1568/getInfo.php?workbook=06_01.xlsx&amp;sheet=A0&amp;row=72&amp;col=9&amp;number=&amp;sourceID=11","")</f>
        <v/>
      </c>
      <c r="J72" s="4" t="str">
        <f>HYPERLINK("http://141.218.60.56/~jnz1568/getInfo.php?workbook=06_01.xlsx&amp;sheet=A0&amp;row=72&amp;col=10&amp;number=0.47341&amp;sourceID=11","0.47341")</f>
        <v>0.47341</v>
      </c>
      <c r="K72" s="4" t="str">
        <f>HYPERLINK("http://141.218.60.56/~jnz1568/getInfo.php?workbook=06_01.xlsx&amp;sheet=A0&amp;row=72&amp;col=11&amp;number=&amp;sourceID=11","")</f>
        <v/>
      </c>
      <c r="L72" s="4" t="str">
        <f>HYPERLINK("http://141.218.60.56/~jnz1568/getInfo.php?workbook=06_01.xlsx&amp;sheet=A0&amp;row=72&amp;col=12&amp;number=&amp;sourceID=11","")</f>
        <v/>
      </c>
      <c r="M72" s="4" t="str">
        <f>HYPERLINK("http://141.218.60.56/~jnz1568/getInfo.php?workbook=06_01.xlsx&amp;sheet=A0&amp;row=72&amp;col=13&amp;number=&amp;sourceID=11","")</f>
        <v/>
      </c>
      <c r="N72" s="4" t="str">
        <f>HYPERLINK("http://141.218.60.56/~jnz1568/getInfo.php?workbook=06_01.xlsx&amp;sheet=A0&amp;row=72&amp;col=14&amp;number=45083000&amp;sourceID=12","45083000")</f>
        <v>45083000</v>
      </c>
      <c r="O72" s="4" t="str">
        <f>HYPERLINK("http://141.218.60.56/~jnz1568/getInfo.php?workbook=06_01.xlsx&amp;sheet=A0&amp;row=72&amp;col=15&amp;number=45083000&amp;sourceID=12","45083000")</f>
        <v>45083000</v>
      </c>
      <c r="P72" s="4" t="str">
        <f>HYPERLINK("http://141.218.60.56/~jnz1568/getInfo.php?workbook=06_01.xlsx&amp;sheet=A0&amp;row=72&amp;col=16&amp;number=&amp;sourceID=12","")</f>
        <v/>
      </c>
      <c r="Q72" s="4" t="str">
        <f>HYPERLINK("http://141.218.60.56/~jnz1568/getInfo.php?workbook=06_01.xlsx&amp;sheet=A0&amp;row=72&amp;col=17&amp;number=0.47344&amp;sourceID=12","0.47344")</f>
        <v>0.47344</v>
      </c>
      <c r="R72" s="4" t="str">
        <f>HYPERLINK("http://141.218.60.56/~jnz1568/getInfo.php?workbook=06_01.xlsx&amp;sheet=A0&amp;row=72&amp;col=18&amp;number=&amp;sourceID=12","")</f>
        <v/>
      </c>
      <c r="S72" s="4" t="str">
        <f>HYPERLINK("http://141.218.60.56/~jnz1568/getInfo.php?workbook=06_01.xlsx&amp;sheet=A0&amp;row=72&amp;col=19&amp;number=&amp;sourceID=12","")</f>
        <v/>
      </c>
      <c r="T72" s="4" t="str">
        <f>HYPERLINK("http://141.218.60.56/~jnz1568/getInfo.php?workbook=06_01.xlsx&amp;sheet=A0&amp;row=72&amp;col=20&amp;number=&amp;sourceID=12","")</f>
        <v/>
      </c>
      <c r="U72" s="4" t="str">
        <f>HYPERLINK("http://141.218.60.56/~jnz1568/getInfo.php?workbook=06_01.xlsx&amp;sheet=A0&amp;row=72&amp;col=21&amp;number==&amp;sourceID=13","=")</f>
        <v>=</v>
      </c>
      <c r="V72" s="4" t="str">
        <f>HYPERLINK("http://141.218.60.56/~jnz1568/getInfo.php?workbook=06_01.xlsx&amp;sheet=A0&amp;row=72&amp;col=22&amp;number=44900000&amp;sourceID=13","44900000")</f>
        <v>44900000</v>
      </c>
      <c r="W72" s="4" t="str">
        <f>HYPERLINK("http://141.218.60.56/~jnz1568/getInfo.php?workbook=06_01.xlsx&amp;sheet=A0&amp;row=72&amp;col=23&amp;number=&amp;sourceID=13","")</f>
        <v/>
      </c>
      <c r="X72" s="4" t="str">
        <f>HYPERLINK("http://141.218.60.56/~jnz1568/getInfo.php?workbook=06_01.xlsx&amp;sheet=A0&amp;row=72&amp;col=24&amp;number=&amp;sourceID=13","")</f>
        <v/>
      </c>
      <c r="Y72" s="4" t="str">
        <f>HYPERLINK("http://141.218.60.56/~jnz1568/getInfo.php?workbook=06_01.xlsx&amp;sheet=A0&amp;row=72&amp;col=25&amp;number=&amp;sourceID=13","")</f>
        <v/>
      </c>
      <c r="Z72" s="4" t="str">
        <f>HYPERLINK("http://141.218.60.56/~jnz1568/getInfo.php?workbook=06_01.xlsx&amp;sheet=A0&amp;row=72&amp;col=26&amp;number=&amp;sourceID=13","")</f>
        <v/>
      </c>
    </row>
    <row r="73" spans="1:26">
      <c r="A73" s="3">
        <v>6</v>
      </c>
      <c r="B73" s="3">
        <v>1</v>
      </c>
      <c r="C73" s="3">
        <v>13</v>
      </c>
      <c r="D73" s="3">
        <v>8</v>
      </c>
      <c r="E73" s="3">
        <f>((1/(INDEX(E0!J$4:J$28,C73,1)-INDEX(E0!J$4:J$28,D73,1))))*100000000</f>
        <v>0</v>
      </c>
      <c r="F73" s="4" t="str">
        <f>HYPERLINK("http://141.218.60.56/~jnz1568/getInfo.php?workbook=06_01.xlsx&amp;sheet=A0&amp;row=73&amp;col=6&amp;number=&amp;sourceID=18","")</f>
        <v/>
      </c>
      <c r="G73" s="4" t="str">
        <f>HYPERLINK("http://141.218.60.56/~jnz1568/getInfo.php?workbook=06_01.xlsx&amp;sheet=A0&amp;row=73&amp;col=7&amp;number==&amp;sourceID=11","=")</f>
        <v>=</v>
      </c>
      <c r="H73" s="4" t="str">
        <f>HYPERLINK("http://141.218.60.56/~jnz1568/getInfo.php?workbook=06_01.xlsx&amp;sheet=A0&amp;row=73&amp;col=8&amp;number=&amp;sourceID=11","")</f>
        <v/>
      </c>
      <c r="I73" s="4" t="str">
        <f>HYPERLINK("http://141.218.60.56/~jnz1568/getInfo.php?workbook=06_01.xlsx&amp;sheet=A0&amp;row=73&amp;col=9&amp;number=59521&amp;sourceID=11","59521")</f>
        <v>59521</v>
      </c>
      <c r="J73" s="4" t="str">
        <f>HYPERLINK("http://141.218.60.56/~jnz1568/getInfo.php?workbook=06_01.xlsx&amp;sheet=A0&amp;row=73&amp;col=10&amp;number=&amp;sourceID=11","")</f>
        <v/>
      </c>
      <c r="K73" s="4" t="str">
        <f>HYPERLINK("http://141.218.60.56/~jnz1568/getInfo.php?workbook=06_01.xlsx&amp;sheet=A0&amp;row=73&amp;col=11&amp;number=0.0027926&amp;sourceID=11","0.0027926")</f>
        <v>0.0027926</v>
      </c>
      <c r="L73" s="4" t="str">
        <f>HYPERLINK("http://141.218.60.56/~jnz1568/getInfo.php?workbook=06_01.xlsx&amp;sheet=A0&amp;row=73&amp;col=12&amp;number=&amp;sourceID=11","")</f>
        <v/>
      </c>
      <c r="M73" s="4" t="str">
        <f>HYPERLINK("http://141.218.60.56/~jnz1568/getInfo.php?workbook=06_01.xlsx&amp;sheet=A0&amp;row=73&amp;col=13&amp;number=5.1709e-05&amp;sourceID=11","5.1709e-05")</f>
        <v>5.1709e-05</v>
      </c>
      <c r="N73" s="4" t="str">
        <f>HYPERLINK("http://141.218.60.56/~jnz1568/getInfo.php?workbook=06_01.xlsx&amp;sheet=A0&amp;row=73&amp;col=14&amp;number=59523&amp;sourceID=12","59523")</f>
        <v>59523</v>
      </c>
      <c r="O73" s="4" t="str">
        <f>HYPERLINK("http://141.218.60.56/~jnz1568/getInfo.php?workbook=06_01.xlsx&amp;sheet=A0&amp;row=73&amp;col=15&amp;number=&amp;sourceID=12","")</f>
        <v/>
      </c>
      <c r="P73" s="4" t="str">
        <f>HYPERLINK("http://141.218.60.56/~jnz1568/getInfo.php?workbook=06_01.xlsx&amp;sheet=A0&amp;row=73&amp;col=16&amp;number=59523&amp;sourceID=12","59523")</f>
        <v>59523</v>
      </c>
      <c r="Q73" s="4" t="str">
        <f>HYPERLINK("http://141.218.60.56/~jnz1568/getInfo.php?workbook=06_01.xlsx&amp;sheet=A0&amp;row=73&amp;col=17&amp;number=&amp;sourceID=12","")</f>
        <v/>
      </c>
      <c r="R73" s="4" t="str">
        <f>HYPERLINK("http://141.218.60.56/~jnz1568/getInfo.php?workbook=06_01.xlsx&amp;sheet=A0&amp;row=73&amp;col=18&amp;number=0.0027927&amp;sourceID=12","0.0027927")</f>
        <v>0.0027927</v>
      </c>
      <c r="S73" s="4" t="str">
        <f>HYPERLINK("http://141.218.60.56/~jnz1568/getInfo.php?workbook=06_01.xlsx&amp;sheet=A0&amp;row=73&amp;col=19&amp;number=&amp;sourceID=12","")</f>
        <v/>
      </c>
      <c r="T73" s="4" t="str">
        <f>HYPERLINK("http://141.218.60.56/~jnz1568/getInfo.php?workbook=06_01.xlsx&amp;sheet=A0&amp;row=73&amp;col=20&amp;number=5.1711e-05&amp;sourceID=12","5.1711e-05")</f>
        <v>5.1711e-05</v>
      </c>
      <c r="U73" s="4" t="str">
        <f>HYPERLINK("http://141.218.60.56/~jnz1568/getInfo.php?workbook=06_01.xlsx&amp;sheet=A0&amp;row=73&amp;col=21&amp;number==&amp;sourceID=13","=")</f>
        <v>=</v>
      </c>
      <c r="V73" s="4" t="str">
        <f>HYPERLINK("http://141.218.60.56/~jnz1568/getInfo.php?workbook=06_01.xlsx&amp;sheet=A0&amp;row=73&amp;col=22&amp;number=&amp;sourceID=13","")</f>
        <v/>
      </c>
      <c r="W73" s="4" t="str">
        <f>HYPERLINK("http://141.218.60.56/~jnz1568/getInfo.php?workbook=06_01.xlsx&amp;sheet=A0&amp;row=73&amp;col=23&amp;number=59400&amp;sourceID=13","59400")</f>
        <v>59400</v>
      </c>
      <c r="X73" s="4" t="str">
        <f>HYPERLINK("http://141.218.60.56/~jnz1568/getInfo.php?workbook=06_01.xlsx&amp;sheet=A0&amp;row=73&amp;col=24&amp;number=&amp;sourceID=13","")</f>
        <v/>
      </c>
      <c r="Y73" s="4" t="str">
        <f>HYPERLINK("http://141.218.60.56/~jnz1568/getInfo.php?workbook=06_01.xlsx&amp;sheet=A0&amp;row=73&amp;col=25&amp;number=0.00279&amp;sourceID=13","0.00279")</f>
        <v>0.00279</v>
      </c>
      <c r="Z73" s="4" t="str">
        <f>HYPERLINK("http://141.218.60.56/~jnz1568/getInfo.php?workbook=06_01.xlsx&amp;sheet=A0&amp;row=73&amp;col=26&amp;number=&amp;sourceID=13","")</f>
        <v/>
      </c>
    </row>
    <row r="74" spans="1:26">
      <c r="A74" s="3">
        <v>6</v>
      </c>
      <c r="B74" s="3">
        <v>1</v>
      </c>
      <c r="C74" s="3">
        <v>13</v>
      </c>
      <c r="D74" s="3">
        <v>9</v>
      </c>
      <c r="E74" s="3">
        <f>((1/(INDEX(E0!J$4:J$28,C74,1)-INDEX(E0!J$4:J$28,D74,1))))*100000000</f>
        <v>0</v>
      </c>
      <c r="F74" s="4" t="str">
        <f>HYPERLINK("http://141.218.60.56/~jnz1568/getInfo.php?workbook=06_01.xlsx&amp;sheet=A0&amp;row=74&amp;col=6&amp;number=&amp;sourceID=18","")</f>
        <v/>
      </c>
      <c r="G74" s="4" t="str">
        <f>HYPERLINK("http://141.218.60.56/~jnz1568/getInfo.php?workbook=06_01.xlsx&amp;sheet=A0&amp;row=74&amp;col=7&amp;number==&amp;sourceID=11","=")</f>
        <v>=</v>
      </c>
      <c r="H74" s="4" t="str">
        <f>HYPERLINK("http://141.218.60.56/~jnz1568/getInfo.php?workbook=06_01.xlsx&amp;sheet=A0&amp;row=74&amp;col=8&amp;number=406380000&amp;sourceID=11","406380000")</f>
        <v>406380000</v>
      </c>
      <c r="I74" s="4" t="str">
        <f>HYPERLINK("http://141.218.60.56/~jnz1568/getInfo.php?workbook=06_01.xlsx&amp;sheet=A0&amp;row=74&amp;col=9&amp;number=&amp;sourceID=11","")</f>
        <v/>
      </c>
      <c r="J74" s="4" t="str">
        <f>HYPERLINK("http://141.218.60.56/~jnz1568/getInfo.php?workbook=06_01.xlsx&amp;sheet=A0&amp;row=74&amp;col=10&amp;number=0.31541&amp;sourceID=11","0.31541")</f>
        <v>0.31541</v>
      </c>
      <c r="K74" s="4" t="str">
        <f>HYPERLINK("http://141.218.60.56/~jnz1568/getInfo.php?workbook=06_01.xlsx&amp;sheet=A0&amp;row=74&amp;col=11&amp;number=&amp;sourceID=11","")</f>
        <v/>
      </c>
      <c r="L74" s="4" t="str">
        <f>HYPERLINK("http://141.218.60.56/~jnz1568/getInfo.php?workbook=06_01.xlsx&amp;sheet=A0&amp;row=74&amp;col=12&amp;number=0.21446&amp;sourceID=11","0.21446")</f>
        <v>0.21446</v>
      </c>
      <c r="M74" s="4" t="str">
        <f>HYPERLINK("http://141.218.60.56/~jnz1568/getInfo.php?workbook=06_01.xlsx&amp;sheet=A0&amp;row=74&amp;col=13&amp;number=&amp;sourceID=11","")</f>
        <v/>
      </c>
      <c r="N74" s="4" t="str">
        <f>HYPERLINK("http://141.218.60.56/~jnz1568/getInfo.php?workbook=06_01.xlsx&amp;sheet=A0&amp;row=74&amp;col=14&amp;number=406400000&amp;sourceID=12","406400000")</f>
        <v>406400000</v>
      </c>
      <c r="O74" s="4" t="str">
        <f>HYPERLINK("http://141.218.60.56/~jnz1568/getInfo.php?workbook=06_01.xlsx&amp;sheet=A0&amp;row=74&amp;col=15&amp;number=406400000&amp;sourceID=12","406400000")</f>
        <v>406400000</v>
      </c>
      <c r="P74" s="4" t="str">
        <f>HYPERLINK("http://141.218.60.56/~jnz1568/getInfo.php?workbook=06_01.xlsx&amp;sheet=A0&amp;row=74&amp;col=16&amp;number=&amp;sourceID=12","")</f>
        <v/>
      </c>
      <c r="Q74" s="4" t="str">
        <f>HYPERLINK("http://141.218.60.56/~jnz1568/getInfo.php?workbook=06_01.xlsx&amp;sheet=A0&amp;row=74&amp;col=17&amp;number=0.31543&amp;sourceID=12","0.31543")</f>
        <v>0.31543</v>
      </c>
      <c r="R74" s="4" t="str">
        <f>HYPERLINK("http://141.218.60.56/~jnz1568/getInfo.php?workbook=06_01.xlsx&amp;sheet=A0&amp;row=74&amp;col=18&amp;number=&amp;sourceID=12","")</f>
        <v/>
      </c>
      <c r="S74" s="4" t="str">
        <f>HYPERLINK("http://141.218.60.56/~jnz1568/getInfo.php?workbook=06_01.xlsx&amp;sheet=A0&amp;row=74&amp;col=19&amp;number=0.21447&amp;sourceID=12","0.21447")</f>
        <v>0.21447</v>
      </c>
      <c r="T74" s="4" t="str">
        <f>HYPERLINK("http://141.218.60.56/~jnz1568/getInfo.php?workbook=06_01.xlsx&amp;sheet=A0&amp;row=74&amp;col=20&amp;number=&amp;sourceID=12","")</f>
        <v/>
      </c>
      <c r="U74" s="4" t="str">
        <f>HYPERLINK("http://141.218.60.56/~jnz1568/getInfo.php?workbook=06_01.xlsx&amp;sheet=A0&amp;row=74&amp;col=21&amp;number==&amp;sourceID=13","=")</f>
        <v>=</v>
      </c>
      <c r="V74" s="4" t="str">
        <f>HYPERLINK("http://141.218.60.56/~jnz1568/getInfo.php?workbook=06_01.xlsx&amp;sheet=A0&amp;row=74&amp;col=22&amp;number=406000000&amp;sourceID=13","406000000")</f>
        <v>406000000</v>
      </c>
      <c r="W74" s="4" t="str">
        <f>HYPERLINK("http://141.218.60.56/~jnz1568/getInfo.php?workbook=06_01.xlsx&amp;sheet=A0&amp;row=74&amp;col=23&amp;number=&amp;sourceID=13","")</f>
        <v/>
      </c>
      <c r="X74" s="4" t="str">
        <f>HYPERLINK("http://141.218.60.56/~jnz1568/getInfo.php?workbook=06_01.xlsx&amp;sheet=A0&amp;row=74&amp;col=24&amp;number=&amp;sourceID=13","")</f>
        <v/>
      </c>
      <c r="Y74" s="4" t="str">
        <f>HYPERLINK("http://141.218.60.56/~jnz1568/getInfo.php?workbook=06_01.xlsx&amp;sheet=A0&amp;row=74&amp;col=25&amp;number=&amp;sourceID=13","")</f>
        <v/>
      </c>
      <c r="Z74" s="4" t="str">
        <f>HYPERLINK("http://141.218.60.56/~jnz1568/getInfo.php?workbook=06_01.xlsx&amp;sheet=A0&amp;row=74&amp;col=26&amp;number=&amp;sourceID=13","")</f>
        <v/>
      </c>
    </row>
    <row r="75" spans="1:26">
      <c r="A75" s="3">
        <v>6</v>
      </c>
      <c r="B75" s="3">
        <v>1</v>
      </c>
      <c r="C75" s="3">
        <v>13</v>
      </c>
      <c r="D75" s="3">
        <v>10</v>
      </c>
      <c r="E75" s="3">
        <f>((1/(INDEX(E0!J$4:J$28,C75,1)-INDEX(E0!J$4:J$28,D75,1))))*100000000</f>
        <v>0</v>
      </c>
      <c r="F75" s="4" t="str">
        <f>HYPERLINK("http://141.218.60.56/~jnz1568/getInfo.php?workbook=06_01.xlsx&amp;sheet=A0&amp;row=75&amp;col=6&amp;number=&amp;sourceID=18","")</f>
        <v/>
      </c>
      <c r="G75" s="4" t="str">
        <f>HYPERLINK("http://141.218.60.56/~jnz1568/getInfo.php?workbook=06_01.xlsx&amp;sheet=A0&amp;row=75&amp;col=7&amp;number==&amp;sourceID=11","=")</f>
        <v>=</v>
      </c>
      <c r="H75" s="4" t="str">
        <f>HYPERLINK("http://141.218.60.56/~jnz1568/getInfo.php?workbook=06_01.xlsx&amp;sheet=A0&amp;row=75&amp;col=8&amp;number=&amp;sourceID=11","")</f>
        <v/>
      </c>
      <c r="I75" s="4" t="str">
        <f>HYPERLINK("http://141.218.60.56/~jnz1568/getInfo.php?workbook=06_01.xlsx&amp;sheet=A0&amp;row=75&amp;col=9&amp;number=4.533e-12&amp;sourceID=11","4.533e-12")</f>
        <v>4.533e-12</v>
      </c>
      <c r="J75" s="4" t="str">
        <f>HYPERLINK("http://141.218.60.56/~jnz1568/getInfo.php?workbook=06_01.xlsx&amp;sheet=A0&amp;row=75&amp;col=10&amp;number=&amp;sourceID=11","")</f>
        <v/>
      </c>
      <c r="K75" s="4" t="str">
        <f>HYPERLINK("http://141.218.60.56/~jnz1568/getInfo.php?workbook=06_01.xlsx&amp;sheet=A0&amp;row=75&amp;col=11&amp;number=1.8688e-06&amp;sourceID=11","1.8688e-06")</f>
        <v>1.8688e-06</v>
      </c>
      <c r="L75" s="4" t="str">
        <f>HYPERLINK("http://141.218.60.56/~jnz1568/getInfo.php?workbook=06_01.xlsx&amp;sheet=A0&amp;row=75&amp;col=12&amp;number=&amp;sourceID=11","")</f>
        <v/>
      </c>
      <c r="M75" s="4" t="str">
        <f>HYPERLINK("http://141.218.60.56/~jnz1568/getInfo.php?workbook=06_01.xlsx&amp;sheet=A0&amp;row=75&amp;col=13&amp;number=&amp;sourceID=11","")</f>
        <v/>
      </c>
      <c r="N75" s="4" t="str">
        <f>HYPERLINK("http://141.218.60.56/~jnz1568/getInfo.php?workbook=06_01.xlsx&amp;sheet=A0&amp;row=75&amp;col=14&amp;number=1.869e-06&amp;sourceID=12","1.869e-06")</f>
        <v>1.869e-06</v>
      </c>
      <c r="O75" s="4" t="str">
        <f>HYPERLINK("http://141.218.60.56/~jnz1568/getInfo.php?workbook=06_01.xlsx&amp;sheet=A0&amp;row=75&amp;col=15&amp;number=&amp;sourceID=12","")</f>
        <v/>
      </c>
      <c r="P75" s="4" t="str">
        <f>HYPERLINK("http://141.218.60.56/~jnz1568/getInfo.php?workbook=06_01.xlsx&amp;sheet=A0&amp;row=75&amp;col=16&amp;number=4.534e-12&amp;sourceID=12","4.534e-12")</f>
        <v>4.534e-12</v>
      </c>
      <c r="Q75" s="4" t="str">
        <f>HYPERLINK("http://141.218.60.56/~jnz1568/getInfo.php?workbook=06_01.xlsx&amp;sheet=A0&amp;row=75&amp;col=17&amp;number=&amp;sourceID=12","")</f>
        <v/>
      </c>
      <c r="R75" s="4" t="str">
        <f>HYPERLINK("http://141.218.60.56/~jnz1568/getInfo.php?workbook=06_01.xlsx&amp;sheet=A0&amp;row=75&amp;col=18&amp;number=1.869e-06&amp;sourceID=12","1.869e-06")</f>
        <v>1.869e-06</v>
      </c>
      <c r="S75" s="4" t="str">
        <f>HYPERLINK("http://141.218.60.56/~jnz1568/getInfo.php?workbook=06_01.xlsx&amp;sheet=A0&amp;row=75&amp;col=19&amp;number=&amp;sourceID=12","")</f>
        <v/>
      </c>
      <c r="T75" s="4" t="str">
        <f>HYPERLINK("http://141.218.60.56/~jnz1568/getInfo.php?workbook=06_01.xlsx&amp;sheet=A0&amp;row=75&amp;col=20&amp;number=&amp;sourceID=12","")</f>
        <v/>
      </c>
      <c r="U75" s="4" t="str">
        <f>HYPERLINK("http://141.218.60.56/~jnz1568/getInfo.php?workbook=06_01.xlsx&amp;sheet=A0&amp;row=75&amp;col=21&amp;number=&amp;sourceID=13","")</f>
        <v/>
      </c>
      <c r="V75" s="4" t="str">
        <f>HYPERLINK("http://141.218.60.56/~jnz1568/getInfo.php?workbook=06_01.xlsx&amp;sheet=A0&amp;row=75&amp;col=22&amp;number=&amp;sourceID=13","")</f>
        <v/>
      </c>
      <c r="W75" s="4" t="str">
        <f>HYPERLINK("http://141.218.60.56/~jnz1568/getInfo.php?workbook=06_01.xlsx&amp;sheet=A0&amp;row=75&amp;col=23&amp;number=&amp;sourceID=13","")</f>
        <v/>
      </c>
      <c r="X75" s="4" t="str">
        <f>HYPERLINK("http://141.218.60.56/~jnz1568/getInfo.php?workbook=06_01.xlsx&amp;sheet=A0&amp;row=75&amp;col=24&amp;number=&amp;sourceID=13","")</f>
        <v/>
      </c>
      <c r="Y75" s="4" t="str">
        <f>HYPERLINK("http://141.218.60.56/~jnz1568/getInfo.php?workbook=06_01.xlsx&amp;sheet=A0&amp;row=75&amp;col=25&amp;number=&amp;sourceID=13","")</f>
        <v/>
      </c>
      <c r="Z75" s="4" t="str">
        <f>HYPERLINK("http://141.218.60.56/~jnz1568/getInfo.php?workbook=06_01.xlsx&amp;sheet=A0&amp;row=75&amp;col=26&amp;number=&amp;sourceID=13","")</f>
        <v/>
      </c>
    </row>
    <row r="76" spans="1:26">
      <c r="A76" s="3">
        <v>6</v>
      </c>
      <c r="B76" s="3">
        <v>1</v>
      </c>
      <c r="C76" s="3">
        <v>13</v>
      </c>
      <c r="D76" s="3">
        <v>11</v>
      </c>
      <c r="E76" s="3">
        <f>((1/(INDEX(E0!J$4:J$28,C76,1)-INDEX(E0!J$4:J$28,D76,1))))*100000000</f>
        <v>0</v>
      </c>
      <c r="F76" s="4" t="str">
        <f>HYPERLINK("http://141.218.60.56/~jnz1568/getInfo.php?workbook=06_01.xlsx&amp;sheet=A0&amp;row=76&amp;col=6&amp;number=&amp;sourceID=18","")</f>
        <v/>
      </c>
      <c r="G76" s="4" t="str">
        <f>HYPERLINK("http://141.218.60.56/~jnz1568/getInfo.php?workbook=06_01.xlsx&amp;sheet=A0&amp;row=76&amp;col=7&amp;number==&amp;sourceID=11","=")</f>
        <v>=</v>
      </c>
      <c r="H76" s="4" t="str">
        <f>HYPERLINK("http://141.218.60.56/~jnz1568/getInfo.php?workbook=06_01.xlsx&amp;sheet=A0&amp;row=76&amp;col=8&amp;number=2.1049&amp;sourceID=11","2.1049")</f>
        <v>2.1049</v>
      </c>
      <c r="I76" s="4" t="str">
        <f>HYPERLINK("http://141.218.60.56/~jnz1568/getInfo.php?workbook=06_01.xlsx&amp;sheet=A0&amp;row=76&amp;col=9&amp;number=&amp;sourceID=11","")</f>
        <v/>
      </c>
      <c r="J76" s="4" t="str">
        <f>HYPERLINK("http://141.218.60.56/~jnz1568/getInfo.php?workbook=06_01.xlsx&amp;sheet=A0&amp;row=76&amp;col=10&amp;number=&amp;sourceID=11","")</f>
        <v/>
      </c>
      <c r="K76" s="4" t="str">
        <f>HYPERLINK("http://141.218.60.56/~jnz1568/getInfo.php?workbook=06_01.xlsx&amp;sheet=A0&amp;row=76&amp;col=11&amp;number=&amp;sourceID=11","")</f>
        <v/>
      </c>
      <c r="L76" s="4" t="str">
        <f>HYPERLINK("http://141.218.60.56/~jnz1568/getInfo.php?workbook=06_01.xlsx&amp;sheet=A0&amp;row=76&amp;col=12&amp;number=0&amp;sourceID=11","0")</f>
        <v>0</v>
      </c>
      <c r="M76" s="4" t="str">
        <f>HYPERLINK("http://141.218.60.56/~jnz1568/getInfo.php?workbook=06_01.xlsx&amp;sheet=A0&amp;row=76&amp;col=13&amp;number=&amp;sourceID=11","")</f>
        <v/>
      </c>
      <c r="N76" s="4" t="str">
        <f>HYPERLINK("http://141.218.60.56/~jnz1568/getInfo.php?workbook=06_01.xlsx&amp;sheet=A0&amp;row=76&amp;col=14&amp;number=2.1051&amp;sourceID=12","2.1051")</f>
        <v>2.1051</v>
      </c>
      <c r="O76" s="4" t="str">
        <f>HYPERLINK("http://141.218.60.56/~jnz1568/getInfo.php?workbook=06_01.xlsx&amp;sheet=A0&amp;row=76&amp;col=15&amp;number=2.1051&amp;sourceID=12","2.1051")</f>
        <v>2.1051</v>
      </c>
      <c r="P76" s="4" t="str">
        <f>HYPERLINK("http://141.218.60.56/~jnz1568/getInfo.php?workbook=06_01.xlsx&amp;sheet=A0&amp;row=76&amp;col=16&amp;number=&amp;sourceID=12","")</f>
        <v/>
      </c>
      <c r="Q76" s="4" t="str">
        <f>HYPERLINK("http://141.218.60.56/~jnz1568/getInfo.php?workbook=06_01.xlsx&amp;sheet=A0&amp;row=76&amp;col=17&amp;number=&amp;sourceID=12","")</f>
        <v/>
      </c>
      <c r="R76" s="4" t="str">
        <f>HYPERLINK("http://141.218.60.56/~jnz1568/getInfo.php?workbook=06_01.xlsx&amp;sheet=A0&amp;row=76&amp;col=18&amp;number=&amp;sourceID=12","")</f>
        <v/>
      </c>
      <c r="S76" s="4" t="str">
        <f>HYPERLINK("http://141.218.60.56/~jnz1568/getInfo.php?workbook=06_01.xlsx&amp;sheet=A0&amp;row=76&amp;col=19&amp;number=0&amp;sourceID=12","0")</f>
        <v>0</v>
      </c>
      <c r="T76" s="4" t="str">
        <f>HYPERLINK("http://141.218.60.56/~jnz1568/getInfo.php?workbook=06_01.xlsx&amp;sheet=A0&amp;row=76&amp;col=20&amp;number=&amp;sourceID=12","")</f>
        <v/>
      </c>
      <c r="U76" s="4" t="str">
        <f>HYPERLINK("http://141.218.60.56/~jnz1568/getInfo.php?workbook=06_01.xlsx&amp;sheet=A0&amp;row=76&amp;col=21&amp;number=&amp;sourceID=13","")</f>
        <v/>
      </c>
      <c r="V76" s="4" t="str">
        <f>HYPERLINK("http://141.218.60.56/~jnz1568/getInfo.php?workbook=06_01.xlsx&amp;sheet=A0&amp;row=76&amp;col=22&amp;number=&amp;sourceID=13","")</f>
        <v/>
      </c>
      <c r="W76" s="4" t="str">
        <f>HYPERLINK("http://141.218.60.56/~jnz1568/getInfo.php?workbook=06_01.xlsx&amp;sheet=A0&amp;row=76&amp;col=23&amp;number=&amp;sourceID=13","")</f>
        <v/>
      </c>
      <c r="X76" s="4" t="str">
        <f>HYPERLINK("http://141.218.60.56/~jnz1568/getInfo.php?workbook=06_01.xlsx&amp;sheet=A0&amp;row=76&amp;col=24&amp;number=&amp;sourceID=13","")</f>
        <v/>
      </c>
      <c r="Y76" s="4" t="str">
        <f>HYPERLINK("http://141.218.60.56/~jnz1568/getInfo.php?workbook=06_01.xlsx&amp;sheet=A0&amp;row=76&amp;col=25&amp;number=&amp;sourceID=13","")</f>
        <v/>
      </c>
      <c r="Z76" s="4" t="str">
        <f>HYPERLINK("http://141.218.60.56/~jnz1568/getInfo.php?workbook=06_01.xlsx&amp;sheet=A0&amp;row=76&amp;col=26&amp;number=&amp;sourceID=13","")</f>
        <v/>
      </c>
    </row>
    <row r="77" spans="1:26">
      <c r="A77" s="3">
        <v>6</v>
      </c>
      <c r="B77" s="3">
        <v>1</v>
      </c>
      <c r="C77" s="3">
        <v>14</v>
      </c>
      <c r="D77" s="3">
        <v>1</v>
      </c>
      <c r="E77" s="3">
        <f>((1/(INDEX(E0!J$4:J$28,C77,1)-INDEX(E0!J$4:J$28,D77,1))))*100000000</f>
        <v>0</v>
      </c>
      <c r="F77" s="4" t="str">
        <f>HYPERLINK("http://141.218.60.56/~jnz1568/getInfo.php?workbook=06_01.xlsx&amp;sheet=A0&amp;row=77&amp;col=6&amp;number=&amp;sourceID=18","")</f>
        <v/>
      </c>
      <c r="G77" s="4" t="str">
        <f>HYPERLINK("http://141.218.60.56/~jnz1568/getInfo.php?workbook=06_01.xlsx&amp;sheet=A0&amp;row=77&amp;col=7&amp;number==&amp;sourceID=11","=")</f>
        <v>=</v>
      </c>
      <c r="H77" s="4" t="str">
        <f>HYPERLINK("http://141.218.60.56/~jnz1568/getInfo.php?workbook=06_01.xlsx&amp;sheet=A0&amp;row=77&amp;col=8&amp;number=&amp;sourceID=11","")</f>
        <v/>
      </c>
      <c r="I77" s="4" t="str">
        <f>HYPERLINK("http://141.218.60.56/~jnz1568/getInfo.php?workbook=06_01.xlsx&amp;sheet=A0&amp;row=77&amp;col=9&amp;number=&amp;sourceID=11","")</f>
        <v/>
      </c>
      <c r="J77" s="4" t="str">
        <f>HYPERLINK("http://141.218.60.56/~jnz1568/getInfo.php?workbook=06_01.xlsx&amp;sheet=A0&amp;row=77&amp;col=10&amp;number=521.49&amp;sourceID=11","521.49")</f>
        <v>521.49</v>
      </c>
      <c r="K77" s="4" t="str">
        <f>HYPERLINK("http://141.218.60.56/~jnz1568/getInfo.php?workbook=06_01.xlsx&amp;sheet=A0&amp;row=77&amp;col=11&amp;number=&amp;sourceID=11","")</f>
        <v/>
      </c>
      <c r="L77" s="4" t="str">
        <f>HYPERLINK("http://141.218.60.56/~jnz1568/getInfo.php?workbook=06_01.xlsx&amp;sheet=A0&amp;row=77&amp;col=12&amp;number=3.5416e-06&amp;sourceID=11","3.5416e-06")</f>
        <v>3.5416e-06</v>
      </c>
      <c r="M77" s="4" t="str">
        <f>HYPERLINK("http://141.218.60.56/~jnz1568/getInfo.php?workbook=06_01.xlsx&amp;sheet=A0&amp;row=77&amp;col=13&amp;number=&amp;sourceID=11","")</f>
        <v/>
      </c>
      <c r="N77" s="4" t="str">
        <f>HYPERLINK("http://141.218.60.56/~jnz1568/getInfo.php?workbook=06_01.xlsx&amp;sheet=A0&amp;row=77&amp;col=14&amp;number=521.52&amp;sourceID=12","521.52")</f>
        <v>521.52</v>
      </c>
      <c r="O77" s="4" t="str">
        <f>HYPERLINK("http://141.218.60.56/~jnz1568/getInfo.php?workbook=06_01.xlsx&amp;sheet=A0&amp;row=77&amp;col=15&amp;number=&amp;sourceID=12","")</f>
        <v/>
      </c>
      <c r="P77" s="4" t="str">
        <f>HYPERLINK("http://141.218.60.56/~jnz1568/getInfo.php?workbook=06_01.xlsx&amp;sheet=A0&amp;row=77&amp;col=16&amp;number=&amp;sourceID=12","")</f>
        <v/>
      </c>
      <c r="Q77" s="4" t="str">
        <f>HYPERLINK("http://141.218.60.56/~jnz1568/getInfo.php?workbook=06_01.xlsx&amp;sheet=A0&amp;row=77&amp;col=17&amp;number=521.52&amp;sourceID=12","521.52")</f>
        <v>521.52</v>
      </c>
      <c r="R77" s="4" t="str">
        <f>HYPERLINK("http://141.218.60.56/~jnz1568/getInfo.php?workbook=06_01.xlsx&amp;sheet=A0&amp;row=77&amp;col=18&amp;number=&amp;sourceID=12","")</f>
        <v/>
      </c>
      <c r="S77" s="4" t="str">
        <f>HYPERLINK("http://141.218.60.56/~jnz1568/getInfo.php?workbook=06_01.xlsx&amp;sheet=A0&amp;row=77&amp;col=19&amp;number=3.4938e-06&amp;sourceID=12","3.4938e-06")</f>
        <v>3.4938e-06</v>
      </c>
      <c r="T77" s="4" t="str">
        <f>HYPERLINK("http://141.218.60.56/~jnz1568/getInfo.php?workbook=06_01.xlsx&amp;sheet=A0&amp;row=77&amp;col=20&amp;number=&amp;sourceID=12","")</f>
        <v/>
      </c>
      <c r="U77" s="4" t="str">
        <f>HYPERLINK("http://141.218.60.56/~jnz1568/getInfo.php?workbook=06_01.xlsx&amp;sheet=A0&amp;row=77&amp;col=21&amp;number==SUM(V77:Z77)&amp;sourceID=13","=SUM(V77:Z77)")</f>
        <v>=SUM(V77:Z77)</v>
      </c>
      <c r="V77" s="4" t="str">
        <f>HYPERLINK("http://141.218.60.56/~jnz1568/getInfo.php?workbook=06_01.xlsx&amp;sheet=A0&amp;row=77&amp;col=22&amp;number=&amp;sourceID=13","")</f>
        <v/>
      </c>
      <c r="W77" s="4" t="str">
        <f>HYPERLINK("http://141.218.60.56/~jnz1568/getInfo.php?workbook=06_01.xlsx&amp;sheet=A0&amp;row=77&amp;col=23&amp;number=&amp;sourceID=13","")</f>
        <v/>
      </c>
      <c r="X77" s="4" t="str">
        <f>HYPERLINK("http://141.218.60.56/~jnz1568/getInfo.php?workbook=06_01.xlsx&amp;sheet=A0&amp;row=77&amp;col=24&amp;number=337&amp;sourceID=13","337")</f>
        <v>337</v>
      </c>
      <c r="Y77" s="4" t="str">
        <f>HYPERLINK("http://141.218.60.56/~jnz1568/getInfo.php?workbook=06_01.xlsx&amp;sheet=A0&amp;row=77&amp;col=25&amp;number=&amp;sourceID=13","")</f>
        <v/>
      </c>
      <c r="Z77" s="4" t="str">
        <f>HYPERLINK("http://141.218.60.56/~jnz1568/getInfo.php?workbook=06_01.xlsx&amp;sheet=A0&amp;row=77&amp;col=26&amp;number=&amp;sourceID=13","")</f>
        <v/>
      </c>
    </row>
    <row r="78" spans="1:26">
      <c r="A78" s="3">
        <v>6</v>
      </c>
      <c r="B78" s="3">
        <v>1</v>
      </c>
      <c r="C78" s="3">
        <v>14</v>
      </c>
      <c r="D78" s="3">
        <v>2</v>
      </c>
      <c r="E78" s="3">
        <f>((1/(INDEX(E0!J$4:J$28,C78,1)-INDEX(E0!J$4:J$28,D78,1))))*100000000</f>
        <v>0</v>
      </c>
      <c r="F78" s="4" t="str">
        <f>HYPERLINK("http://141.218.60.56/~jnz1568/getInfo.php?workbook=06_01.xlsx&amp;sheet=A0&amp;row=78&amp;col=6&amp;number=&amp;sourceID=18","")</f>
        <v/>
      </c>
      <c r="G78" s="4" t="str">
        <f>HYPERLINK("http://141.218.60.56/~jnz1568/getInfo.php?workbook=06_01.xlsx&amp;sheet=A0&amp;row=78&amp;col=7&amp;number==&amp;sourceID=11","=")</f>
        <v>=</v>
      </c>
      <c r="H78" s="4" t="str">
        <f>HYPERLINK("http://141.218.60.56/~jnz1568/getInfo.php?workbook=06_01.xlsx&amp;sheet=A0&amp;row=78&amp;col=8&amp;number=&amp;sourceID=11","")</f>
        <v/>
      </c>
      <c r="I78" s="4" t="str">
        <f>HYPERLINK("http://141.218.60.56/~jnz1568/getInfo.php?workbook=06_01.xlsx&amp;sheet=A0&amp;row=78&amp;col=9&amp;number=2242900&amp;sourceID=11","2242900")</f>
        <v>2242900</v>
      </c>
      <c r="J78" s="4" t="str">
        <f>HYPERLINK("http://141.218.60.56/~jnz1568/getInfo.php?workbook=06_01.xlsx&amp;sheet=A0&amp;row=78&amp;col=10&amp;number=&amp;sourceID=11","")</f>
        <v/>
      </c>
      <c r="K78" s="4" t="str">
        <f>HYPERLINK("http://141.218.60.56/~jnz1568/getInfo.php?workbook=06_01.xlsx&amp;sheet=A0&amp;row=78&amp;col=11&amp;number=&amp;sourceID=11","")</f>
        <v/>
      </c>
      <c r="L78" s="4" t="str">
        <f>HYPERLINK("http://141.218.60.56/~jnz1568/getInfo.php?workbook=06_01.xlsx&amp;sheet=A0&amp;row=78&amp;col=12&amp;number=&amp;sourceID=11","")</f>
        <v/>
      </c>
      <c r="M78" s="4" t="str">
        <f>HYPERLINK("http://141.218.60.56/~jnz1568/getInfo.php?workbook=06_01.xlsx&amp;sheet=A0&amp;row=78&amp;col=13&amp;number=0.00032898&amp;sourceID=11","0.00032898")</f>
        <v>0.00032898</v>
      </c>
      <c r="N78" s="4" t="str">
        <f>HYPERLINK("http://141.218.60.56/~jnz1568/getInfo.php?workbook=06_01.xlsx&amp;sheet=A0&amp;row=78&amp;col=14&amp;number=2243000&amp;sourceID=12","2243000")</f>
        <v>2243000</v>
      </c>
      <c r="O78" s="4" t="str">
        <f>HYPERLINK("http://141.218.60.56/~jnz1568/getInfo.php?workbook=06_01.xlsx&amp;sheet=A0&amp;row=78&amp;col=15&amp;number=&amp;sourceID=12","")</f>
        <v/>
      </c>
      <c r="P78" s="4" t="str">
        <f>HYPERLINK("http://141.218.60.56/~jnz1568/getInfo.php?workbook=06_01.xlsx&amp;sheet=A0&amp;row=78&amp;col=16&amp;number=2243000&amp;sourceID=12","2243000")</f>
        <v>2243000</v>
      </c>
      <c r="Q78" s="4" t="str">
        <f>HYPERLINK("http://141.218.60.56/~jnz1568/getInfo.php?workbook=06_01.xlsx&amp;sheet=A0&amp;row=78&amp;col=17&amp;number=&amp;sourceID=12","")</f>
        <v/>
      </c>
      <c r="R78" s="4" t="str">
        <f>HYPERLINK("http://141.218.60.56/~jnz1568/getInfo.php?workbook=06_01.xlsx&amp;sheet=A0&amp;row=78&amp;col=18&amp;number=&amp;sourceID=12","")</f>
        <v/>
      </c>
      <c r="S78" s="4" t="str">
        <f>HYPERLINK("http://141.218.60.56/~jnz1568/getInfo.php?workbook=06_01.xlsx&amp;sheet=A0&amp;row=78&amp;col=19&amp;number=&amp;sourceID=12","")</f>
        <v/>
      </c>
      <c r="T78" s="4" t="str">
        <f>HYPERLINK("http://141.218.60.56/~jnz1568/getInfo.php?workbook=06_01.xlsx&amp;sheet=A0&amp;row=78&amp;col=20&amp;number=0.00032899&amp;sourceID=12","0.00032899")</f>
        <v>0.00032899</v>
      </c>
      <c r="U78" s="4" t="str">
        <f>HYPERLINK("http://141.218.60.56/~jnz1568/getInfo.php?workbook=06_01.xlsx&amp;sheet=A0&amp;row=78&amp;col=21&amp;number==&amp;sourceID=13","=")</f>
        <v>=</v>
      </c>
      <c r="V78" s="4" t="str">
        <f>HYPERLINK("http://141.218.60.56/~jnz1568/getInfo.php?workbook=06_01.xlsx&amp;sheet=A0&amp;row=78&amp;col=22&amp;number=&amp;sourceID=13","")</f>
        <v/>
      </c>
      <c r="W78" s="4" t="str">
        <f>HYPERLINK("http://141.218.60.56/~jnz1568/getInfo.php?workbook=06_01.xlsx&amp;sheet=A0&amp;row=78&amp;col=23&amp;number=2250000&amp;sourceID=13","2250000")</f>
        <v>2250000</v>
      </c>
      <c r="X78" s="4" t="str">
        <f>HYPERLINK("http://141.218.60.56/~jnz1568/getInfo.php?workbook=06_01.xlsx&amp;sheet=A0&amp;row=78&amp;col=24&amp;number=&amp;sourceID=13","")</f>
        <v/>
      </c>
      <c r="Y78" s="4" t="str">
        <f>HYPERLINK("http://141.218.60.56/~jnz1568/getInfo.php?workbook=06_01.xlsx&amp;sheet=A0&amp;row=78&amp;col=25&amp;number=&amp;sourceID=13","")</f>
        <v/>
      </c>
      <c r="Z78" s="4" t="str">
        <f>HYPERLINK("http://141.218.60.56/~jnz1568/getInfo.php?workbook=06_01.xlsx&amp;sheet=A0&amp;row=78&amp;col=26&amp;number=&amp;sourceID=13","")</f>
        <v/>
      </c>
    </row>
    <row r="79" spans="1:26">
      <c r="A79" s="3">
        <v>6</v>
      </c>
      <c r="B79" s="3">
        <v>1</v>
      </c>
      <c r="C79" s="3">
        <v>14</v>
      </c>
      <c r="D79" s="3">
        <v>3</v>
      </c>
      <c r="E79" s="3">
        <f>((1/(INDEX(E0!J$4:J$28,C79,1)-INDEX(E0!J$4:J$28,D79,1))))*100000000</f>
        <v>0</v>
      </c>
      <c r="F79" s="4" t="str">
        <f>HYPERLINK("http://141.218.60.56/~jnz1568/getInfo.php?workbook=06_01.xlsx&amp;sheet=A0&amp;row=79&amp;col=6&amp;number=&amp;sourceID=18","")</f>
        <v/>
      </c>
      <c r="G79" s="4" t="str">
        <f>HYPERLINK("http://141.218.60.56/~jnz1568/getInfo.php?workbook=06_01.xlsx&amp;sheet=A0&amp;row=79&amp;col=7&amp;number==&amp;sourceID=11","=")</f>
        <v>=</v>
      </c>
      <c r="H79" s="4" t="str">
        <f>HYPERLINK("http://141.218.60.56/~jnz1568/getInfo.php?workbook=06_01.xlsx&amp;sheet=A0&amp;row=79&amp;col=8&amp;number=&amp;sourceID=11","")</f>
        <v/>
      </c>
      <c r="I79" s="4" t="str">
        <f>HYPERLINK("http://141.218.60.56/~jnz1568/getInfo.php?workbook=06_01.xlsx&amp;sheet=A0&amp;row=79&amp;col=9&amp;number=&amp;sourceID=11","")</f>
        <v/>
      </c>
      <c r="J79" s="4" t="str">
        <f>HYPERLINK("http://141.218.60.56/~jnz1568/getInfo.php?workbook=06_01.xlsx&amp;sheet=A0&amp;row=79&amp;col=10&amp;number=205.91&amp;sourceID=11","205.91")</f>
        <v>205.91</v>
      </c>
      <c r="K79" s="4" t="str">
        <f>HYPERLINK("http://141.218.60.56/~jnz1568/getInfo.php?workbook=06_01.xlsx&amp;sheet=A0&amp;row=79&amp;col=11&amp;number=&amp;sourceID=11","")</f>
        <v/>
      </c>
      <c r="L79" s="4" t="str">
        <f>HYPERLINK("http://141.218.60.56/~jnz1568/getInfo.php?workbook=06_01.xlsx&amp;sheet=A0&amp;row=79&amp;col=12&amp;number=1.8122e-07&amp;sourceID=11","1.8122e-07")</f>
        <v>1.8122e-07</v>
      </c>
      <c r="M79" s="4" t="str">
        <f>HYPERLINK("http://141.218.60.56/~jnz1568/getInfo.php?workbook=06_01.xlsx&amp;sheet=A0&amp;row=79&amp;col=13&amp;number=&amp;sourceID=11","")</f>
        <v/>
      </c>
      <c r="N79" s="4" t="str">
        <f>HYPERLINK("http://141.218.60.56/~jnz1568/getInfo.php?workbook=06_01.xlsx&amp;sheet=A0&amp;row=79&amp;col=14&amp;number=205.92&amp;sourceID=12","205.92")</f>
        <v>205.92</v>
      </c>
      <c r="O79" s="4" t="str">
        <f>HYPERLINK("http://141.218.60.56/~jnz1568/getInfo.php?workbook=06_01.xlsx&amp;sheet=A0&amp;row=79&amp;col=15&amp;number=&amp;sourceID=12","")</f>
        <v/>
      </c>
      <c r="P79" s="4" t="str">
        <f>HYPERLINK("http://141.218.60.56/~jnz1568/getInfo.php?workbook=06_01.xlsx&amp;sheet=A0&amp;row=79&amp;col=16&amp;number=&amp;sourceID=12","")</f>
        <v/>
      </c>
      <c r="Q79" s="4" t="str">
        <f>HYPERLINK("http://141.218.60.56/~jnz1568/getInfo.php?workbook=06_01.xlsx&amp;sheet=A0&amp;row=79&amp;col=17&amp;number=205.92&amp;sourceID=12","205.92")</f>
        <v>205.92</v>
      </c>
      <c r="R79" s="4" t="str">
        <f>HYPERLINK("http://141.218.60.56/~jnz1568/getInfo.php?workbook=06_01.xlsx&amp;sheet=A0&amp;row=79&amp;col=18&amp;number=&amp;sourceID=12","")</f>
        <v/>
      </c>
      <c r="S79" s="4" t="str">
        <f>HYPERLINK("http://141.218.60.56/~jnz1568/getInfo.php?workbook=06_01.xlsx&amp;sheet=A0&amp;row=79&amp;col=19&amp;number=1.8121e-07&amp;sourceID=12","1.8121e-07")</f>
        <v>1.8121e-07</v>
      </c>
      <c r="T79" s="4" t="str">
        <f>HYPERLINK("http://141.218.60.56/~jnz1568/getInfo.php?workbook=06_01.xlsx&amp;sheet=A0&amp;row=79&amp;col=20&amp;number=&amp;sourceID=12","")</f>
        <v/>
      </c>
      <c r="U79" s="4" t="str">
        <f>HYPERLINK("http://141.218.60.56/~jnz1568/getInfo.php?workbook=06_01.xlsx&amp;sheet=A0&amp;row=79&amp;col=21&amp;number==&amp;sourceID=13","=")</f>
        <v>=</v>
      </c>
      <c r="V79" s="4" t="str">
        <f>HYPERLINK("http://141.218.60.56/~jnz1568/getInfo.php?workbook=06_01.xlsx&amp;sheet=A0&amp;row=79&amp;col=22&amp;number=&amp;sourceID=13","")</f>
        <v/>
      </c>
      <c r="W79" s="4" t="str">
        <f>HYPERLINK("http://141.218.60.56/~jnz1568/getInfo.php?workbook=06_01.xlsx&amp;sheet=A0&amp;row=79&amp;col=23&amp;number=&amp;sourceID=13","")</f>
        <v/>
      </c>
      <c r="X79" s="4" t="str">
        <f>HYPERLINK("http://141.218.60.56/~jnz1568/getInfo.php?workbook=06_01.xlsx&amp;sheet=A0&amp;row=79&amp;col=24&amp;number=207&amp;sourceID=13","207")</f>
        <v>207</v>
      </c>
      <c r="Y79" s="4" t="str">
        <f>HYPERLINK("http://141.218.60.56/~jnz1568/getInfo.php?workbook=06_01.xlsx&amp;sheet=A0&amp;row=79&amp;col=25&amp;number=&amp;sourceID=13","")</f>
        <v/>
      </c>
      <c r="Z79" s="4" t="str">
        <f>HYPERLINK("http://141.218.60.56/~jnz1568/getInfo.php?workbook=06_01.xlsx&amp;sheet=A0&amp;row=79&amp;col=26&amp;number=&amp;sourceID=13","")</f>
        <v/>
      </c>
    </row>
    <row r="80" spans="1:26">
      <c r="A80" s="3">
        <v>6</v>
      </c>
      <c r="B80" s="3">
        <v>1</v>
      </c>
      <c r="C80" s="3">
        <v>14</v>
      </c>
      <c r="D80" s="3">
        <v>4</v>
      </c>
      <c r="E80" s="3">
        <f>((1/(INDEX(E0!J$4:J$28,C80,1)-INDEX(E0!J$4:J$28,D80,1))))*100000000</f>
        <v>0</v>
      </c>
      <c r="F80" s="4" t="str">
        <f>HYPERLINK("http://141.218.60.56/~jnz1568/getInfo.php?workbook=06_01.xlsx&amp;sheet=A0&amp;row=80&amp;col=6&amp;number=&amp;sourceID=18","")</f>
        <v/>
      </c>
      <c r="G80" s="4" t="str">
        <f>HYPERLINK("http://141.218.60.56/~jnz1568/getInfo.php?workbook=06_01.xlsx&amp;sheet=A0&amp;row=80&amp;col=7&amp;number==&amp;sourceID=11","=")</f>
        <v>=</v>
      </c>
      <c r="H80" s="4" t="str">
        <f>HYPERLINK("http://141.218.60.56/~jnz1568/getInfo.php?workbook=06_01.xlsx&amp;sheet=A0&amp;row=80&amp;col=8&amp;number=&amp;sourceID=11","")</f>
        <v/>
      </c>
      <c r="I80" s="4" t="str">
        <f>HYPERLINK("http://141.218.60.56/~jnz1568/getInfo.php?workbook=06_01.xlsx&amp;sheet=A0&amp;row=80&amp;col=9&amp;number=640730&amp;sourceID=11","640730")</f>
        <v>640730</v>
      </c>
      <c r="J80" s="4" t="str">
        <f>HYPERLINK("http://141.218.60.56/~jnz1568/getInfo.php?workbook=06_01.xlsx&amp;sheet=A0&amp;row=80&amp;col=10&amp;number=&amp;sourceID=11","")</f>
        <v/>
      </c>
      <c r="K80" s="4" t="str">
        <f>HYPERLINK("http://141.218.60.56/~jnz1568/getInfo.php?workbook=06_01.xlsx&amp;sheet=A0&amp;row=80&amp;col=11&amp;number=0.0026711&amp;sourceID=11","0.0026711")</f>
        <v>0.0026711</v>
      </c>
      <c r="L80" s="4" t="str">
        <f>HYPERLINK("http://141.218.60.56/~jnz1568/getInfo.php?workbook=06_01.xlsx&amp;sheet=A0&amp;row=80&amp;col=12&amp;number=&amp;sourceID=11","")</f>
        <v/>
      </c>
      <c r="M80" s="4" t="str">
        <f>HYPERLINK("http://141.218.60.56/~jnz1568/getInfo.php?workbook=06_01.xlsx&amp;sheet=A0&amp;row=80&amp;col=13&amp;number=6.5729e-05&amp;sourceID=11","6.5729e-05")</f>
        <v>6.5729e-05</v>
      </c>
      <c r="N80" s="4" t="str">
        <f>HYPERLINK("http://141.218.60.56/~jnz1568/getInfo.php?workbook=06_01.xlsx&amp;sheet=A0&amp;row=80&amp;col=14&amp;number=640760&amp;sourceID=12","640760")</f>
        <v>640760</v>
      </c>
      <c r="O80" s="4" t="str">
        <f>HYPERLINK("http://141.218.60.56/~jnz1568/getInfo.php?workbook=06_01.xlsx&amp;sheet=A0&amp;row=80&amp;col=15&amp;number=&amp;sourceID=12","")</f>
        <v/>
      </c>
      <c r="P80" s="4" t="str">
        <f>HYPERLINK("http://141.218.60.56/~jnz1568/getInfo.php?workbook=06_01.xlsx&amp;sheet=A0&amp;row=80&amp;col=16&amp;number=640760&amp;sourceID=12","640760")</f>
        <v>640760</v>
      </c>
      <c r="Q80" s="4" t="str">
        <f>HYPERLINK("http://141.218.60.56/~jnz1568/getInfo.php?workbook=06_01.xlsx&amp;sheet=A0&amp;row=80&amp;col=17&amp;number=&amp;sourceID=12","")</f>
        <v/>
      </c>
      <c r="R80" s="4" t="str">
        <f>HYPERLINK("http://141.218.60.56/~jnz1568/getInfo.php?workbook=06_01.xlsx&amp;sheet=A0&amp;row=80&amp;col=18&amp;number=0.0026711&amp;sourceID=12","0.0026711")</f>
        <v>0.0026711</v>
      </c>
      <c r="S80" s="4" t="str">
        <f>HYPERLINK("http://141.218.60.56/~jnz1568/getInfo.php?workbook=06_01.xlsx&amp;sheet=A0&amp;row=80&amp;col=19&amp;number=&amp;sourceID=12","")</f>
        <v/>
      </c>
      <c r="T80" s="4" t="str">
        <f>HYPERLINK("http://141.218.60.56/~jnz1568/getInfo.php?workbook=06_01.xlsx&amp;sheet=A0&amp;row=80&amp;col=20&amp;number=6.5732e-05&amp;sourceID=12","6.5732e-05")</f>
        <v>6.5732e-05</v>
      </c>
      <c r="U80" s="4" t="str">
        <f>HYPERLINK("http://141.218.60.56/~jnz1568/getInfo.php?workbook=06_01.xlsx&amp;sheet=A0&amp;row=80&amp;col=21&amp;number==&amp;sourceID=13","=")</f>
        <v>=</v>
      </c>
      <c r="V80" s="4" t="str">
        <f>HYPERLINK("http://141.218.60.56/~jnz1568/getInfo.php?workbook=06_01.xlsx&amp;sheet=A0&amp;row=80&amp;col=22&amp;number=&amp;sourceID=13","")</f>
        <v/>
      </c>
      <c r="W80" s="4" t="str">
        <f>HYPERLINK("http://141.218.60.56/~jnz1568/getInfo.php?workbook=06_01.xlsx&amp;sheet=A0&amp;row=80&amp;col=23&amp;number=641000&amp;sourceID=13","641000")</f>
        <v>641000</v>
      </c>
      <c r="X80" s="4" t="str">
        <f>HYPERLINK("http://141.218.60.56/~jnz1568/getInfo.php?workbook=06_01.xlsx&amp;sheet=A0&amp;row=80&amp;col=24&amp;number=&amp;sourceID=13","")</f>
        <v/>
      </c>
      <c r="Y80" s="4" t="str">
        <f>HYPERLINK("http://141.218.60.56/~jnz1568/getInfo.php?workbook=06_01.xlsx&amp;sheet=A0&amp;row=80&amp;col=25&amp;number=0.00554&amp;sourceID=13","0.00554")</f>
        <v>0.00554</v>
      </c>
      <c r="Z80" s="4" t="str">
        <f>HYPERLINK("http://141.218.60.56/~jnz1568/getInfo.php?workbook=06_01.xlsx&amp;sheet=A0&amp;row=80&amp;col=26&amp;number=&amp;sourceID=13","")</f>
        <v/>
      </c>
    </row>
    <row r="81" spans="1:26">
      <c r="A81" s="3">
        <v>6</v>
      </c>
      <c r="B81" s="3">
        <v>1</v>
      </c>
      <c r="C81" s="3">
        <v>14</v>
      </c>
      <c r="D81" s="3">
        <v>5</v>
      </c>
      <c r="E81" s="3">
        <f>((1/(INDEX(E0!J$4:J$28,C81,1)-INDEX(E0!J$4:J$28,D81,1))))*100000000</f>
        <v>0</v>
      </c>
      <c r="F81" s="4" t="str">
        <f>HYPERLINK("http://141.218.60.56/~jnz1568/getInfo.php?workbook=06_01.xlsx&amp;sheet=A0&amp;row=81&amp;col=6&amp;number=&amp;sourceID=18","")</f>
        <v/>
      </c>
      <c r="G81" s="4" t="str">
        <f>HYPERLINK("http://141.218.60.56/~jnz1568/getInfo.php?workbook=06_01.xlsx&amp;sheet=A0&amp;row=81&amp;col=7&amp;number==&amp;sourceID=11","=")</f>
        <v>=</v>
      </c>
      <c r="H81" s="4" t="str">
        <f>HYPERLINK("http://141.218.60.56/~jnz1568/getInfo.php?workbook=06_01.xlsx&amp;sheet=A0&amp;row=81&amp;col=8&amp;number=&amp;sourceID=11","")</f>
        <v/>
      </c>
      <c r="I81" s="4" t="str">
        <f>HYPERLINK("http://141.218.60.56/~jnz1568/getInfo.php?workbook=06_01.xlsx&amp;sheet=A0&amp;row=81&amp;col=9&amp;number=210630&amp;sourceID=11","210630")</f>
        <v>210630</v>
      </c>
      <c r="J81" s="4" t="str">
        <f>HYPERLINK("http://141.218.60.56/~jnz1568/getInfo.php?workbook=06_01.xlsx&amp;sheet=A0&amp;row=81&amp;col=10&amp;number=&amp;sourceID=11","")</f>
        <v/>
      </c>
      <c r="K81" s="4" t="str">
        <f>HYPERLINK("http://141.218.60.56/~jnz1568/getInfo.php?workbook=06_01.xlsx&amp;sheet=A0&amp;row=81&amp;col=11&amp;number=&amp;sourceID=11","")</f>
        <v/>
      </c>
      <c r="L81" s="4" t="str">
        <f>HYPERLINK("http://141.218.60.56/~jnz1568/getInfo.php?workbook=06_01.xlsx&amp;sheet=A0&amp;row=81&amp;col=12&amp;number=&amp;sourceID=11","")</f>
        <v/>
      </c>
      <c r="M81" s="4" t="str">
        <f>HYPERLINK("http://141.218.60.56/~jnz1568/getInfo.php?workbook=06_01.xlsx&amp;sheet=A0&amp;row=81&amp;col=13&amp;number=2.0777e-06&amp;sourceID=11","2.0777e-06")</f>
        <v>2.0777e-06</v>
      </c>
      <c r="N81" s="4" t="str">
        <f>HYPERLINK("http://141.218.60.56/~jnz1568/getInfo.php?workbook=06_01.xlsx&amp;sheet=A0&amp;row=81&amp;col=14&amp;number=210640&amp;sourceID=12","210640")</f>
        <v>210640</v>
      </c>
      <c r="O81" s="4" t="str">
        <f>HYPERLINK("http://141.218.60.56/~jnz1568/getInfo.php?workbook=06_01.xlsx&amp;sheet=A0&amp;row=81&amp;col=15&amp;number=&amp;sourceID=12","")</f>
        <v/>
      </c>
      <c r="P81" s="4" t="str">
        <f>HYPERLINK("http://141.218.60.56/~jnz1568/getInfo.php?workbook=06_01.xlsx&amp;sheet=A0&amp;row=81&amp;col=16&amp;number=210640&amp;sourceID=12","210640")</f>
        <v>210640</v>
      </c>
      <c r="Q81" s="4" t="str">
        <f>HYPERLINK("http://141.218.60.56/~jnz1568/getInfo.php?workbook=06_01.xlsx&amp;sheet=A0&amp;row=81&amp;col=17&amp;number=&amp;sourceID=12","")</f>
        <v/>
      </c>
      <c r="R81" s="4" t="str">
        <f>HYPERLINK("http://141.218.60.56/~jnz1568/getInfo.php?workbook=06_01.xlsx&amp;sheet=A0&amp;row=81&amp;col=18&amp;number=&amp;sourceID=12","")</f>
        <v/>
      </c>
      <c r="S81" s="4" t="str">
        <f>HYPERLINK("http://141.218.60.56/~jnz1568/getInfo.php?workbook=06_01.xlsx&amp;sheet=A0&amp;row=81&amp;col=19&amp;number=&amp;sourceID=12","")</f>
        <v/>
      </c>
      <c r="T81" s="4" t="str">
        <f>HYPERLINK("http://141.218.60.56/~jnz1568/getInfo.php?workbook=06_01.xlsx&amp;sheet=A0&amp;row=81&amp;col=20&amp;number=2.0778e-06&amp;sourceID=12","2.0778e-06")</f>
        <v>2.0778e-06</v>
      </c>
      <c r="U81" s="4" t="str">
        <f>HYPERLINK("http://141.218.60.56/~jnz1568/getInfo.php?workbook=06_01.xlsx&amp;sheet=A0&amp;row=81&amp;col=21&amp;number==&amp;sourceID=13","=")</f>
        <v>=</v>
      </c>
      <c r="V81" s="4" t="str">
        <f>HYPERLINK("http://141.218.60.56/~jnz1568/getInfo.php?workbook=06_01.xlsx&amp;sheet=A0&amp;row=81&amp;col=22&amp;number=&amp;sourceID=13","")</f>
        <v/>
      </c>
      <c r="W81" s="4" t="str">
        <f>HYPERLINK("http://141.218.60.56/~jnz1568/getInfo.php?workbook=06_01.xlsx&amp;sheet=A0&amp;row=81&amp;col=23&amp;number=211000&amp;sourceID=13","211000")</f>
        <v>211000</v>
      </c>
      <c r="X81" s="4" t="str">
        <f>HYPERLINK("http://141.218.60.56/~jnz1568/getInfo.php?workbook=06_01.xlsx&amp;sheet=A0&amp;row=81&amp;col=24&amp;number=&amp;sourceID=13","")</f>
        <v/>
      </c>
      <c r="Y81" s="4" t="str">
        <f>HYPERLINK("http://141.218.60.56/~jnz1568/getInfo.php?workbook=06_01.xlsx&amp;sheet=A0&amp;row=81&amp;col=25&amp;number=&amp;sourceID=13","")</f>
        <v/>
      </c>
      <c r="Z81" s="4" t="str">
        <f>HYPERLINK("http://141.218.60.56/~jnz1568/getInfo.php?workbook=06_01.xlsx&amp;sheet=A0&amp;row=81&amp;col=26&amp;number=&amp;sourceID=13","")</f>
        <v/>
      </c>
    </row>
    <row r="82" spans="1:26">
      <c r="A82" s="3">
        <v>6</v>
      </c>
      <c r="B82" s="3">
        <v>1</v>
      </c>
      <c r="C82" s="3">
        <v>14</v>
      </c>
      <c r="D82" s="3">
        <v>6</v>
      </c>
      <c r="E82" s="3">
        <f>((1/(INDEX(E0!J$4:J$28,C82,1)-INDEX(E0!J$4:J$28,D82,1))))*100000000</f>
        <v>0</v>
      </c>
      <c r="F82" s="4" t="str">
        <f>HYPERLINK("http://141.218.60.56/~jnz1568/getInfo.php?workbook=06_01.xlsx&amp;sheet=A0&amp;row=82&amp;col=6&amp;number=&amp;sourceID=18","")</f>
        <v/>
      </c>
      <c r="G82" s="4" t="str">
        <f>HYPERLINK("http://141.218.60.56/~jnz1568/getInfo.php?workbook=06_01.xlsx&amp;sheet=A0&amp;row=82&amp;col=7&amp;number==&amp;sourceID=11","=")</f>
        <v>=</v>
      </c>
      <c r="H82" s="4" t="str">
        <f>HYPERLINK("http://141.218.60.56/~jnz1568/getInfo.php?workbook=06_01.xlsx&amp;sheet=A0&amp;row=82&amp;col=8&amp;number=&amp;sourceID=11","")</f>
        <v/>
      </c>
      <c r="I82" s="4" t="str">
        <f>HYPERLINK("http://141.218.60.56/~jnz1568/getInfo.php?workbook=06_01.xlsx&amp;sheet=A0&amp;row=82&amp;col=9&amp;number=&amp;sourceID=11","")</f>
        <v/>
      </c>
      <c r="J82" s="4" t="str">
        <f>HYPERLINK("http://141.218.60.56/~jnz1568/getInfo.php?workbook=06_01.xlsx&amp;sheet=A0&amp;row=82&amp;col=10&amp;number=1.8875&amp;sourceID=11","1.8875")</f>
        <v>1.8875</v>
      </c>
      <c r="K82" s="4" t="str">
        <f>HYPERLINK("http://141.218.60.56/~jnz1568/getInfo.php?workbook=06_01.xlsx&amp;sheet=A0&amp;row=82&amp;col=11&amp;number=&amp;sourceID=11","")</f>
        <v/>
      </c>
      <c r="L82" s="4" t="str">
        <f>HYPERLINK("http://141.218.60.56/~jnz1568/getInfo.php?workbook=06_01.xlsx&amp;sheet=A0&amp;row=82&amp;col=12&amp;number=8.4279e-10&amp;sourceID=11","8.4279e-10")</f>
        <v>8.4279e-10</v>
      </c>
      <c r="M82" s="4" t="str">
        <f>HYPERLINK("http://141.218.60.56/~jnz1568/getInfo.php?workbook=06_01.xlsx&amp;sheet=A0&amp;row=82&amp;col=13&amp;number=&amp;sourceID=11","")</f>
        <v/>
      </c>
      <c r="N82" s="4" t="str">
        <f>HYPERLINK("http://141.218.60.56/~jnz1568/getInfo.php?workbook=06_01.xlsx&amp;sheet=A0&amp;row=82&amp;col=14&amp;number=1.8876&amp;sourceID=12","1.8876")</f>
        <v>1.8876</v>
      </c>
      <c r="O82" s="4" t="str">
        <f>HYPERLINK("http://141.218.60.56/~jnz1568/getInfo.php?workbook=06_01.xlsx&amp;sheet=A0&amp;row=82&amp;col=15&amp;number=&amp;sourceID=12","")</f>
        <v/>
      </c>
      <c r="P82" s="4" t="str">
        <f>HYPERLINK("http://141.218.60.56/~jnz1568/getInfo.php?workbook=06_01.xlsx&amp;sheet=A0&amp;row=82&amp;col=16&amp;number=&amp;sourceID=12","")</f>
        <v/>
      </c>
      <c r="Q82" s="4" t="str">
        <f>HYPERLINK("http://141.218.60.56/~jnz1568/getInfo.php?workbook=06_01.xlsx&amp;sheet=A0&amp;row=82&amp;col=17&amp;number=1.8876&amp;sourceID=12","1.8876")</f>
        <v>1.8876</v>
      </c>
      <c r="R82" s="4" t="str">
        <f>HYPERLINK("http://141.218.60.56/~jnz1568/getInfo.php?workbook=06_01.xlsx&amp;sheet=A0&amp;row=82&amp;col=18&amp;number=&amp;sourceID=12","")</f>
        <v/>
      </c>
      <c r="S82" s="4" t="str">
        <f>HYPERLINK("http://141.218.60.56/~jnz1568/getInfo.php?workbook=06_01.xlsx&amp;sheet=A0&amp;row=82&amp;col=19&amp;number=8.4283e-10&amp;sourceID=12","8.4283e-10")</f>
        <v>8.4283e-10</v>
      </c>
      <c r="T82" s="4" t="str">
        <f>HYPERLINK("http://141.218.60.56/~jnz1568/getInfo.php?workbook=06_01.xlsx&amp;sheet=A0&amp;row=82&amp;col=20&amp;number=&amp;sourceID=12","")</f>
        <v/>
      </c>
      <c r="U82" s="4" t="str">
        <f>HYPERLINK("http://141.218.60.56/~jnz1568/getInfo.php?workbook=06_01.xlsx&amp;sheet=A0&amp;row=82&amp;col=21&amp;number==&amp;sourceID=13","=")</f>
        <v>=</v>
      </c>
      <c r="V82" s="4" t="str">
        <f>HYPERLINK("http://141.218.60.56/~jnz1568/getInfo.php?workbook=06_01.xlsx&amp;sheet=A0&amp;row=82&amp;col=22&amp;number=&amp;sourceID=13","")</f>
        <v/>
      </c>
      <c r="W82" s="4" t="str">
        <f>HYPERLINK("http://141.218.60.56/~jnz1568/getInfo.php?workbook=06_01.xlsx&amp;sheet=A0&amp;row=82&amp;col=23&amp;number=&amp;sourceID=13","")</f>
        <v/>
      </c>
      <c r="X82" s="4" t="str">
        <f>HYPERLINK("http://141.218.60.56/~jnz1568/getInfo.php?workbook=06_01.xlsx&amp;sheet=A0&amp;row=82&amp;col=24&amp;number=1.89&amp;sourceID=13","1.89")</f>
        <v>1.89</v>
      </c>
      <c r="Y82" s="4" t="str">
        <f>HYPERLINK("http://141.218.60.56/~jnz1568/getInfo.php?workbook=06_01.xlsx&amp;sheet=A0&amp;row=82&amp;col=25&amp;number=&amp;sourceID=13","")</f>
        <v/>
      </c>
      <c r="Z82" s="4" t="str">
        <f>HYPERLINK("http://141.218.60.56/~jnz1568/getInfo.php?workbook=06_01.xlsx&amp;sheet=A0&amp;row=82&amp;col=26&amp;number=&amp;sourceID=13","")</f>
        <v/>
      </c>
    </row>
    <row r="83" spans="1:26">
      <c r="A83" s="3">
        <v>6</v>
      </c>
      <c r="B83" s="3">
        <v>1</v>
      </c>
      <c r="C83" s="3">
        <v>14</v>
      </c>
      <c r="D83" s="3">
        <v>7</v>
      </c>
      <c r="E83" s="3">
        <f>((1/(INDEX(E0!J$4:J$28,C83,1)-INDEX(E0!J$4:J$28,D83,1))))*100000000</f>
        <v>0</v>
      </c>
      <c r="F83" s="4" t="str">
        <f>HYPERLINK("http://141.218.60.56/~jnz1568/getInfo.php?workbook=06_01.xlsx&amp;sheet=A0&amp;row=83&amp;col=6&amp;number=&amp;sourceID=18","")</f>
        <v/>
      </c>
      <c r="G83" s="4" t="str">
        <f>HYPERLINK("http://141.218.60.56/~jnz1568/getInfo.php?workbook=06_01.xlsx&amp;sheet=A0&amp;row=83&amp;col=7&amp;number==&amp;sourceID=11","=")</f>
        <v>=</v>
      </c>
      <c r="H83" s="4" t="str">
        <f>HYPERLINK("http://141.218.60.56/~jnz1568/getInfo.php?workbook=06_01.xlsx&amp;sheet=A0&amp;row=83&amp;col=8&amp;number=16690000000&amp;sourceID=11","16690000000")</f>
        <v>16690000000</v>
      </c>
      <c r="I83" s="4" t="str">
        <f>HYPERLINK("http://141.218.60.56/~jnz1568/getInfo.php?workbook=06_01.xlsx&amp;sheet=A0&amp;row=83&amp;col=9&amp;number=&amp;sourceID=11","")</f>
        <v/>
      </c>
      <c r="J83" s="4" t="str">
        <f>HYPERLINK("http://141.218.60.56/~jnz1568/getInfo.php?workbook=06_01.xlsx&amp;sheet=A0&amp;row=83&amp;col=10&amp;number=0.54359&amp;sourceID=11","0.54359")</f>
        <v>0.54359</v>
      </c>
      <c r="K83" s="4" t="str">
        <f>HYPERLINK("http://141.218.60.56/~jnz1568/getInfo.php?workbook=06_01.xlsx&amp;sheet=A0&amp;row=83&amp;col=11&amp;number=&amp;sourceID=11","")</f>
        <v/>
      </c>
      <c r="L83" s="4" t="str">
        <f>HYPERLINK("http://141.218.60.56/~jnz1568/getInfo.php?workbook=06_01.xlsx&amp;sheet=A0&amp;row=83&amp;col=12&amp;number=1.6183&amp;sourceID=11","1.6183")</f>
        <v>1.6183</v>
      </c>
      <c r="M83" s="4" t="str">
        <f>HYPERLINK("http://141.218.60.56/~jnz1568/getInfo.php?workbook=06_01.xlsx&amp;sheet=A0&amp;row=83&amp;col=13&amp;number=&amp;sourceID=11","")</f>
        <v/>
      </c>
      <c r="N83" s="4" t="str">
        <f>HYPERLINK("http://141.218.60.56/~jnz1568/getInfo.php?workbook=06_01.xlsx&amp;sheet=A0&amp;row=83&amp;col=14&amp;number=16691000000&amp;sourceID=12","16691000000")</f>
        <v>16691000000</v>
      </c>
      <c r="O83" s="4" t="str">
        <f>HYPERLINK("http://141.218.60.56/~jnz1568/getInfo.php?workbook=06_01.xlsx&amp;sheet=A0&amp;row=83&amp;col=15&amp;number=16691000000&amp;sourceID=12","16691000000")</f>
        <v>16691000000</v>
      </c>
      <c r="P83" s="4" t="str">
        <f>HYPERLINK("http://141.218.60.56/~jnz1568/getInfo.php?workbook=06_01.xlsx&amp;sheet=A0&amp;row=83&amp;col=16&amp;number=&amp;sourceID=12","")</f>
        <v/>
      </c>
      <c r="Q83" s="4" t="str">
        <f>HYPERLINK("http://141.218.60.56/~jnz1568/getInfo.php?workbook=06_01.xlsx&amp;sheet=A0&amp;row=83&amp;col=17&amp;number=0.54362&amp;sourceID=12","0.54362")</f>
        <v>0.54362</v>
      </c>
      <c r="R83" s="4" t="str">
        <f>HYPERLINK("http://141.218.60.56/~jnz1568/getInfo.php?workbook=06_01.xlsx&amp;sheet=A0&amp;row=83&amp;col=18&amp;number=&amp;sourceID=12","")</f>
        <v/>
      </c>
      <c r="S83" s="4" t="str">
        <f>HYPERLINK("http://141.218.60.56/~jnz1568/getInfo.php?workbook=06_01.xlsx&amp;sheet=A0&amp;row=83&amp;col=19&amp;number=1.6184&amp;sourceID=12","1.6184")</f>
        <v>1.6184</v>
      </c>
      <c r="T83" s="4" t="str">
        <f>HYPERLINK("http://141.218.60.56/~jnz1568/getInfo.php?workbook=06_01.xlsx&amp;sheet=A0&amp;row=83&amp;col=20&amp;number=&amp;sourceID=12","")</f>
        <v/>
      </c>
      <c r="U83" s="4" t="str">
        <f>HYPERLINK("http://141.218.60.56/~jnz1568/getInfo.php?workbook=06_01.xlsx&amp;sheet=A0&amp;row=83&amp;col=21&amp;number==&amp;sourceID=13","=")</f>
        <v>=</v>
      </c>
      <c r="V83" s="4" t="str">
        <f>HYPERLINK("http://141.218.60.56/~jnz1568/getInfo.php?workbook=06_01.xlsx&amp;sheet=A0&amp;row=83&amp;col=22&amp;number=16700000000&amp;sourceID=13","16700000000")</f>
        <v>16700000000</v>
      </c>
      <c r="W83" s="4" t="str">
        <f>HYPERLINK("http://141.218.60.56/~jnz1568/getInfo.php?workbook=06_01.xlsx&amp;sheet=A0&amp;row=83&amp;col=23&amp;number=&amp;sourceID=13","")</f>
        <v/>
      </c>
      <c r="X83" s="4" t="str">
        <f>HYPERLINK("http://141.218.60.56/~jnz1568/getInfo.php?workbook=06_01.xlsx&amp;sheet=A0&amp;row=83&amp;col=24&amp;number=&amp;sourceID=13","")</f>
        <v/>
      </c>
      <c r="Y83" s="4" t="str">
        <f>HYPERLINK("http://141.218.60.56/~jnz1568/getInfo.php?workbook=06_01.xlsx&amp;sheet=A0&amp;row=83&amp;col=25&amp;number=&amp;sourceID=13","")</f>
        <v/>
      </c>
      <c r="Z83" s="4" t="str">
        <f>HYPERLINK("http://141.218.60.56/~jnz1568/getInfo.php?workbook=06_01.xlsx&amp;sheet=A0&amp;row=83&amp;col=26&amp;number=&amp;sourceID=13","")</f>
        <v/>
      </c>
    </row>
    <row r="84" spans="1:26">
      <c r="A84" s="3">
        <v>6</v>
      </c>
      <c r="B84" s="3">
        <v>1</v>
      </c>
      <c r="C84" s="3">
        <v>14</v>
      </c>
      <c r="D84" s="3">
        <v>8</v>
      </c>
      <c r="E84" s="3">
        <f>((1/(INDEX(E0!J$4:J$28,C84,1)-INDEX(E0!J$4:J$28,D84,1))))*100000000</f>
        <v>0</v>
      </c>
      <c r="F84" s="4" t="str">
        <f>HYPERLINK("http://141.218.60.56/~jnz1568/getInfo.php?workbook=06_01.xlsx&amp;sheet=A0&amp;row=84&amp;col=6&amp;number=&amp;sourceID=18","")</f>
        <v/>
      </c>
      <c r="G84" s="4" t="str">
        <f>HYPERLINK("http://141.218.60.56/~jnz1568/getInfo.php?workbook=06_01.xlsx&amp;sheet=A0&amp;row=84&amp;col=7&amp;number==&amp;sourceID=11","=")</f>
        <v>=</v>
      </c>
      <c r="H84" s="4" t="str">
        <f>HYPERLINK("http://141.218.60.56/~jnz1568/getInfo.php?workbook=06_01.xlsx&amp;sheet=A0&amp;row=84&amp;col=8&amp;number=&amp;sourceID=11","")</f>
        <v/>
      </c>
      <c r="I84" s="4" t="str">
        <f>HYPERLINK("http://141.218.60.56/~jnz1568/getInfo.php?workbook=06_01.xlsx&amp;sheet=A0&amp;row=84&amp;col=9&amp;number=60034&amp;sourceID=11","60034")</f>
        <v>60034</v>
      </c>
      <c r="J84" s="4" t="str">
        <f>HYPERLINK("http://141.218.60.56/~jnz1568/getInfo.php?workbook=06_01.xlsx&amp;sheet=A0&amp;row=84&amp;col=10&amp;number=&amp;sourceID=11","")</f>
        <v/>
      </c>
      <c r="K84" s="4" t="str">
        <f>HYPERLINK("http://141.218.60.56/~jnz1568/getInfo.php?workbook=06_01.xlsx&amp;sheet=A0&amp;row=84&amp;col=11&amp;number=8.771e-05&amp;sourceID=11","8.771e-05")</f>
        <v>8.771e-05</v>
      </c>
      <c r="L84" s="4" t="str">
        <f>HYPERLINK("http://141.218.60.56/~jnz1568/getInfo.php?workbook=06_01.xlsx&amp;sheet=A0&amp;row=84&amp;col=12&amp;number=&amp;sourceID=11","")</f>
        <v/>
      </c>
      <c r="M84" s="4" t="str">
        <f>HYPERLINK("http://141.218.60.56/~jnz1568/getInfo.php?workbook=06_01.xlsx&amp;sheet=A0&amp;row=84&amp;col=13&amp;number=4.1402e-07&amp;sourceID=11","4.1402e-07")</f>
        <v>4.1402e-07</v>
      </c>
      <c r="N84" s="4" t="str">
        <f>HYPERLINK("http://141.218.60.56/~jnz1568/getInfo.php?workbook=06_01.xlsx&amp;sheet=A0&amp;row=84&amp;col=14&amp;number=60037&amp;sourceID=12","60037")</f>
        <v>60037</v>
      </c>
      <c r="O84" s="4" t="str">
        <f>HYPERLINK("http://141.218.60.56/~jnz1568/getInfo.php?workbook=06_01.xlsx&amp;sheet=A0&amp;row=84&amp;col=15&amp;number=&amp;sourceID=12","")</f>
        <v/>
      </c>
      <c r="P84" s="4" t="str">
        <f>HYPERLINK("http://141.218.60.56/~jnz1568/getInfo.php?workbook=06_01.xlsx&amp;sheet=A0&amp;row=84&amp;col=16&amp;number=60037&amp;sourceID=12","60037")</f>
        <v>60037</v>
      </c>
      <c r="Q84" s="4" t="str">
        <f>HYPERLINK("http://141.218.60.56/~jnz1568/getInfo.php?workbook=06_01.xlsx&amp;sheet=A0&amp;row=84&amp;col=17&amp;number=&amp;sourceID=12","")</f>
        <v/>
      </c>
      <c r="R84" s="4" t="str">
        <f>HYPERLINK("http://141.218.60.56/~jnz1568/getInfo.php?workbook=06_01.xlsx&amp;sheet=A0&amp;row=84&amp;col=18&amp;number=8.7714e-05&amp;sourceID=12","8.7714e-05")</f>
        <v>8.7714e-05</v>
      </c>
      <c r="S84" s="4" t="str">
        <f>HYPERLINK("http://141.218.60.56/~jnz1568/getInfo.php?workbook=06_01.xlsx&amp;sheet=A0&amp;row=84&amp;col=19&amp;number=&amp;sourceID=12","")</f>
        <v/>
      </c>
      <c r="T84" s="4" t="str">
        <f>HYPERLINK("http://141.218.60.56/~jnz1568/getInfo.php?workbook=06_01.xlsx&amp;sheet=A0&amp;row=84&amp;col=20&amp;number=4.1403e-07&amp;sourceID=12","4.1403e-07")</f>
        <v>4.1403e-07</v>
      </c>
      <c r="U84" s="4" t="str">
        <f>HYPERLINK("http://141.218.60.56/~jnz1568/getInfo.php?workbook=06_01.xlsx&amp;sheet=A0&amp;row=84&amp;col=21&amp;number==&amp;sourceID=13","=")</f>
        <v>=</v>
      </c>
      <c r="V84" s="4" t="str">
        <f>HYPERLINK("http://141.218.60.56/~jnz1568/getInfo.php?workbook=06_01.xlsx&amp;sheet=A0&amp;row=84&amp;col=22&amp;number=&amp;sourceID=13","")</f>
        <v/>
      </c>
      <c r="W84" s="4" t="str">
        <f>HYPERLINK("http://141.218.60.56/~jnz1568/getInfo.php?workbook=06_01.xlsx&amp;sheet=A0&amp;row=84&amp;col=23&amp;number=60000&amp;sourceID=13","60000")</f>
        <v>60000</v>
      </c>
      <c r="X84" s="4" t="str">
        <f>HYPERLINK("http://141.218.60.56/~jnz1568/getInfo.php?workbook=06_01.xlsx&amp;sheet=A0&amp;row=84&amp;col=24&amp;number=&amp;sourceID=13","")</f>
        <v/>
      </c>
      <c r="Y84" s="4" t="str">
        <f>HYPERLINK("http://141.218.60.56/~jnz1568/getInfo.php?workbook=06_01.xlsx&amp;sheet=A0&amp;row=84&amp;col=25&amp;number=0.000145&amp;sourceID=13","0.000145")</f>
        <v>0.000145</v>
      </c>
      <c r="Z84" s="4" t="str">
        <f>HYPERLINK("http://141.218.60.56/~jnz1568/getInfo.php?workbook=06_01.xlsx&amp;sheet=A0&amp;row=84&amp;col=26&amp;number=&amp;sourceID=13","")</f>
        <v/>
      </c>
    </row>
    <row r="85" spans="1:26">
      <c r="A85" s="3">
        <v>6</v>
      </c>
      <c r="B85" s="3">
        <v>1</v>
      </c>
      <c r="C85" s="3">
        <v>14</v>
      </c>
      <c r="D85" s="3">
        <v>9</v>
      </c>
      <c r="E85" s="3">
        <f>((1/(INDEX(E0!J$4:J$28,C85,1)-INDEX(E0!J$4:J$28,D85,1))))*100000000</f>
        <v>0</v>
      </c>
      <c r="F85" s="4" t="str">
        <f>HYPERLINK("http://141.218.60.56/~jnz1568/getInfo.php?workbook=06_01.xlsx&amp;sheet=A0&amp;row=85&amp;col=6&amp;number=&amp;sourceID=18","")</f>
        <v/>
      </c>
      <c r="G85" s="4" t="str">
        <f>HYPERLINK("http://141.218.60.56/~jnz1568/getInfo.php?workbook=06_01.xlsx&amp;sheet=A0&amp;row=85&amp;col=7&amp;number==&amp;sourceID=11","=")</f>
        <v>=</v>
      </c>
      <c r="H85" s="4" t="str">
        <f>HYPERLINK("http://141.218.60.56/~jnz1568/getInfo.php?workbook=06_01.xlsx&amp;sheet=A0&amp;row=85&amp;col=8&amp;number=1191700000&amp;sourceID=11","1191700000")</f>
        <v>1191700000</v>
      </c>
      <c r="I85" s="4" t="str">
        <f>HYPERLINK("http://141.218.60.56/~jnz1568/getInfo.php?workbook=06_01.xlsx&amp;sheet=A0&amp;row=85&amp;col=9&amp;number=&amp;sourceID=11","")</f>
        <v/>
      </c>
      <c r="J85" s="4" t="str">
        <f>HYPERLINK("http://141.218.60.56/~jnz1568/getInfo.php?workbook=06_01.xlsx&amp;sheet=A0&amp;row=85&amp;col=10&amp;number=0.362&amp;sourceID=11","0.362")</f>
        <v>0.362</v>
      </c>
      <c r="K85" s="4" t="str">
        <f>HYPERLINK("http://141.218.60.56/~jnz1568/getInfo.php?workbook=06_01.xlsx&amp;sheet=A0&amp;row=85&amp;col=11&amp;number=&amp;sourceID=11","")</f>
        <v/>
      </c>
      <c r="L85" s="4" t="str">
        <f>HYPERLINK("http://141.218.60.56/~jnz1568/getInfo.php?workbook=06_01.xlsx&amp;sheet=A0&amp;row=85&amp;col=12&amp;number=&amp;sourceID=11","")</f>
        <v/>
      </c>
      <c r="M85" s="4" t="str">
        <f>HYPERLINK("http://141.218.60.56/~jnz1568/getInfo.php?workbook=06_01.xlsx&amp;sheet=A0&amp;row=85&amp;col=13&amp;number=&amp;sourceID=11","")</f>
        <v/>
      </c>
      <c r="N85" s="4" t="str">
        <f>HYPERLINK("http://141.218.60.56/~jnz1568/getInfo.php?workbook=06_01.xlsx&amp;sheet=A0&amp;row=85&amp;col=14&amp;number=1191800000&amp;sourceID=12","1191800000")</f>
        <v>1191800000</v>
      </c>
      <c r="O85" s="4" t="str">
        <f>HYPERLINK("http://141.218.60.56/~jnz1568/getInfo.php?workbook=06_01.xlsx&amp;sheet=A0&amp;row=85&amp;col=15&amp;number=1191800000&amp;sourceID=12","1191800000")</f>
        <v>1191800000</v>
      </c>
      <c r="P85" s="4" t="str">
        <f>HYPERLINK("http://141.218.60.56/~jnz1568/getInfo.php?workbook=06_01.xlsx&amp;sheet=A0&amp;row=85&amp;col=16&amp;number=&amp;sourceID=12","")</f>
        <v/>
      </c>
      <c r="Q85" s="4" t="str">
        <f>HYPERLINK("http://141.218.60.56/~jnz1568/getInfo.php?workbook=06_01.xlsx&amp;sheet=A0&amp;row=85&amp;col=17&amp;number=0.36202&amp;sourceID=12","0.36202")</f>
        <v>0.36202</v>
      </c>
      <c r="R85" s="4" t="str">
        <f>HYPERLINK("http://141.218.60.56/~jnz1568/getInfo.php?workbook=06_01.xlsx&amp;sheet=A0&amp;row=85&amp;col=18&amp;number=&amp;sourceID=12","")</f>
        <v/>
      </c>
      <c r="S85" s="4" t="str">
        <f>HYPERLINK("http://141.218.60.56/~jnz1568/getInfo.php?workbook=06_01.xlsx&amp;sheet=A0&amp;row=85&amp;col=19&amp;number=&amp;sourceID=12","")</f>
        <v/>
      </c>
      <c r="T85" s="4" t="str">
        <f>HYPERLINK("http://141.218.60.56/~jnz1568/getInfo.php?workbook=06_01.xlsx&amp;sheet=A0&amp;row=85&amp;col=20&amp;number=&amp;sourceID=12","")</f>
        <v/>
      </c>
      <c r="U85" s="4" t="str">
        <f>HYPERLINK("http://141.218.60.56/~jnz1568/getInfo.php?workbook=06_01.xlsx&amp;sheet=A0&amp;row=85&amp;col=21&amp;number==&amp;sourceID=13","=")</f>
        <v>=</v>
      </c>
      <c r="V85" s="4" t="str">
        <f>HYPERLINK("http://141.218.60.56/~jnz1568/getInfo.php?workbook=06_01.xlsx&amp;sheet=A0&amp;row=85&amp;col=22&amp;number=1190000000&amp;sourceID=13","1190000000")</f>
        <v>1190000000</v>
      </c>
      <c r="W85" s="4" t="str">
        <f>HYPERLINK("http://141.218.60.56/~jnz1568/getInfo.php?workbook=06_01.xlsx&amp;sheet=A0&amp;row=85&amp;col=23&amp;number=&amp;sourceID=13","")</f>
        <v/>
      </c>
      <c r="X85" s="4" t="str">
        <f>HYPERLINK("http://141.218.60.56/~jnz1568/getInfo.php?workbook=06_01.xlsx&amp;sheet=A0&amp;row=85&amp;col=24&amp;number=&amp;sourceID=13","")</f>
        <v/>
      </c>
      <c r="Y85" s="4" t="str">
        <f>HYPERLINK("http://141.218.60.56/~jnz1568/getInfo.php?workbook=06_01.xlsx&amp;sheet=A0&amp;row=85&amp;col=25&amp;number=&amp;sourceID=13","")</f>
        <v/>
      </c>
      <c r="Z85" s="4" t="str">
        <f>HYPERLINK("http://141.218.60.56/~jnz1568/getInfo.php?workbook=06_01.xlsx&amp;sheet=A0&amp;row=85&amp;col=26&amp;number=&amp;sourceID=13","")</f>
        <v/>
      </c>
    </row>
    <row r="86" spans="1:26">
      <c r="A86" s="3">
        <v>6</v>
      </c>
      <c r="B86" s="3">
        <v>1</v>
      </c>
      <c r="C86" s="3">
        <v>14</v>
      </c>
      <c r="D86" s="3">
        <v>10</v>
      </c>
      <c r="E86" s="3">
        <f>((1/(INDEX(E0!J$4:J$28,C86,1)-INDEX(E0!J$4:J$28,D86,1))))*100000000</f>
        <v>0</v>
      </c>
      <c r="F86" s="4" t="str">
        <f>HYPERLINK("http://141.218.60.56/~jnz1568/getInfo.php?workbook=06_01.xlsx&amp;sheet=A0&amp;row=86&amp;col=6&amp;number=&amp;sourceID=18","")</f>
        <v/>
      </c>
      <c r="G86" s="4" t="str">
        <f>HYPERLINK("http://141.218.60.56/~jnz1568/getInfo.php?workbook=06_01.xlsx&amp;sheet=A0&amp;row=86&amp;col=7&amp;number==&amp;sourceID=11","=")</f>
        <v>=</v>
      </c>
      <c r="H86" s="4" t="str">
        <f>HYPERLINK("http://141.218.60.56/~jnz1568/getInfo.php?workbook=06_01.xlsx&amp;sheet=A0&amp;row=86&amp;col=8&amp;number=&amp;sourceID=11","")</f>
        <v/>
      </c>
      <c r="I86" s="4" t="str">
        <f>HYPERLINK("http://141.218.60.56/~jnz1568/getInfo.php?workbook=06_01.xlsx&amp;sheet=A0&amp;row=86&amp;col=9&amp;number=7.132e-12&amp;sourceID=11","7.132e-12")</f>
        <v>7.132e-12</v>
      </c>
      <c r="J86" s="4" t="str">
        <f>HYPERLINK("http://141.218.60.56/~jnz1568/getInfo.php?workbook=06_01.xlsx&amp;sheet=A0&amp;row=86&amp;col=10&amp;number=&amp;sourceID=11","")</f>
        <v/>
      </c>
      <c r="K86" s="4" t="str">
        <f>HYPERLINK("http://141.218.60.56/~jnz1568/getInfo.php?workbook=06_01.xlsx&amp;sheet=A0&amp;row=86&amp;col=11&amp;number=&amp;sourceID=11","")</f>
        <v/>
      </c>
      <c r="L86" s="4" t="str">
        <f>HYPERLINK("http://141.218.60.56/~jnz1568/getInfo.php?workbook=06_01.xlsx&amp;sheet=A0&amp;row=86&amp;col=12&amp;number=&amp;sourceID=11","")</f>
        <v/>
      </c>
      <c r="M86" s="4" t="str">
        <f>HYPERLINK("http://141.218.60.56/~jnz1568/getInfo.php?workbook=06_01.xlsx&amp;sheet=A0&amp;row=86&amp;col=13&amp;number=0&amp;sourceID=11","0")</f>
        <v>0</v>
      </c>
      <c r="N86" s="4" t="str">
        <f>HYPERLINK("http://141.218.60.56/~jnz1568/getInfo.php?workbook=06_01.xlsx&amp;sheet=A0&amp;row=86&amp;col=14&amp;number=7.132e-12&amp;sourceID=12","7.132e-12")</f>
        <v>7.132e-12</v>
      </c>
      <c r="O86" s="4" t="str">
        <f>HYPERLINK("http://141.218.60.56/~jnz1568/getInfo.php?workbook=06_01.xlsx&amp;sheet=A0&amp;row=86&amp;col=15&amp;number=&amp;sourceID=12","")</f>
        <v/>
      </c>
      <c r="P86" s="4" t="str">
        <f>HYPERLINK("http://141.218.60.56/~jnz1568/getInfo.php?workbook=06_01.xlsx&amp;sheet=A0&amp;row=86&amp;col=16&amp;number=7.132e-12&amp;sourceID=12","7.132e-12")</f>
        <v>7.132e-12</v>
      </c>
      <c r="Q86" s="4" t="str">
        <f>HYPERLINK("http://141.218.60.56/~jnz1568/getInfo.php?workbook=06_01.xlsx&amp;sheet=A0&amp;row=86&amp;col=17&amp;number=&amp;sourceID=12","")</f>
        <v/>
      </c>
      <c r="R86" s="4" t="str">
        <f>HYPERLINK("http://141.218.60.56/~jnz1568/getInfo.php?workbook=06_01.xlsx&amp;sheet=A0&amp;row=86&amp;col=18&amp;number=&amp;sourceID=12","")</f>
        <v/>
      </c>
      <c r="S86" s="4" t="str">
        <f>HYPERLINK("http://141.218.60.56/~jnz1568/getInfo.php?workbook=06_01.xlsx&amp;sheet=A0&amp;row=86&amp;col=19&amp;number=&amp;sourceID=12","")</f>
        <v/>
      </c>
      <c r="T86" s="4" t="str">
        <f>HYPERLINK("http://141.218.60.56/~jnz1568/getInfo.php?workbook=06_01.xlsx&amp;sheet=A0&amp;row=86&amp;col=20&amp;number=0&amp;sourceID=12","0")</f>
        <v>0</v>
      </c>
      <c r="U86" s="4" t="str">
        <f>HYPERLINK("http://141.218.60.56/~jnz1568/getInfo.php?workbook=06_01.xlsx&amp;sheet=A0&amp;row=86&amp;col=21&amp;number=&amp;sourceID=13","")</f>
        <v/>
      </c>
      <c r="V86" s="4" t="str">
        <f>HYPERLINK("http://141.218.60.56/~jnz1568/getInfo.php?workbook=06_01.xlsx&amp;sheet=A0&amp;row=86&amp;col=22&amp;number=&amp;sourceID=13","")</f>
        <v/>
      </c>
      <c r="W86" s="4" t="str">
        <f>HYPERLINK("http://141.218.60.56/~jnz1568/getInfo.php?workbook=06_01.xlsx&amp;sheet=A0&amp;row=86&amp;col=23&amp;number=&amp;sourceID=13","")</f>
        <v/>
      </c>
      <c r="X86" s="4" t="str">
        <f>HYPERLINK("http://141.218.60.56/~jnz1568/getInfo.php?workbook=06_01.xlsx&amp;sheet=A0&amp;row=86&amp;col=24&amp;number=&amp;sourceID=13","")</f>
        <v/>
      </c>
      <c r="Y86" s="4" t="str">
        <f>HYPERLINK("http://141.218.60.56/~jnz1568/getInfo.php?workbook=06_01.xlsx&amp;sheet=A0&amp;row=86&amp;col=25&amp;number=&amp;sourceID=13","")</f>
        <v/>
      </c>
      <c r="Z86" s="4" t="str">
        <f>HYPERLINK("http://141.218.60.56/~jnz1568/getInfo.php?workbook=06_01.xlsx&amp;sheet=A0&amp;row=86&amp;col=26&amp;number=&amp;sourceID=13","")</f>
        <v/>
      </c>
    </row>
    <row r="87" spans="1:26">
      <c r="A87" s="3">
        <v>6</v>
      </c>
      <c r="B87" s="3">
        <v>1</v>
      </c>
      <c r="C87" s="3">
        <v>14</v>
      </c>
      <c r="D87" s="3">
        <v>11</v>
      </c>
      <c r="E87" s="3">
        <f>((1/(INDEX(E0!J$4:J$28,C87,1)-INDEX(E0!J$4:J$28,D87,1))))*100000000</f>
        <v>0</v>
      </c>
      <c r="F87" s="4" t="str">
        <f>HYPERLINK("http://141.218.60.56/~jnz1568/getInfo.php?workbook=06_01.xlsx&amp;sheet=A0&amp;row=87&amp;col=6&amp;number=&amp;sourceID=18","")</f>
        <v/>
      </c>
      <c r="G87" s="4" t="str">
        <f>HYPERLINK("http://141.218.60.56/~jnz1568/getInfo.php?workbook=06_01.xlsx&amp;sheet=A0&amp;row=87&amp;col=7&amp;number==&amp;sourceID=11","=")</f>
        <v>=</v>
      </c>
      <c r="H87" s="4" t="str">
        <f>HYPERLINK("http://141.218.60.56/~jnz1568/getInfo.php?workbook=06_01.xlsx&amp;sheet=A0&amp;row=87&amp;col=8&amp;number=&amp;sourceID=11","")</f>
        <v/>
      </c>
      <c r="I87" s="4" t="str">
        <f>HYPERLINK("http://141.218.60.56/~jnz1568/getInfo.php?workbook=06_01.xlsx&amp;sheet=A0&amp;row=87&amp;col=9&amp;number=&amp;sourceID=11","")</f>
        <v/>
      </c>
      <c r="J87" s="4" t="str">
        <f>HYPERLINK("http://141.218.60.56/~jnz1568/getInfo.php?workbook=06_01.xlsx&amp;sheet=A0&amp;row=87&amp;col=10&amp;number=0&amp;sourceID=11","0")</f>
        <v>0</v>
      </c>
      <c r="K87" s="4" t="str">
        <f>HYPERLINK("http://141.218.60.56/~jnz1568/getInfo.php?workbook=06_01.xlsx&amp;sheet=A0&amp;row=87&amp;col=11&amp;number=&amp;sourceID=11","")</f>
        <v/>
      </c>
      <c r="L87" s="4" t="str">
        <f>HYPERLINK("http://141.218.60.56/~jnz1568/getInfo.php?workbook=06_01.xlsx&amp;sheet=A0&amp;row=87&amp;col=12&amp;number=0&amp;sourceID=11","0")</f>
        <v>0</v>
      </c>
      <c r="M87" s="4" t="str">
        <f>HYPERLINK("http://141.218.60.56/~jnz1568/getInfo.php?workbook=06_01.xlsx&amp;sheet=A0&amp;row=87&amp;col=13&amp;number=&amp;sourceID=11","")</f>
        <v/>
      </c>
      <c r="N87" s="4" t="str">
        <f>HYPERLINK("http://141.218.60.56/~jnz1568/getInfo.php?workbook=06_01.xlsx&amp;sheet=A0&amp;row=87&amp;col=14&amp;number=0&amp;sourceID=12","0")</f>
        <v>0</v>
      </c>
      <c r="O87" s="4" t="str">
        <f>HYPERLINK("http://141.218.60.56/~jnz1568/getInfo.php?workbook=06_01.xlsx&amp;sheet=A0&amp;row=87&amp;col=15&amp;number=&amp;sourceID=12","")</f>
        <v/>
      </c>
      <c r="P87" s="4" t="str">
        <f>HYPERLINK("http://141.218.60.56/~jnz1568/getInfo.php?workbook=06_01.xlsx&amp;sheet=A0&amp;row=87&amp;col=16&amp;number=&amp;sourceID=12","")</f>
        <v/>
      </c>
      <c r="Q87" s="4" t="str">
        <f>HYPERLINK("http://141.218.60.56/~jnz1568/getInfo.php?workbook=06_01.xlsx&amp;sheet=A0&amp;row=87&amp;col=17&amp;number=0&amp;sourceID=12","0")</f>
        <v>0</v>
      </c>
      <c r="R87" s="4" t="str">
        <f>HYPERLINK("http://141.218.60.56/~jnz1568/getInfo.php?workbook=06_01.xlsx&amp;sheet=A0&amp;row=87&amp;col=18&amp;number=&amp;sourceID=12","")</f>
        <v/>
      </c>
      <c r="S87" s="4" t="str">
        <f>HYPERLINK("http://141.218.60.56/~jnz1568/getInfo.php?workbook=06_01.xlsx&amp;sheet=A0&amp;row=87&amp;col=19&amp;number=0&amp;sourceID=12","0")</f>
        <v>0</v>
      </c>
      <c r="T87" s="4" t="str">
        <f>HYPERLINK("http://141.218.60.56/~jnz1568/getInfo.php?workbook=06_01.xlsx&amp;sheet=A0&amp;row=87&amp;col=20&amp;number=&amp;sourceID=12","")</f>
        <v/>
      </c>
      <c r="U87" s="4" t="str">
        <f>HYPERLINK("http://141.218.60.56/~jnz1568/getInfo.php?workbook=06_01.xlsx&amp;sheet=A0&amp;row=87&amp;col=21&amp;number=&amp;sourceID=13","")</f>
        <v/>
      </c>
      <c r="V87" s="4" t="str">
        <f>HYPERLINK("http://141.218.60.56/~jnz1568/getInfo.php?workbook=06_01.xlsx&amp;sheet=A0&amp;row=87&amp;col=22&amp;number=&amp;sourceID=13","")</f>
        <v/>
      </c>
      <c r="W87" s="4" t="str">
        <f>HYPERLINK("http://141.218.60.56/~jnz1568/getInfo.php?workbook=06_01.xlsx&amp;sheet=A0&amp;row=87&amp;col=23&amp;number=&amp;sourceID=13","")</f>
        <v/>
      </c>
      <c r="X87" s="4" t="str">
        <f>HYPERLINK("http://141.218.60.56/~jnz1568/getInfo.php?workbook=06_01.xlsx&amp;sheet=A0&amp;row=87&amp;col=24&amp;number=&amp;sourceID=13","")</f>
        <v/>
      </c>
      <c r="Y87" s="4" t="str">
        <f>HYPERLINK("http://141.218.60.56/~jnz1568/getInfo.php?workbook=06_01.xlsx&amp;sheet=A0&amp;row=87&amp;col=25&amp;number=&amp;sourceID=13","")</f>
        <v/>
      </c>
      <c r="Z87" s="4" t="str">
        <f>HYPERLINK("http://141.218.60.56/~jnz1568/getInfo.php?workbook=06_01.xlsx&amp;sheet=A0&amp;row=87&amp;col=26&amp;number=&amp;sourceID=13","")</f>
        <v/>
      </c>
    </row>
    <row r="88" spans="1:26">
      <c r="A88" s="3">
        <v>6</v>
      </c>
      <c r="B88" s="3">
        <v>1</v>
      </c>
      <c r="C88" s="3">
        <v>14</v>
      </c>
      <c r="D88" s="3">
        <v>12</v>
      </c>
      <c r="E88" s="3">
        <f>((1/(INDEX(E0!J$4:J$28,C88,1)-INDEX(E0!J$4:J$28,D88,1))))*100000000</f>
        <v>0</v>
      </c>
      <c r="F88" s="4" t="str">
        <f>HYPERLINK("http://141.218.60.56/~jnz1568/getInfo.php?workbook=06_01.xlsx&amp;sheet=A0&amp;row=88&amp;col=6&amp;number=&amp;sourceID=18","")</f>
        <v/>
      </c>
      <c r="G88" s="4" t="str">
        <f>HYPERLINK("http://141.218.60.56/~jnz1568/getInfo.php?workbook=06_01.xlsx&amp;sheet=A0&amp;row=88&amp;col=7&amp;number==&amp;sourceID=11","=")</f>
        <v>=</v>
      </c>
      <c r="H88" s="4" t="str">
        <f>HYPERLINK("http://141.218.60.56/~jnz1568/getInfo.php?workbook=06_01.xlsx&amp;sheet=A0&amp;row=88&amp;col=8&amp;number=0.043563&amp;sourceID=11","0.043563")</f>
        <v>0.043563</v>
      </c>
      <c r="I88" s="4" t="str">
        <f>HYPERLINK("http://141.218.60.56/~jnz1568/getInfo.php?workbook=06_01.xlsx&amp;sheet=A0&amp;row=88&amp;col=9&amp;number=&amp;sourceID=11","")</f>
        <v/>
      </c>
      <c r="J88" s="4" t="str">
        <f>HYPERLINK("http://141.218.60.56/~jnz1568/getInfo.php?workbook=06_01.xlsx&amp;sheet=A0&amp;row=88&amp;col=10&amp;number=0&amp;sourceID=11","0")</f>
        <v>0</v>
      </c>
      <c r="K88" s="4" t="str">
        <f>HYPERLINK("http://141.218.60.56/~jnz1568/getInfo.php?workbook=06_01.xlsx&amp;sheet=A0&amp;row=88&amp;col=11&amp;number=&amp;sourceID=11","")</f>
        <v/>
      </c>
      <c r="L88" s="4" t="str">
        <f>HYPERLINK("http://141.218.60.56/~jnz1568/getInfo.php?workbook=06_01.xlsx&amp;sheet=A0&amp;row=88&amp;col=12&amp;number=0&amp;sourceID=11","0")</f>
        <v>0</v>
      </c>
      <c r="M88" s="4" t="str">
        <f>HYPERLINK("http://141.218.60.56/~jnz1568/getInfo.php?workbook=06_01.xlsx&amp;sheet=A0&amp;row=88&amp;col=13&amp;number=&amp;sourceID=11","")</f>
        <v/>
      </c>
      <c r="N88" s="4" t="str">
        <f>HYPERLINK("http://141.218.60.56/~jnz1568/getInfo.php?workbook=06_01.xlsx&amp;sheet=A0&amp;row=88&amp;col=14&amp;number=0.043567&amp;sourceID=12","0.043567")</f>
        <v>0.043567</v>
      </c>
      <c r="O88" s="4" t="str">
        <f>HYPERLINK("http://141.218.60.56/~jnz1568/getInfo.php?workbook=06_01.xlsx&amp;sheet=A0&amp;row=88&amp;col=15&amp;number=0.043567&amp;sourceID=12","0.043567")</f>
        <v>0.043567</v>
      </c>
      <c r="P88" s="4" t="str">
        <f>HYPERLINK("http://141.218.60.56/~jnz1568/getInfo.php?workbook=06_01.xlsx&amp;sheet=A0&amp;row=88&amp;col=16&amp;number=&amp;sourceID=12","")</f>
        <v/>
      </c>
      <c r="Q88" s="4" t="str">
        <f>HYPERLINK("http://141.218.60.56/~jnz1568/getInfo.php?workbook=06_01.xlsx&amp;sheet=A0&amp;row=88&amp;col=17&amp;number=0&amp;sourceID=12","0")</f>
        <v>0</v>
      </c>
      <c r="R88" s="4" t="str">
        <f>HYPERLINK("http://141.218.60.56/~jnz1568/getInfo.php?workbook=06_01.xlsx&amp;sheet=A0&amp;row=88&amp;col=18&amp;number=&amp;sourceID=12","")</f>
        <v/>
      </c>
      <c r="S88" s="4" t="str">
        <f>HYPERLINK("http://141.218.60.56/~jnz1568/getInfo.php?workbook=06_01.xlsx&amp;sheet=A0&amp;row=88&amp;col=19&amp;number=0&amp;sourceID=12","0")</f>
        <v>0</v>
      </c>
      <c r="T88" s="4" t="str">
        <f>HYPERLINK("http://141.218.60.56/~jnz1568/getInfo.php?workbook=06_01.xlsx&amp;sheet=A0&amp;row=88&amp;col=20&amp;number=&amp;sourceID=12","")</f>
        <v/>
      </c>
      <c r="U88" s="4" t="str">
        <f>HYPERLINK("http://141.218.60.56/~jnz1568/getInfo.php?workbook=06_01.xlsx&amp;sheet=A0&amp;row=88&amp;col=21&amp;number=&amp;sourceID=13","")</f>
        <v/>
      </c>
      <c r="V88" s="4" t="str">
        <f>HYPERLINK("http://141.218.60.56/~jnz1568/getInfo.php?workbook=06_01.xlsx&amp;sheet=A0&amp;row=88&amp;col=22&amp;number=&amp;sourceID=13","")</f>
        <v/>
      </c>
      <c r="W88" s="4" t="str">
        <f>HYPERLINK("http://141.218.60.56/~jnz1568/getInfo.php?workbook=06_01.xlsx&amp;sheet=A0&amp;row=88&amp;col=23&amp;number=&amp;sourceID=13","")</f>
        <v/>
      </c>
      <c r="X88" s="4" t="str">
        <f>HYPERLINK("http://141.218.60.56/~jnz1568/getInfo.php?workbook=06_01.xlsx&amp;sheet=A0&amp;row=88&amp;col=24&amp;number=&amp;sourceID=13","")</f>
        <v/>
      </c>
      <c r="Y88" s="4" t="str">
        <f>HYPERLINK("http://141.218.60.56/~jnz1568/getInfo.php?workbook=06_01.xlsx&amp;sheet=A0&amp;row=88&amp;col=25&amp;number=&amp;sourceID=13","")</f>
        <v/>
      </c>
      <c r="Z88" s="4" t="str">
        <f>HYPERLINK("http://141.218.60.56/~jnz1568/getInfo.php?workbook=06_01.xlsx&amp;sheet=A0&amp;row=88&amp;col=26&amp;number=&amp;sourceID=13","")</f>
        <v/>
      </c>
    </row>
    <row r="89" spans="1:26">
      <c r="A89" s="3">
        <v>6</v>
      </c>
      <c r="B89" s="3">
        <v>1</v>
      </c>
      <c r="C89" s="3">
        <v>14</v>
      </c>
      <c r="D89" s="3">
        <v>13</v>
      </c>
      <c r="E89" s="3">
        <f>((1/(INDEX(E0!J$4:J$28,C89,1)-INDEX(E0!J$4:J$28,D89,1))))*100000000</f>
        <v>0</v>
      </c>
      <c r="F89" s="4" t="str">
        <f>HYPERLINK("http://141.218.60.56/~jnz1568/getInfo.php?workbook=06_01.xlsx&amp;sheet=A0&amp;row=89&amp;col=6&amp;number=&amp;sourceID=18","")</f>
        <v/>
      </c>
      <c r="G89" s="4" t="str">
        <f>HYPERLINK("http://141.218.60.56/~jnz1568/getInfo.php?workbook=06_01.xlsx&amp;sheet=A0&amp;row=89&amp;col=7&amp;number==&amp;sourceID=11","=")</f>
        <v>=</v>
      </c>
      <c r="H89" s="4" t="str">
        <f>HYPERLINK("http://141.218.60.56/~jnz1568/getInfo.php?workbook=06_01.xlsx&amp;sheet=A0&amp;row=89&amp;col=8&amp;number=&amp;sourceID=11","")</f>
        <v/>
      </c>
      <c r="I89" s="4" t="str">
        <f>HYPERLINK("http://141.218.60.56/~jnz1568/getInfo.php?workbook=06_01.xlsx&amp;sheet=A0&amp;row=89&amp;col=9&amp;number=2e-15&amp;sourceID=11","2e-15")</f>
        <v>2e-15</v>
      </c>
      <c r="J89" s="4" t="str">
        <f>HYPERLINK("http://141.218.60.56/~jnz1568/getInfo.php?workbook=06_01.xlsx&amp;sheet=A0&amp;row=89&amp;col=10&amp;number=&amp;sourceID=11","")</f>
        <v/>
      </c>
      <c r="K89" s="4" t="str">
        <f>HYPERLINK("http://141.218.60.56/~jnz1568/getInfo.php?workbook=06_01.xlsx&amp;sheet=A0&amp;row=89&amp;col=11&amp;number=0&amp;sourceID=11","0")</f>
        <v>0</v>
      </c>
      <c r="L89" s="4" t="str">
        <f>HYPERLINK("http://141.218.60.56/~jnz1568/getInfo.php?workbook=06_01.xlsx&amp;sheet=A0&amp;row=89&amp;col=12&amp;number=&amp;sourceID=11","")</f>
        <v/>
      </c>
      <c r="M89" s="4" t="str">
        <f>HYPERLINK("http://141.218.60.56/~jnz1568/getInfo.php?workbook=06_01.xlsx&amp;sheet=A0&amp;row=89&amp;col=13&amp;number=0&amp;sourceID=11","0")</f>
        <v>0</v>
      </c>
      <c r="N89" s="4" t="str">
        <f>HYPERLINK("http://141.218.60.56/~jnz1568/getInfo.php?workbook=06_01.xlsx&amp;sheet=A0&amp;row=89&amp;col=14&amp;number=2e-15&amp;sourceID=12","2e-15")</f>
        <v>2e-15</v>
      </c>
      <c r="O89" s="4" t="str">
        <f>HYPERLINK("http://141.218.60.56/~jnz1568/getInfo.php?workbook=06_01.xlsx&amp;sheet=A0&amp;row=89&amp;col=15&amp;number=&amp;sourceID=12","")</f>
        <v/>
      </c>
      <c r="P89" s="4" t="str">
        <f>HYPERLINK("http://141.218.60.56/~jnz1568/getInfo.php?workbook=06_01.xlsx&amp;sheet=A0&amp;row=89&amp;col=16&amp;number=2e-15&amp;sourceID=12","2e-15")</f>
        <v>2e-15</v>
      </c>
      <c r="Q89" s="4" t="str">
        <f>HYPERLINK("http://141.218.60.56/~jnz1568/getInfo.php?workbook=06_01.xlsx&amp;sheet=A0&amp;row=89&amp;col=17&amp;number=&amp;sourceID=12","")</f>
        <v/>
      </c>
      <c r="R89" s="4" t="str">
        <f>HYPERLINK("http://141.218.60.56/~jnz1568/getInfo.php?workbook=06_01.xlsx&amp;sheet=A0&amp;row=89&amp;col=18&amp;number=0&amp;sourceID=12","0")</f>
        <v>0</v>
      </c>
      <c r="S89" s="4" t="str">
        <f>HYPERLINK("http://141.218.60.56/~jnz1568/getInfo.php?workbook=06_01.xlsx&amp;sheet=A0&amp;row=89&amp;col=19&amp;number=&amp;sourceID=12","")</f>
        <v/>
      </c>
      <c r="T89" s="4" t="str">
        <f>HYPERLINK("http://141.218.60.56/~jnz1568/getInfo.php?workbook=06_01.xlsx&amp;sheet=A0&amp;row=89&amp;col=20&amp;number=0&amp;sourceID=12","0")</f>
        <v>0</v>
      </c>
      <c r="U89" s="4" t="str">
        <f>HYPERLINK("http://141.218.60.56/~jnz1568/getInfo.php?workbook=06_01.xlsx&amp;sheet=A0&amp;row=89&amp;col=21&amp;number=&amp;sourceID=13","")</f>
        <v/>
      </c>
      <c r="V89" s="4" t="str">
        <f>HYPERLINK("http://141.218.60.56/~jnz1568/getInfo.php?workbook=06_01.xlsx&amp;sheet=A0&amp;row=89&amp;col=22&amp;number=&amp;sourceID=13","")</f>
        <v/>
      </c>
      <c r="W89" s="4" t="str">
        <f>HYPERLINK("http://141.218.60.56/~jnz1568/getInfo.php?workbook=06_01.xlsx&amp;sheet=A0&amp;row=89&amp;col=23&amp;number=&amp;sourceID=13","")</f>
        <v/>
      </c>
      <c r="X89" s="4" t="str">
        <f>HYPERLINK("http://141.218.60.56/~jnz1568/getInfo.php?workbook=06_01.xlsx&amp;sheet=A0&amp;row=89&amp;col=24&amp;number=&amp;sourceID=13","")</f>
        <v/>
      </c>
      <c r="Y89" s="4" t="str">
        <f>HYPERLINK("http://141.218.60.56/~jnz1568/getInfo.php?workbook=06_01.xlsx&amp;sheet=A0&amp;row=89&amp;col=25&amp;number=&amp;sourceID=13","")</f>
        <v/>
      </c>
      <c r="Z89" s="4" t="str">
        <f>HYPERLINK("http://141.218.60.56/~jnz1568/getInfo.php?workbook=06_01.xlsx&amp;sheet=A0&amp;row=89&amp;col=26&amp;number=&amp;sourceID=13","")</f>
        <v/>
      </c>
    </row>
    <row r="90" spans="1:26">
      <c r="A90" s="3">
        <v>6</v>
      </c>
      <c r="B90" s="3">
        <v>1</v>
      </c>
      <c r="C90" s="3">
        <v>15</v>
      </c>
      <c r="D90" s="3">
        <v>1</v>
      </c>
      <c r="E90" s="3">
        <f>((1/(INDEX(E0!J$4:J$28,C90,1)-INDEX(E0!J$4:J$28,D90,1))))*100000000</f>
        <v>0</v>
      </c>
      <c r="F90" s="4" t="str">
        <f>HYPERLINK("http://141.218.60.56/~jnz1568/getInfo.php?workbook=06_01.xlsx&amp;sheet=A0&amp;row=90&amp;col=6&amp;number=&amp;sourceID=18","")</f>
        <v/>
      </c>
      <c r="G90" s="4" t="str">
        <f>HYPERLINK("http://141.218.60.56/~jnz1568/getInfo.php?workbook=06_01.xlsx&amp;sheet=A0&amp;row=90&amp;col=7&amp;number==&amp;sourceID=11","=")</f>
        <v>=</v>
      </c>
      <c r="H90" s="4" t="str">
        <f>HYPERLINK("http://141.218.60.56/~jnz1568/getInfo.php?workbook=06_01.xlsx&amp;sheet=A0&amp;row=90&amp;col=8&amp;number=&amp;sourceID=11","")</f>
        <v/>
      </c>
      <c r="I90" s="4" t="str">
        <f>HYPERLINK("http://141.218.60.56/~jnz1568/getInfo.php?workbook=06_01.xlsx&amp;sheet=A0&amp;row=90&amp;col=9&amp;number=15232000&amp;sourceID=11","15232000")</f>
        <v>15232000</v>
      </c>
      <c r="J90" s="4" t="str">
        <f>HYPERLINK("http://141.218.60.56/~jnz1568/getInfo.php?workbook=06_01.xlsx&amp;sheet=A0&amp;row=90&amp;col=10&amp;number=&amp;sourceID=11","")</f>
        <v/>
      </c>
      <c r="K90" s="4" t="str">
        <f>HYPERLINK("http://141.218.60.56/~jnz1568/getInfo.php?workbook=06_01.xlsx&amp;sheet=A0&amp;row=90&amp;col=11&amp;number=&amp;sourceID=11","")</f>
        <v/>
      </c>
      <c r="L90" s="4" t="str">
        <f>HYPERLINK("http://141.218.60.56/~jnz1568/getInfo.php?workbook=06_01.xlsx&amp;sheet=A0&amp;row=90&amp;col=12&amp;number=&amp;sourceID=11","")</f>
        <v/>
      </c>
      <c r="M90" s="4" t="str">
        <f>HYPERLINK("http://141.218.60.56/~jnz1568/getInfo.php?workbook=06_01.xlsx&amp;sheet=A0&amp;row=90&amp;col=13&amp;number=2.7366&amp;sourceID=11","2.7366")</f>
        <v>2.7366</v>
      </c>
      <c r="N90" s="4" t="str">
        <f>HYPERLINK("http://141.218.60.56/~jnz1568/getInfo.php?workbook=06_01.xlsx&amp;sheet=A0&amp;row=90&amp;col=14&amp;number=15233000&amp;sourceID=12","15233000")</f>
        <v>15233000</v>
      </c>
      <c r="O90" s="4" t="str">
        <f>HYPERLINK("http://141.218.60.56/~jnz1568/getInfo.php?workbook=06_01.xlsx&amp;sheet=A0&amp;row=90&amp;col=15&amp;number=&amp;sourceID=12","")</f>
        <v/>
      </c>
      <c r="P90" s="4" t="str">
        <f>HYPERLINK("http://141.218.60.56/~jnz1568/getInfo.php?workbook=06_01.xlsx&amp;sheet=A0&amp;row=90&amp;col=16&amp;number=15233000&amp;sourceID=12","15233000")</f>
        <v>15233000</v>
      </c>
      <c r="Q90" s="4" t="str">
        <f>HYPERLINK("http://141.218.60.56/~jnz1568/getInfo.php?workbook=06_01.xlsx&amp;sheet=A0&amp;row=90&amp;col=17&amp;number=&amp;sourceID=12","")</f>
        <v/>
      </c>
      <c r="R90" s="4" t="str">
        <f>HYPERLINK("http://141.218.60.56/~jnz1568/getInfo.php?workbook=06_01.xlsx&amp;sheet=A0&amp;row=90&amp;col=18&amp;number=&amp;sourceID=12","")</f>
        <v/>
      </c>
      <c r="S90" s="4" t="str">
        <f>HYPERLINK("http://141.218.60.56/~jnz1568/getInfo.php?workbook=06_01.xlsx&amp;sheet=A0&amp;row=90&amp;col=19&amp;number=&amp;sourceID=12","")</f>
        <v/>
      </c>
      <c r="T90" s="4" t="str">
        <f>HYPERLINK("http://141.218.60.56/~jnz1568/getInfo.php?workbook=06_01.xlsx&amp;sheet=A0&amp;row=90&amp;col=20&amp;number=2.7367&amp;sourceID=12","2.7367")</f>
        <v>2.7367</v>
      </c>
      <c r="U90" s="4" t="str">
        <f>HYPERLINK("http://141.218.60.56/~jnz1568/getInfo.php?workbook=06_01.xlsx&amp;sheet=A0&amp;row=90&amp;col=21&amp;number==SUM(V90:Z90)&amp;sourceID=13","=SUM(V90:Z90)")</f>
        <v>=SUM(V90:Z90)</v>
      </c>
      <c r="V90" s="4" t="str">
        <f>HYPERLINK("http://141.218.60.56/~jnz1568/getInfo.php?workbook=06_01.xlsx&amp;sheet=A0&amp;row=90&amp;col=22&amp;number=&amp;sourceID=13","")</f>
        <v/>
      </c>
      <c r="W90" s="4" t="str">
        <f>HYPERLINK("http://141.218.60.56/~jnz1568/getInfo.php?workbook=06_01.xlsx&amp;sheet=A0&amp;row=90&amp;col=23&amp;number=15900000&amp;sourceID=13","15900000")</f>
        <v>15900000</v>
      </c>
      <c r="X90" s="4" t="str">
        <f>HYPERLINK("http://141.218.60.56/~jnz1568/getInfo.php?workbook=06_01.xlsx&amp;sheet=A0&amp;row=90&amp;col=24&amp;number=&amp;sourceID=13","")</f>
        <v/>
      </c>
      <c r="Y90" s="4" t="str">
        <f>HYPERLINK("http://141.218.60.56/~jnz1568/getInfo.php?workbook=06_01.xlsx&amp;sheet=A0&amp;row=90&amp;col=25&amp;number=&amp;sourceID=13","")</f>
        <v/>
      </c>
      <c r="Z90" s="4" t="str">
        <f>HYPERLINK("http://141.218.60.56/~jnz1568/getInfo.php?workbook=06_01.xlsx&amp;sheet=A0&amp;row=90&amp;col=26&amp;number=&amp;sourceID=13","")</f>
        <v/>
      </c>
    </row>
    <row r="91" spans="1:26">
      <c r="A91" s="3">
        <v>6</v>
      </c>
      <c r="B91" s="3">
        <v>1</v>
      </c>
      <c r="C91" s="3">
        <v>15</v>
      </c>
      <c r="D91" s="3">
        <v>2</v>
      </c>
      <c r="E91" s="3">
        <f>((1/(INDEX(E0!J$4:J$28,C91,1)-INDEX(E0!J$4:J$28,D91,1))))*100000000</f>
        <v>0</v>
      </c>
      <c r="F91" s="4" t="str">
        <f>HYPERLINK("http://141.218.60.56/~jnz1568/getInfo.php?workbook=06_01.xlsx&amp;sheet=A0&amp;row=91&amp;col=6&amp;number=&amp;sourceID=18","")</f>
        <v/>
      </c>
      <c r="G91" s="4" t="str">
        <f>HYPERLINK("http://141.218.60.56/~jnz1568/getInfo.php?workbook=06_01.xlsx&amp;sheet=A0&amp;row=91&amp;col=7&amp;number==&amp;sourceID=11","=")</f>
        <v>=</v>
      </c>
      <c r="H91" s="4" t="str">
        <f>HYPERLINK("http://141.218.60.56/~jnz1568/getInfo.php?workbook=06_01.xlsx&amp;sheet=A0&amp;row=91&amp;col=8&amp;number=&amp;sourceID=11","")</f>
        <v/>
      </c>
      <c r="I91" s="4" t="str">
        <f>HYPERLINK("http://141.218.60.56/~jnz1568/getInfo.php?workbook=06_01.xlsx&amp;sheet=A0&amp;row=91&amp;col=9&amp;number=&amp;sourceID=11","")</f>
        <v/>
      </c>
      <c r="J91" s="4" t="str">
        <f>HYPERLINK("http://141.218.60.56/~jnz1568/getInfo.php?workbook=06_01.xlsx&amp;sheet=A0&amp;row=91&amp;col=10&amp;number=3.8327e-05&amp;sourceID=11","3.8327e-05")</f>
        <v>3.8327e-05</v>
      </c>
      <c r="K91" s="4" t="str">
        <f>HYPERLINK("http://141.218.60.56/~jnz1568/getInfo.php?workbook=06_01.xlsx&amp;sheet=A0&amp;row=91&amp;col=11&amp;number=&amp;sourceID=11","")</f>
        <v/>
      </c>
      <c r="L91" s="4" t="str">
        <f>HYPERLINK("http://141.218.60.56/~jnz1568/getInfo.php?workbook=06_01.xlsx&amp;sheet=A0&amp;row=91&amp;col=12&amp;number=38.503&amp;sourceID=11","38.503")</f>
        <v>38.503</v>
      </c>
      <c r="M91" s="4" t="str">
        <f>HYPERLINK("http://141.218.60.56/~jnz1568/getInfo.php?workbook=06_01.xlsx&amp;sheet=A0&amp;row=91&amp;col=13&amp;number=&amp;sourceID=11","")</f>
        <v/>
      </c>
      <c r="N91" s="4" t="str">
        <f>HYPERLINK("http://141.218.60.56/~jnz1568/getInfo.php?workbook=06_01.xlsx&amp;sheet=A0&amp;row=91&amp;col=14&amp;number=38.505&amp;sourceID=12","38.505")</f>
        <v>38.505</v>
      </c>
      <c r="O91" s="4" t="str">
        <f>HYPERLINK("http://141.218.60.56/~jnz1568/getInfo.php?workbook=06_01.xlsx&amp;sheet=A0&amp;row=91&amp;col=15&amp;number=&amp;sourceID=12","")</f>
        <v/>
      </c>
      <c r="P91" s="4" t="str">
        <f>HYPERLINK("http://141.218.60.56/~jnz1568/getInfo.php?workbook=06_01.xlsx&amp;sheet=A0&amp;row=91&amp;col=16&amp;number=&amp;sourceID=12","")</f>
        <v/>
      </c>
      <c r="Q91" s="4" t="str">
        <f>HYPERLINK("http://141.218.60.56/~jnz1568/getInfo.php?workbook=06_01.xlsx&amp;sheet=A0&amp;row=91&amp;col=17&amp;number=3.8332e-05&amp;sourceID=12","3.8332e-05")</f>
        <v>3.8332e-05</v>
      </c>
      <c r="R91" s="4" t="str">
        <f>HYPERLINK("http://141.218.60.56/~jnz1568/getInfo.php?workbook=06_01.xlsx&amp;sheet=A0&amp;row=91&amp;col=18&amp;number=&amp;sourceID=12","")</f>
        <v/>
      </c>
      <c r="S91" s="4" t="str">
        <f>HYPERLINK("http://141.218.60.56/~jnz1568/getInfo.php?workbook=06_01.xlsx&amp;sheet=A0&amp;row=91&amp;col=19&amp;number=38.505&amp;sourceID=12","38.505")</f>
        <v>38.505</v>
      </c>
      <c r="T91" s="4" t="str">
        <f>HYPERLINK("http://141.218.60.56/~jnz1568/getInfo.php?workbook=06_01.xlsx&amp;sheet=A0&amp;row=91&amp;col=20&amp;number=&amp;sourceID=12","")</f>
        <v/>
      </c>
      <c r="U91" s="4" t="str">
        <f>HYPERLINK("http://141.218.60.56/~jnz1568/getInfo.php?workbook=06_01.xlsx&amp;sheet=A0&amp;row=91&amp;col=21&amp;number==&amp;sourceID=13","=")</f>
        <v>=</v>
      </c>
      <c r="V91" s="4" t="str">
        <f>HYPERLINK("http://141.218.60.56/~jnz1568/getInfo.php?workbook=06_01.xlsx&amp;sheet=A0&amp;row=91&amp;col=22&amp;number=&amp;sourceID=13","")</f>
        <v/>
      </c>
      <c r="W91" s="4" t="str">
        <f>HYPERLINK("http://141.218.60.56/~jnz1568/getInfo.php?workbook=06_01.xlsx&amp;sheet=A0&amp;row=91&amp;col=23&amp;number=&amp;sourceID=13","")</f>
        <v/>
      </c>
      <c r="X91" s="4" t="str">
        <f>HYPERLINK("http://141.218.60.56/~jnz1568/getInfo.php?workbook=06_01.xlsx&amp;sheet=A0&amp;row=91&amp;col=24&amp;number=0.00878&amp;sourceID=13","0.00878")</f>
        <v>0.00878</v>
      </c>
      <c r="Y91" s="4" t="str">
        <f>HYPERLINK("http://141.218.60.56/~jnz1568/getInfo.php?workbook=06_01.xlsx&amp;sheet=A0&amp;row=91&amp;col=25&amp;number=&amp;sourceID=13","")</f>
        <v/>
      </c>
      <c r="Z91" s="4" t="str">
        <f>HYPERLINK("http://141.218.60.56/~jnz1568/getInfo.php?workbook=06_01.xlsx&amp;sheet=A0&amp;row=91&amp;col=26&amp;number=154&amp;sourceID=13","154")</f>
        <v>154</v>
      </c>
    </row>
    <row r="92" spans="1:26">
      <c r="A92" s="3">
        <v>6</v>
      </c>
      <c r="B92" s="3">
        <v>1</v>
      </c>
      <c r="C92" s="3">
        <v>15</v>
      </c>
      <c r="D92" s="3">
        <v>3</v>
      </c>
      <c r="E92" s="3">
        <f>((1/(INDEX(E0!J$4:J$28,C92,1)-INDEX(E0!J$4:J$28,D92,1))))*100000000</f>
        <v>0</v>
      </c>
      <c r="F92" s="4" t="str">
        <f>HYPERLINK("http://141.218.60.56/~jnz1568/getInfo.php?workbook=06_01.xlsx&amp;sheet=A0&amp;row=92&amp;col=6&amp;number=&amp;sourceID=18","")</f>
        <v/>
      </c>
      <c r="G92" s="4" t="str">
        <f>HYPERLINK("http://141.218.60.56/~jnz1568/getInfo.php?workbook=06_01.xlsx&amp;sheet=A0&amp;row=92&amp;col=7&amp;number==&amp;sourceID=11","=")</f>
        <v>=</v>
      </c>
      <c r="H92" s="4" t="str">
        <f>HYPERLINK("http://141.218.60.56/~jnz1568/getInfo.php?workbook=06_01.xlsx&amp;sheet=A0&amp;row=92&amp;col=8&amp;number=&amp;sourceID=11","")</f>
        <v/>
      </c>
      <c r="I92" s="4" t="str">
        <f>HYPERLINK("http://141.218.60.56/~jnz1568/getInfo.php?workbook=06_01.xlsx&amp;sheet=A0&amp;row=92&amp;col=9&amp;number=241920&amp;sourceID=11","241920")</f>
        <v>241920</v>
      </c>
      <c r="J92" s="4" t="str">
        <f>HYPERLINK("http://141.218.60.56/~jnz1568/getInfo.php?workbook=06_01.xlsx&amp;sheet=A0&amp;row=92&amp;col=10&amp;number=&amp;sourceID=11","")</f>
        <v/>
      </c>
      <c r="K92" s="4" t="str">
        <f>HYPERLINK("http://141.218.60.56/~jnz1568/getInfo.php?workbook=06_01.xlsx&amp;sheet=A0&amp;row=92&amp;col=11&amp;number=&amp;sourceID=11","")</f>
        <v/>
      </c>
      <c r="L92" s="4" t="str">
        <f>HYPERLINK("http://141.218.60.56/~jnz1568/getInfo.php?workbook=06_01.xlsx&amp;sheet=A0&amp;row=92&amp;col=12&amp;number=&amp;sourceID=11","")</f>
        <v/>
      </c>
      <c r="M92" s="4" t="str">
        <f>HYPERLINK("http://141.218.60.56/~jnz1568/getInfo.php?workbook=06_01.xlsx&amp;sheet=A0&amp;row=92&amp;col=13&amp;number=0.0017386&amp;sourceID=11","0.0017386")</f>
        <v>0.0017386</v>
      </c>
      <c r="N92" s="4" t="str">
        <f>HYPERLINK("http://141.218.60.56/~jnz1568/getInfo.php?workbook=06_01.xlsx&amp;sheet=A0&amp;row=92&amp;col=14&amp;number=241930&amp;sourceID=12","241930")</f>
        <v>241930</v>
      </c>
      <c r="O92" s="4" t="str">
        <f>HYPERLINK("http://141.218.60.56/~jnz1568/getInfo.php?workbook=06_01.xlsx&amp;sheet=A0&amp;row=92&amp;col=15&amp;number=&amp;sourceID=12","")</f>
        <v/>
      </c>
      <c r="P92" s="4" t="str">
        <f>HYPERLINK("http://141.218.60.56/~jnz1568/getInfo.php?workbook=06_01.xlsx&amp;sheet=A0&amp;row=92&amp;col=16&amp;number=241930&amp;sourceID=12","241930")</f>
        <v>241930</v>
      </c>
      <c r="Q92" s="4" t="str">
        <f>HYPERLINK("http://141.218.60.56/~jnz1568/getInfo.php?workbook=06_01.xlsx&amp;sheet=A0&amp;row=92&amp;col=17&amp;number=&amp;sourceID=12","")</f>
        <v/>
      </c>
      <c r="R92" s="4" t="str">
        <f>HYPERLINK("http://141.218.60.56/~jnz1568/getInfo.php?workbook=06_01.xlsx&amp;sheet=A0&amp;row=92&amp;col=18&amp;number=&amp;sourceID=12","")</f>
        <v/>
      </c>
      <c r="S92" s="4" t="str">
        <f>HYPERLINK("http://141.218.60.56/~jnz1568/getInfo.php?workbook=06_01.xlsx&amp;sheet=A0&amp;row=92&amp;col=19&amp;number=&amp;sourceID=12","")</f>
        <v/>
      </c>
      <c r="T92" s="4" t="str">
        <f>HYPERLINK("http://141.218.60.56/~jnz1568/getInfo.php?workbook=06_01.xlsx&amp;sheet=A0&amp;row=92&amp;col=20&amp;number=0.0017387&amp;sourceID=12","0.0017387")</f>
        <v>0.0017387</v>
      </c>
      <c r="U92" s="4" t="str">
        <f>HYPERLINK("http://141.218.60.56/~jnz1568/getInfo.php?workbook=06_01.xlsx&amp;sheet=A0&amp;row=92&amp;col=21&amp;number==&amp;sourceID=13","=")</f>
        <v>=</v>
      </c>
      <c r="V92" s="4" t="str">
        <f>HYPERLINK("http://141.218.60.56/~jnz1568/getInfo.php?workbook=06_01.xlsx&amp;sheet=A0&amp;row=92&amp;col=22&amp;number=&amp;sourceID=13","")</f>
        <v/>
      </c>
      <c r="W92" s="4" t="str">
        <f>HYPERLINK("http://141.218.60.56/~jnz1568/getInfo.php?workbook=06_01.xlsx&amp;sheet=A0&amp;row=92&amp;col=23&amp;number=238000&amp;sourceID=13","238000")</f>
        <v>238000</v>
      </c>
      <c r="X92" s="4" t="str">
        <f>HYPERLINK("http://141.218.60.56/~jnz1568/getInfo.php?workbook=06_01.xlsx&amp;sheet=A0&amp;row=92&amp;col=24&amp;number=&amp;sourceID=13","")</f>
        <v/>
      </c>
      <c r="Y92" s="4" t="str">
        <f>HYPERLINK("http://141.218.60.56/~jnz1568/getInfo.php?workbook=06_01.xlsx&amp;sheet=A0&amp;row=92&amp;col=25&amp;number=&amp;sourceID=13","")</f>
        <v/>
      </c>
      <c r="Z92" s="4" t="str">
        <f>HYPERLINK("http://141.218.60.56/~jnz1568/getInfo.php?workbook=06_01.xlsx&amp;sheet=A0&amp;row=92&amp;col=26&amp;number=&amp;sourceID=13","")</f>
        <v/>
      </c>
    </row>
    <row r="93" spans="1:26">
      <c r="A93" s="3">
        <v>6</v>
      </c>
      <c r="B93" s="3">
        <v>1</v>
      </c>
      <c r="C93" s="3">
        <v>15</v>
      </c>
      <c r="D93" s="3">
        <v>4</v>
      </c>
      <c r="E93" s="3">
        <f>((1/(INDEX(E0!J$4:J$28,C93,1)-INDEX(E0!J$4:J$28,D93,1))))*100000000</f>
        <v>0</v>
      </c>
      <c r="F93" s="4" t="str">
        <f>HYPERLINK("http://141.218.60.56/~jnz1568/getInfo.php?workbook=06_01.xlsx&amp;sheet=A0&amp;row=93&amp;col=6&amp;number=&amp;sourceID=18","")</f>
        <v/>
      </c>
      <c r="G93" s="4" t="str">
        <f>HYPERLINK("http://141.218.60.56/~jnz1568/getInfo.php?workbook=06_01.xlsx&amp;sheet=A0&amp;row=93&amp;col=7&amp;number==&amp;sourceID=11","=")</f>
        <v>=</v>
      </c>
      <c r="H93" s="4" t="str">
        <f>HYPERLINK("http://141.218.60.56/~jnz1568/getInfo.php?workbook=06_01.xlsx&amp;sheet=A0&amp;row=93&amp;col=8&amp;number=26743000000&amp;sourceID=11","26743000000")</f>
        <v>26743000000</v>
      </c>
      <c r="I93" s="4" t="str">
        <f>HYPERLINK("http://141.218.60.56/~jnz1568/getInfo.php?workbook=06_01.xlsx&amp;sheet=A0&amp;row=93&amp;col=9&amp;number=&amp;sourceID=11","")</f>
        <v/>
      </c>
      <c r="J93" s="4" t="str">
        <f>HYPERLINK("http://141.218.60.56/~jnz1568/getInfo.php?workbook=06_01.xlsx&amp;sheet=A0&amp;row=93&amp;col=10&amp;number=2.7233e-07&amp;sourceID=11","2.7233e-07")</f>
        <v>2.7233e-07</v>
      </c>
      <c r="K93" s="4" t="str">
        <f>HYPERLINK("http://141.218.60.56/~jnz1568/getInfo.php?workbook=06_01.xlsx&amp;sheet=A0&amp;row=93&amp;col=11&amp;number=&amp;sourceID=11","")</f>
        <v/>
      </c>
      <c r="L93" s="4" t="str">
        <f>HYPERLINK("http://141.218.60.56/~jnz1568/getInfo.php?workbook=06_01.xlsx&amp;sheet=A0&amp;row=93&amp;col=12&amp;number=209.96&amp;sourceID=11","209.96")</f>
        <v>209.96</v>
      </c>
      <c r="M93" s="4" t="str">
        <f>HYPERLINK("http://141.218.60.56/~jnz1568/getInfo.php?workbook=06_01.xlsx&amp;sheet=A0&amp;row=93&amp;col=13&amp;number=&amp;sourceID=11","")</f>
        <v/>
      </c>
      <c r="N93" s="4" t="str">
        <f>HYPERLINK("http://141.218.60.56/~jnz1568/getInfo.php?workbook=06_01.xlsx&amp;sheet=A0&amp;row=93&amp;col=14&amp;number=26745000000&amp;sourceID=12","26745000000")</f>
        <v>26745000000</v>
      </c>
      <c r="O93" s="4" t="str">
        <f>HYPERLINK("http://141.218.60.56/~jnz1568/getInfo.php?workbook=06_01.xlsx&amp;sheet=A0&amp;row=93&amp;col=15&amp;number=26745000000&amp;sourceID=12","26745000000")</f>
        <v>26745000000</v>
      </c>
      <c r="P93" s="4" t="str">
        <f>HYPERLINK("http://141.218.60.56/~jnz1568/getInfo.php?workbook=06_01.xlsx&amp;sheet=A0&amp;row=93&amp;col=16&amp;number=&amp;sourceID=12","")</f>
        <v/>
      </c>
      <c r="Q93" s="4" t="str">
        <f>HYPERLINK("http://141.218.60.56/~jnz1568/getInfo.php?workbook=06_01.xlsx&amp;sheet=A0&amp;row=93&amp;col=17&amp;number=2.7268e-07&amp;sourceID=12","2.7268e-07")</f>
        <v>2.7268e-07</v>
      </c>
      <c r="R93" s="4" t="str">
        <f>HYPERLINK("http://141.218.60.56/~jnz1568/getInfo.php?workbook=06_01.xlsx&amp;sheet=A0&amp;row=93&amp;col=18&amp;number=&amp;sourceID=12","")</f>
        <v/>
      </c>
      <c r="S93" s="4" t="str">
        <f>HYPERLINK("http://141.218.60.56/~jnz1568/getInfo.php?workbook=06_01.xlsx&amp;sheet=A0&amp;row=93&amp;col=19&amp;number=209.97&amp;sourceID=12","209.97")</f>
        <v>209.97</v>
      </c>
      <c r="T93" s="4" t="str">
        <f>HYPERLINK("http://141.218.60.56/~jnz1568/getInfo.php?workbook=06_01.xlsx&amp;sheet=A0&amp;row=93&amp;col=20&amp;number=&amp;sourceID=12","")</f>
        <v/>
      </c>
      <c r="U93" s="4" t="str">
        <f>HYPERLINK("http://141.218.60.56/~jnz1568/getInfo.php?workbook=06_01.xlsx&amp;sheet=A0&amp;row=93&amp;col=21&amp;number==&amp;sourceID=13","=")</f>
        <v>=</v>
      </c>
      <c r="V93" s="4" t="str">
        <f>HYPERLINK("http://141.218.60.56/~jnz1568/getInfo.php?workbook=06_01.xlsx&amp;sheet=A0&amp;row=93&amp;col=22&amp;number=26700000000&amp;sourceID=13","26700000000")</f>
        <v>26700000000</v>
      </c>
      <c r="W93" s="4" t="str">
        <f>HYPERLINK("http://141.218.60.56/~jnz1568/getInfo.php?workbook=06_01.xlsx&amp;sheet=A0&amp;row=93&amp;col=23&amp;number=&amp;sourceID=13","")</f>
        <v/>
      </c>
      <c r="X93" s="4" t="str">
        <f>HYPERLINK("http://141.218.60.56/~jnz1568/getInfo.php?workbook=06_01.xlsx&amp;sheet=A0&amp;row=93&amp;col=24&amp;number=&amp;sourceID=13","")</f>
        <v/>
      </c>
      <c r="Y93" s="4" t="str">
        <f>HYPERLINK("http://141.218.60.56/~jnz1568/getInfo.php?workbook=06_01.xlsx&amp;sheet=A0&amp;row=93&amp;col=25&amp;number=&amp;sourceID=13","")</f>
        <v/>
      </c>
      <c r="Z93" s="4" t="str">
        <f>HYPERLINK("http://141.218.60.56/~jnz1568/getInfo.php?workbook=06_01.xlsx&amp;sheet=A0&amp;row=93&amp;col=26&amp;number=&amp;sourceID=13","")</f>
        <v/>
      </c>
    </row>
    <row r="94" spans="1:26">
      <c r="A94" s="3">
        <v>6</v>
      </c>
      <c r="B94" s="3">
        <v>1</v>
      </c>
      <c r="C94" s="3">
        <v>15</v>
      </c>
      <c r="D94" s="3">
        <v>5</v>
      </c>
      <c r="E94" s="3">
        <f>((1/(INDEX(E0!J$4:J$28,C94,1)-INDEX(E0!J$4:J$28,D94,1))))*100000000</f>
        <v>0</v>
      </c>
      <c r="F94" s="4" t="str">
        <f>HYPERLINK("http://141.218.60.56/~jnz1568/getInfo.php?workbook=06_01.xlsx&amp;sheet=A0&amp;row=94&amp;col=6&amp;number=&amp;sourceID=18","")</f>
        <v/>
      </c>
      <c r="G94" s="4" t="str">
        <f>HYPERLINK("http://141.218.60.56/~jnz1568/getInfo.php?workbook=06_01.xlsx&amp;sheet=A0&amp;row=94&amp;col=7&amp;number==&amp;sourceID=11","=")</f>
        <v>=</v>
      </c>
      <c r="H94" s="4" t="str">
        <f>HYPERLINK("http://141.218.60.56/~jnz1568/getInfo.php?workbook=06_01.xlsx&amp;sheet=A0&amp;row=94&amp;col=8&amp;number=&amp;sourceID=11","")</f>
        <v/>
      </c>
      <c r="I94" s="4" t="str">
        <f>HYPERLINK("http://141.218.60.56/~jnz1568/getInfo.php?workbook=06_01.xlsx&amp;sheet=A0&amp;row=94&amp;col=9&amp;number=&amp;sourceID=11","")</f>
        <v/>
      </c>
      <c r="J94" s="4" t="str">
        <f>HYPERLINK("http://141.218.60.56/~jnz1568/getInfo.php?workbook=06_01.xlsx&amp;sheet=A0&amp;row=94&amp;col=10&amp;number=1.1777&amp;sourceID=11","1.1777")</f>
        <v>1.1777</v>
      </c>
      <c r="K94" s="4" t="str">
        <f>HYPERLINK("http://141.218.60.56/~jnz1568/getInfo.php?workbook=06_01.xlsx&amp;sheet=A0&amp;row=94&amp;col=11&amp;number=&amp;sourceID=11","")</f>
        <v/>
      </c>
      <c r="L94" s="4" t="str">
        <f>HYPERLINK("http://141.218.60.56/~jnz1568/getInfo.php?workbook=06_01.xlsx&amp;sheet=A0&amp;row=94&amp;col=12&amp;number=0.88201&amp;sourceID=11","0.88201")</f>
        <v>0.88201</v>
      </c>
      <c r="M94" s="4" t="str">
        <f>HYPERLINK("http://141.218.60.56/~jnz1568/getInfo.php?workbook=06_01.xlsx&amp;sheet=A0&amp;row=94&amp;col=13&amp;number=&amp;sourceID=11","")</f>
        <v/>
      </c>
      <c r="N94" s="4" t="str">
        <f>HYPERLINK("http://141.218.60.56/~jnz1568/getInfo.php?workbook=06_01.xlsx&amp;sheet=A0&amp;row=94&amp;col=14&amp;number=2.0599&amp;sourceID=12","2.0599")</f>
        <v>2.0599</v>
      </c>
      <c r="O94" s="4" t="str">
        <f>HYPERLINK("http://141.218.60.56/~jnz1568/getInfo.php?workbook=06_01.xlsx&amp;sheet=A0&amp;row=94&amp;col=15&amp;number=&amp;sourceID=12","")</f>
        <v/>
      </c>
      <c r="P94" s="4" t="str">
        <f>HYPERLINK("http://141.218.60.56/~jnz1568/getInfo.php?workbook=06_01.xlsx&amp;sheet=A0&amp;row=94&amp;col=16&amp;number=&amp;sourceID=12","")</f>
        <v/>
      </c>
      <c r="Q94" s="4" t="str">
        <f>HYPERLINK("http://141.218.60.56/~jnz1568/getInfo.php?workbook=06_01.xlsx&amp;sheet=A0&amp;row=94&amp;col=17&amp;number=1.1778&amp;sourceID=12","1.1778")</f>
        <v>1.1778</v>
      </c>
      <c r="R94" s="4" t="str">
        <f>HYPERLINK("http://141.218.60.56/~jnz1568/getInfo.php?workbook=06_01.xlsx&amp;sheet=A0&amp;row=94&amp;col=18&amp;number=&amp;sourceID=12","")</f>
        <v/>
      </c>
      <c r="S94" s="4" t="str">
        <f>HYPERLINK("http://141.218.60.56/~jnz1568/getInfo.php?workbook=06_01.xlsx&amp;sheet=A0&amp;row=94&amp;col=19&amp;number=0.88206&amp;sourceID=12","0.88206")</f>
        <v>0.88206</v>
      </c>
      <c r="T94" s="4" t="str">
        <f>HYPERLINK("http://141.218.60.56/~jnz1568/getInfo.php?workbook=06_01.xlsx&amp;sheet=A0&amp;row=94&amp;col=20&amp;number=&amp;sourceID=12","")</f>
        <v/>
      </c>
      <c r="U94" s="4" t="str">
        <f>HYPERLINK("http://141.218.60.56/~jnz1568/getInfo.php?workbook=06_01.xlsx&amp;sheet=A0&amp;row=94&amp;col=21&amp;number==&amp;sourceID=13","=")</f>
        <v>=</v>
      </c>
      <c r="V94" s="4" t="str">
        <f>HYPERLINK("http://141.218.60.56/~jnz1568/getInfo.php?workbook=06_01.xlsx&amp;sheet=A0&amp;row=94&amp;col=22&amp;number=&amp;sourceID=13","")</f>
        <v/>
      </c>
      <c r="W94" s="4" t="str">
        <f>HYPERLINK("http://141.218.60.56/~jnz1568/getInfo.php?workbook=06_01.xlsx&amp;sheet=A0&amp;row=94&amp;col=23&amp;number=&amp;sourceID=13","")</f>
        <v/>
      </c>
      <c r="X94" s="4" t="str">
        <f>HYPERLINK("http://141.218.60.56/~jnz1568/getInfo.php?workbook=06_01.xlsx&amp;sheet=A0&amp;row=94&amp;col=24&amp;number=1.83&amp;sourceID=13","1.83")</f>
        <v>1.83</v>
      </c>
      <c r="Y94" s="4" t="str">
        <f>HYPERLINK("http://141.218.60.56/~jnz1568/getInfo.php?workbook=06_01.xlsx&amp;sheet=A0&amp;row=94&amp;col=25&amp;number=&amp;sourceID=13","")</f>
        <v/>
      </c>
      <c r="Z94" s="4" t="str">
        <f>HYPERLINK("http://141.218.60.56/~jnz1568/getInfo.php?workbook=06_01.xlsx&amp;sheet=A0&amp;row=94&amp;col=26&amp;number=3.53&amp;sourceID=13","3.53")</f>
        <v>3.53</v>
      </c>
    </row>
    <row r="95" spans="1:26">
      <c r="A95" s="3">
        <v>6</v>
      </c>
      <c r="B95" s="3">
        <v>1</v>
      </c>
      <c r="C95" s="3">
        <v>15</v>
      </c>
      <c r="D95" s="3">
        <v>6</v>
      </c>
      <c r="E95" s="3">
        <f>((1/(INDEX(E0!J$4:J$28,C95,1)-INDEX(E0!J$4:J$28,D95,1))))*100000000</f>
        <v>0</v>
      </c>
      <c r="F95" s="4" t="str">
        <f>HYPERLINK("http://141.218.60.56/~jnz1568/getInfo.php?workbook=06_01.xlsx&amp;sheet=A0&amp;row=95&amp;col=6&amp;number=&amp;sourceID=18","")</f>
        <v/>
      </c>
      <c r="G95" s="4" t="str">
        <f>HYPERLINK("http://141.218.60.56/~jnz1568/getInfo.php?workbook=06_01.xlsx&amp;sheet=A0&amp;row=95&amp;col=7&amp;number==&amp;sourceID=11","=")</f>
        <v>=</v>
      </c>
      <c r="H95" s="4" t="str">
        <f>HYPERLINK("http://141.218.60.56/~jnz1568/getInfo.php?workbook=06_01.xlsx&amp;sheet=A0&amp;row=95&amp;col=8&amp;number=&amp;sourceID=11","")</f>
        <v/>
      </c>
      <c r="I95" s="4" t="str">
        <f>HYPERLINK("http://141.218.60.56/~jnz1568/getInfo.php?workbook=06_01.xlsx&amp;sheet=A0&amp;row=95&amp;col=9&amp;number=175860&amp;sourceID=11","175860")</f>
        <v>175860</v>
      </c>
      <c r="J95" s="4" t="str">
        <f>HYPERLINK("http://141.218.60.56/~jnz1568/getInfo.php?workbook=06_01.xlsx&amp;sheet=A0&amp;row=95&amp;col=10&amp;number=&amp;sourceID=11","")</f>
        <v/>
      </c>
      <c r="K95" s="4" t="str">
        <f>HYPERLINK("http://141.218.60.56/~jnz1568/getInfo.php?workbook=06_01.xlsx&amp;sheet=A0&amp;row=95&amp;col=11&amp;number=&amp;sourceID=11","")</f>
        <v/>
      </c>
      <c r="L95" s="4" t="str">
        <f>HYPERLINK("http://141.218.60.56/~jnz1568/getInfo.php?workbook=06_01.xlsx&amp;sheet=A0&amp;row=95&amp;col=12&amp;number=&amp;sourceID=11","")</f>
        <v/>
      </c>
      <c r="M95" s="4" t="str">
        <f>HYPERLINK("http://141.218.60.56/~jnz1568/getInfo.php?workbook=06_01.xlsx&amp;sheet=A0&amp;row=95&amp;col=13&amp;number=8.5016e-05&amp;sourceID=11","8.5016e-05")</f>
        <v>8.5016e-05</v>
      </c>
      <c r="N95" s="4" t="str">
        <f>HYPERLINK("http://141.218.60.56/~jnz1568/getInfo.php?workbook=06_01.xlsx&amp;sheet=A0&amp;row=95&amp;col=14&amp;number=175870&amp;sourceID=12","175870")</f>
        <v>175870</v>
      </c>
      <c r="O95" s="4" t="str">
        <f>HYPERLINK("http://141.218.60.56/~jnz1568/getInfo.php?workbook=06_01.xlsx&amp;sheet=A0&amp;row=95&amp;col=15&amp;number=&amp;sourceID=12","")</f>
        <v/>
      </c>
      <c r="P95" s="4" t="str">
        <f>HYPERLINK("http://141.218.60.56/~jnz1568/getInfo.php?workbook=06_01.xlsx&amp;sheet=A0&amp;row=95&amp;col=16&amp;number=175870&amp;sourceID=12","175870")</f>
        <v>175870</v>
      </c>
      <c r="Q95" s="4" t="str">
        <f>HYPERLINK("http://141.218.60.56/~jnz1568/getInfo.php?workbook=06_01.xlsx&amp;sheet=A0&amp;row=95&amp;col=17&amp;number=&amp;sourceID=12","")</f>
        <v/>
      </c>
      <c r="R95" s="4" t="str">
        <f>HYPERLINK("http://141.218.60.56/~jnz1568/getInfo.php?workbook=06_01.xlsx&amp;sheet=A0&amp;row=95&amp;col=18&amp;number=&amp;sourceID=12","")</f>
        <v/>
      </c>
      <c r="S95" s="4" t="str">
        <f>HYPERLINK("http://141.218.60.56/~jnz1568/getInfo.php?workbook=06_01.xlsx&amp;sheet=A0&amp;row=95&amp;col=19&amp;number=&amp;sourceID=12","")</f>
        <v/>
      </c>
      <c r="T95" s="4" t="str">
        <f>HYPERLINK("http://141.218.60.56/~jnz1568/getInfo.php?workbook=06_01.xlsx&amp;sheet=A0&amp;row=95&amp;col=20&amp;number=8.5019e-05&amp;sourceID=12","8.5019e-05")</f>
        <v>8.5019e-05</v>
      </c>
      <c r="U95" s="4" t="str">
        <f>HYPERLINK("http://141.218.60.56/~jnz1568/getInfo.php?workbook=06_01.xlsx&amp;sheet=A0&amp;row=95&amp;col=21&amp;number==&amp;sourceID=13","=")</f>
        <v>=</v>
      </c>
      <c r="V95" s="4" t="str">
        <f>HYPERLINK("http://141.218.60.56/~jnz1568/getInfo.php?workbook=06_01.xlsx&amp;sheet=A0&amp;row=95&amp;col=22&amp;number=&amp;sourceID=13","")</f>
        <v/>
      </c>
      <c r="W95" s="4" t="str">
        <f>HYPERLINK("http://141.218.60.56/~jnz1568/getInfo.php?workbook=06_01.xlsx&amp;sheet=A0&amp;row=95&amp;col=23&amp;number=176000&amp;sourceID=13","176000")</f>
        <v>176000</v>
      </c>
      <c r="X95" s="4" t="str">
        <f>HYPERLINK("http://141.218.60.56/~jnz1568/getInfo.php?workbook=06_01.xlsx&amp;sheet=A0&amp;row=95&amp;col=24&amp;number=&amp;sourceID=13","")</f>
        <v/>
      </c>
      <c r="Y95" s="4" t="str">
        <f>HYPERLINK("http://141.218.60.56/~jnz1568/getInfo.php?workbook=06_01.xlsx&amp;sheet=A0&amp;row=95&amp;col=25&amp;number=&amp;sourceID=13","")</f>
        <v/>
      </c>
      <c r="Z95" s="4" t="str">
        <f>HYPERLINK("http://141.218.60.56/~jnz1568/getInfo.php?workbook=06_01.xlsx&amp;sheet=A0&amp;row=95&amp;col=26&amp;number=&amp;sourceID=13","")</f>
        <v/>
      </c>
    </row>
    <row r="96" spans="1:26">
      <c r="A96" s="3">
        <v>6</v>
      </c>
      <c r="B96" s="3">
        <v>1</v>
      </c>
      <c r="C96" s="3">
        <v>15</v>
      </c>
      <c r="D96" s="3">
        <v>7</v>
      </c>
      <c r="E96" s="3">
        <f>((1/(INDEX(E0!J$4:J$28,C96,1)-INDEX(E0!J$4:J$28,D96,1))))*100000000</f>
        <v>0</v>
      </c>
      <c r="F96" s="4" t="str">
        <f>HYPERLINK("http://141.218.60.56/~jnz1568/getInfo.php?workbook=06_01.xlsx&amp;sheet=A0&amp;row=96&amp;col=6&amp;number=&amp;sourceID=18","")</f>
        <v/>
      </c>
      <c r="G96" s="4" t="str">
        <f>HYPERLINK("http://141.218.60.56/~jnz1568/getInfo.php?workbook=06_01.xlsx&amp;sheet=A0&amp;row=96&amp;col=7&amp;number==&amp;sourceID=11","=")</f>
        <v>=</v>
      </c>
      <c r="H96" s="4" t="str">
        <f>HYPERLINK("http://141.218.60.56/~jnz1568/getInfo.php?workbook=06_01.xlsx&amp;sheet=A0&amp;row=96&amp;col=8&amp;number=&amp;sourceID=11","")</f>
        <v/>
      </c>
      <c r="I96" s="4" t="str">
        <f>HYPERLINK("http://141.218.60.56/~jnz1568/getInfo.php?workbook=06_01.xlsx&amp;sheet=A0&amp;row=96&amp;col=9&amp;number=11109&amp;sourceID=11","11109")</f>
        <v>11109</v>
      </c>
      <c r="J96" s="4" t="str">
        <f>HYPERLINK("http://141.218.60.56/~jnz1568/getInfo.php?workbook=06_01.xlsx&amp;sheet=A0&amp;row=96&amp;col=10&amp;number=&amp;sourceID=11","")</f>
        <v/>
      </c>
      <c r="K96" s="4" t="str">
        <f>HYPERLINK("http://141.218.60.56/~jnz1568/getInfo.php?workbook=06_01.xlsx&amp;sheet=A0&amp;row=96&amp;col=11&amp;number=0.00086609&amp;sourceID=11","0.00086609")</f>
        <v>0.00086609</v>
      </c>
      <c r="L96" s="4" t="str">
        <f>HYPERLINK("http://141.218.60.56/~jnz1568/getInfo.php?workbook=06_01.xlsx&amp;sheet=A0&amp;row=96&amp;col=12&amp;number=&amp;sourceID=11","")</f>
        <v/>
      </c>
      <c r="M96" s="4" t="str">
        <f>HYPERLINK("http://141.218.60.56/~jnz1568/getInfo.php?workbook=06_01.xlsx&amp;sheet=A0&amp;row=96&amp;col=13&amp;number=3.0644e-07&amp;sourceID=11","3.0644e-07")</f>
        <v>3.0644e-07</v>
      </c>
      <c r="N96" s="4" t="str">
        <f>HYPERLINK("http://141.218.60.56/~jnz1568/getInfo.php?workbook=06_01.xlsx&amp;sheet=A0&amp;row=96&amp;col=14&amp;number=11110&amp;sourceID=12","11110")</f>
        <v>11110</v>
      </c>
      <c r="O96" s="4" t="str">
        <f>HYPERLINK("http://141.218.60.56/~jnz1568/getInfo.php?workbook=06_01.xlsx&amp;sheet=A0&amp;row=96&amp;col=15&amp;number=&amp;sourceID=12","")</f>
        <v/>
      </c>
      <c r="P96" s="4" t="str">
        <f>HYPERLINK("http://141.218.60.56/~jnz1568/getInfo.php?workbook=06_01.xlsx&amp;sheet=A0&amp;row=96&amp;col=16&amp;number=11110&amp;sourceID=12","11110")</f>
        <v>11110</v>
      </c>
      <c r="Q96" s="4" t="str">
        <f>HYPERLINK("http://141.218.60.56/~jnz1568/getInfo.php?workbook=06_01.xlsx&amp;sheet=A0&amp;row=96&amp;col=17&amp;number=&amp;sourceID=12","")</f>
        <v/>
      </c>
      <c r="R96" s="4" t="str">
        <f>HYPERLINK("http://141.218.60.56/~jnz1568/getInfo.php?workbook=06_01.xlsx&amp;sheet=A0&amp;row=96&amp;col=18&amp;number=0.00086615&amp;sourceID=12","0.00086615")</f>
        <v>0.00086615</v>
      </c>
      <c r="S96" s="4" t="str">
        <f>HYPERLINK("http://141.218.60.56/~jnz1568/getInfo.php?workbook=06_01.xlsx&amp;sheet=A0&amp;row=96&amp;col=19&amp;number=&amp;sourceID=12","")</f>
        <v/>
      </c>
      <c r="T96" s="4" t="str">
        <f>HYPERLINK("http://141.218.60.56/~jnz1568/getInfo.php?workbook=06_01.xlsx&amp;sheet=A0&amp;row=96&amp;col=20&amp;number=3.0646e-07&amp;sourceID=12","3.0646e-07")</f>
        <v>3.0646e-07</v>
      </c>
      <c r="U96" s="4" t="str">
        <f>HYPERLINK("http://141.218.60.56/~jnz1568/getInfo.php?workbook=06_01.xlsx&amp;sheet=A0&amp;row=96&amp;col=21&amp;number==&amp;sourceID=13","=")</f>
        <v>=</v>
      </c>
      <c r="V96" s="4" t="str">
        <f>HYPERLINK("http://141.218.60.56/~jnz1568/getInfo.php?workbook=06_01.xlsx&amp;sheet=A0&amp;row=96&amp;col=22&amp;number=&amp;sourceID=13","")</f>
        <v/>
      </c>
      <c r="W96" s="4" t="str">
        <f>HYPERLINK("http://141.218.60.56/~jnz1568/getInfo.php?workbook=06_01.xlsx&amp;sheet=A0&amp;row=96&amp;col=23&amp;number=11100&amp;sourceID=13","11100")</f>
        <v>11100</v>
      </c>
      <c r="X96" s="4" t="str">
        <f>HYPERLINK("http://141.218.60.56/~jnz1568/getInfo.php?workbook=06_01.xlsx&amp;sheet=A0&amp;row=96&amp;col=24&amp;number=&amp;sourceID=13","")</f>
        <v/>
      </c>
      <c r="Y96" s="4" t="str">
        <f>HYPERLINK("http://141.218.60.56/~jnz1568/getInfo.php?workbook=06_01.xlsx&amp;sheet=A0&amp;row=96&amp;col=25&amp;number=0.000745&amp;sourceID=13","0.000745")</f>
        <v>0.000745</v>
      </c>
      <c r="Z96" s="4" t="str">
        <f>HYPERLINK("http://141.218.60.56/~jnz1568/getInfo.php?workbook=06_01.xlsx&amp;sheet=A0&amp;row=96&amp;col=26&amp;number=&amp;sourceID=13","")</f>
        <v/>
      </c>
    </row>
    <row r="97" spans="1:26">
      <c r="A97" s="3">
        <v>6</v>
      </c>
      <c r="B97" s="3">
        <v>1</v>
      </c>
      <c r="C97" s="3">
        <v>15</v>
      </c>
      <c r="D97" s="3">
        <v>8</v>
      </c>
      <c r="E97" s="3">
        <f>((1/(INDEX(E0!J$4:J$28,C97,1)-INDEX(E0!J$4:J$28,D97,1))))*100000000</f>
        <v>0</v>
      </c>
      <c r="F97" s="4" t="str">
        <f>HYPERLINK("http://141.218.60.56/~jnz1568/getInfo.php?workbook=06_01.xlsx&amp;sheet=A0&amp;row=97&amp;col=6&amp;number=&amp;sourceID=18","")</f>
        <v/>
      </c>
      <c r="G97" s="4" t="str">
        <f>HYPERLINK("http://141.218.60.56/~jnz1568/getInfo.php?workbook=06_01.xlsx&amp;sheet=A0&amp;row=97&amp;col=7&amp;number==&amp;sourceID=11","=")</f>
        <v>=</v>
      </c>
      <c r="H97" s="4" t="str">
        <f>HYPERLINK("http://141.218.60.56/~jnz1568/getInfo.php?workbook=06_01.xlsx&amp;sheet=A0&amp;row=97&amp;col=8&amp;number=9124900000&amp;sourceID=11","9124900000")</f>
        <v>9124900000</v>
      </c>
      <c r="I97" s="4" t="str">
        <f>HYPERLINK("http://141.218.60.56/~jnz1568/getInfo.php?workbook=06_01.xlsx&amp;sheet=A0&amp;row=97&amp;col=9&amp;number=&amp;sourceID=11","")</f>
        <v/>
      </c>
      <c r="J97" s="4" t="str">
        <f>HYPERLINK("http://141.218.60.56/~jnz1568/getInfo.php?workbook=06_01.xlsx&amp;sheet=A0&amp;row=97&amp;col=10&amp;number=0.93956&amp;sourceID=11","0.93956")</f>
        <v>0.93956</v>
      </c>
      <c r="K97" s="4" t="str">
        <f>HYPERLINK("http://141.218.60.56/~jnz1568/getInfo.php?workbook=06_01.xlsx&amp;sheet=A0&amp;row=97&amp;col=11&amp;number=&amp;sourceID=11","")</f>
        <v/>
      </c>
      <c r="L97" s="4" t="str">
        <f>HYPERLINK("http://141.218.60.56/~jnz1568/getInfo.php?workbook=06_01.xlsx&amp;sheet=A0&amp;row=97&amp;col=12&amp;number=4.8177&amp;sourceID=11","4.8177")</f>
        <v>4.8177</v>
      </c>
      <c r="M97" s="4" t="str">
        <f>HYPERLINK("http://141.218.60.56/~jnz1568/getInfo.php?workbook=06_01.xlsx&amp;sheet=A0&amp;row=97&amp;col=13&amp;number=&amp;sourceID=11","")</f>
        <v/>
      </c>
      <c r="N97" s="4" t="str">
        <f>HYPERLINK("http://141.218.60.56/~jnz1568/getInfo.php?workbook=06_01.xlsx&amp;sheet=A0&amp;row=97&amp;col=14&amp;number=9125300000&amp;sourceID=12","9125300000")</f>
        <v>9125300000</v>
      </c>
      <c r="O97" s="4" t="str">
        <f>HYPERLINK("http://141.218.60.56/~jnz1568/getInfo.php?workbook=06_01.xlsx&amp;sheet=A0&amp;row=97&amp;col=15&amp;number=9125300000&amp;sourceID=12","9125300000")</f>
        <v>9125300000</v>
      </c>
      <c r="P97" s="4" t="str">
        <f>HYPERLINK("http://141.218.60.56/~jnz1568/getInfo.php?workbook=06_01.xlsx&amp;sheet=A0&amp;row=97&amp;col=16&amp;number=&amp;sourceID=12","")</f>
        <v/>
      </c>
      <c r="Q97" s="4" t="str">
        <f>HYPERLINK("http://141.218.60.56/~jnz1568/getInfo.php?workbook=06_01.xlsx&amp;sheet=A0&amp;row=97&amp;col=17&amp;number=0.9396&amp;sourceID=12","0.9396")</f>
        <v>0.9396</v>
      </c>
      <c r="R97" s="4" t="str">
        <f>HYPERLINK("http://141.218.60.56/~jnz1568/getInfo.php?workbook=06_01.xlsx&amp;sheet=A0&amp;row=97&amp;col=18&amp;number=&amp;sourceID=12","")</f>
        <v/>
      </c>
      <c r="S97" s="4" t="str">
        <f>HYPERLINK("http://141.218.60.56/~jnz1568/getInfo.php?workbook=06_01.xlsx&amp;sheet=A0&amp;row=97&amp;col=19&amp;number=4.818&amp;sourceID=12","4.818")</f>
        <v>4.818</v>
      </c>
      <c r="T97" s="4" t="str">
        <f>HYPERLINK("http://141.218.60.56/~jnz1568/getInfo.php?workbook=06_01.xlsx&amp;sheet=A0&amp;row=97&amp;col=20&amp;number=&amp;sourceID=12","")</f>
        <v/>
      </c>
      <c r="U97" s="4" t="str">
        <f>HYPERLINK("http://141.218.60.56/~jnz1568/getInfo.php?workbook=06_01.xlsx&amp;sheet=A0&amp;row=97&amp;col=21&amp;number==&amp;sourceID=13","=")</f>
        <v>=</v>
      </c>
      <c r="V97" s="4" t="str">
        <f>HYPERLINK("http://141.218.60.56/~jnz1568/getInfo.php?workbook=06_01.xlsx&amp;sheet=A0&amp;row=97&amp;col=22&amp;number=9120000000&amp;sourceID=13","9120000000")</f>
        <v>9120000000</v>
      </c>
      <c r="W97" s="4" t="str">
        <f>HYPERLINK("http://141.218.60.56/~jnz1568/getInfo.php?workbook=06_01.xlsx&amp;sheet=A0&amp;row=97&amp;col=23&amp;number=&amp;sourceID=13","")</f>
        <v/>
      </c>
      <c r="X97" s="4" t="str">
        <f>HYPERLINK("http://141.218.60.56/~jnz1568/getInfo.php?workbook=06_01.xlsx&amp;sheet=A0&amp;row=97&amp;col=24&amp;number=&amp;sourceID=13","")</f>
        <v/>
      </c>
      <c r="Y97" s="4" t="str">
        <f>HYPERLINK("http://141.218.60.56/~jnz1568/getInfo.php?workbook=06_01.xlsx&amp;sheet=A0&amp;row=97&amp;col=25&amp;number=&amp;sourceID=13","")</f>
        <v/>
      </c>
      <c r="Z97" s="4" t="str">
        <f>HYPERLINK("http://141.218.60.56/~jnz1568/getInfo.php?workbook=06_01.xlsx&amp;sheet=A0&amp;row=97&amp;col=26&amp;number=&amp;sourceID=13","")</f>
        <v/>
      </c>
    </row>
    <row r="98" spans="1:26">
      <c r="A98" s="3">
        <v>6</v>
      </c>
      <c r="B98" s="3">
        <v>1</v>
      </c>
      <c r="C98" s="3">
        <v>15</v>
      </c>
      <c r="D98" s="3">
        <v>9</v>
      </c>
      <c r="E98" s="3">
        <f>((1/(INDEX(E0!J$4:J$28,C98,1)-INDEX(E0!J$4:J$28,D98,1))))*100000000</f>
        <v>0</v>
      </c>
      <c r="F98" s="4" t="str">
        <f>HYPERLINK("http://141.218.60.56/~jnz1568/getInfo.php?workbook=06_01.xlsx&amp;sheet=A0&amp;row=98&amp;col=6&amp;number=&amp;sourceID=18","")</f>
        <v/>
      </c>
      <c r="G98" s="4" t="str">
        <f>HYPERLINK("http://141.218.60.56/~jnz1568/getInfo.php?workbook=06_01.xlsx&amp;sheet=A0&amp;row=98&amp;col=7&amp;number==&amp;sourceID=11","=")</f>
        <v>=</v>
      </c>
      <c r="H98" s="4" t="str">
        <f>HYPERLINK("http://141.218.60.56/~jnz1568/getInfo.php?workbook=06_01.xlsx&amp;sheet=A0&amp;row=98&amp;col=8&amp;number=&amp;sourceID=11","")</f>
        <v/>
      </c>
      <c r="I98" s="4" t="str">
        <f>HYPERLINK("http://141.218.60.56/~jnz1568/getInfo.php?workbook=06_01.xlsx&amp;sheet=A0&amp;row=98&amp;col=9&amp;number=44423&amp;sourceID=11","44423")</f>
        <v>44423</v>
      </c>
      <c r="J98" s="4" t="str">
        <f>HYPERLINK("http://141.218.60.56/~jnz1568/getInfo.php?workbook=06_01.xlsx&amp;sheet=A0&amp;row=98&amp;col=10&amp;number=&amp;sourceID=11","")</f>
        <v/>
      </c>
      <c r="K98" s="4" t="str">
        <f>HYPERLINK("http://141.218.60.56/~jnz1568/getInfo.php?workbook=06_01.xlsx&amp;sheet=A0&amp;row=98&amp;col=11&amp;number=0.0036683&amp;sourceID=11","0.0036683")</f>
        <v>0.0036683</v>
      </c>
      <c r="L98" s="4" t="str">
        <f>HYPERLINK("http://141.218.60.56/~jnz1568/getInfo.php?workbook=06_01.xlsx&amp;sheet=A0&amp;row=98&amp;col=12&amp;number=&amp;sourceID=11","")</f>
        <v/>
      </c>
      <c r="M98" s="4" t="str">
        <f>HYPERLINK("http://141.218.60.56/~jnz1568/getInfo.php?workbook=06_01.xlsx&amp;sheet=A0&amp;row=98&amp;col=13&amp;number=3.7204e-05&amp;sourceID=11","3.7204e-05")</f>
        <v>3.7204e-05</v>
      </c>
      <c r="N98" s="4" t="str">
        <f>HYPERLINK("http://141.218.60.56/~jnz1568/getInfo.php?workbook=06_01.xlsx&amp;sheet=A0&amp;row=98&amp;col=14&amp;number=44425&amp;sourceID=12","44425")</f>
        <v>44425</v>
      </c>
      <c r="O98" s="4" t="str">
        <f>HYPERLINK("http://141.218.60.56/~jnz1568/getInfo.php?workbook=06_01.xlsx&amp;sheet=A0&amp;row=98&amp;col=15&amp;number=&amp;sourceID=12","")</f>
        <v/>
      </c>
      <c r="P98" s="4" t="str">
        <f>HYPERLINK("http://141.218.60.56/~jnz1568/getInfo.php?workbook=06_01.xlsx&amp;sheet=A0&amp;row=98&amp;col=16&amp;number=44425&amp;sourceID=12","44425")</f>
        <v>44425</v>
      </c>
      <c r="Q98" s="4" t="str">
        <f>HYPERLINK("http://141.218.60.56/~jnz1568/getInfo.php?workbook=06_01.xlsx&amp;sheet=A0&amp;row=98&amp;col=17&amp;number=&amp;sourceID=12","")</f>
        <v/>
      </c>
      <c r="R98" s="4" t="str">
        <f>HYPERLINK("http://141.218.60.56/~jnz1568/getInfo.php?workbook=06_01.xlsx&amp;sheet=A0&amp;row=98&amp;col=18&amp;number=0.0036684&amp;sourceID=12","0.0036684")</f>
        <v>0.0036684</v>
      </c>
      <c r="S98" s="4" t="str">
        <f>HYPERLINK("http://141.218.60.56/~jnz1568/getInfo.php?workbook=06_01.xlsx&amp;sheet=A0&amp;row=98&amp;col=19&amp;number=&amp;sourceID=12","")</f>
        <v/>
      </c>
      <c r="T98" s="4" t="str">
        <f>HYPERLINK("http://141.218.60.56/~jnz1568/getInfo.php?workbook=06_01.xlsx&amp;sheet=A0&amp;row=98&amp;col=20&amp;number=3.7206e-05&amp;sourceID=12","3.7206e-05")</f>
        <v>3.7206e-05</v>
      </c>
      <c r="U98" s="4" t="str">
        <f>HYPERLINK("http://141.218.60.56/~jnz1568/getInfo.php?workbook=06_01.xlsx&amp;sheet=A0&amp;row=98&amp;col=21&amp;number==&amp;sourceID=13","=")</f>
        <v>=</v>
      </c>
      <c r="V98" s="4" t="str">
        <f>HYPERLINK("http://141.218.60.56/~jnz1568/getInfo.php?workbook=06_01.xlsx&amp;sheet=A0&amp;row=98&amp;col=22&amp;number=&amp;sourceID=13","")</f>
        <v/>
      </c>
      <c r="W98" s="4" t="str">
        <f>HYPERLINK("http://141.218.60.56/~jnz1568/getInfo.php?workbook=06_01.xlsx&amp;sheet=A0&amp;row=98&amp;col=23&amp;number=44400&amp;sourceID=13","44400")</f>
        <v>44400</v>
      </c>
      <c r="X98" s="4" t="str">
        <f>HYPERLINK("http://141.218.60.56/~jnz1568/getInfo.php?workbook=06_01.xlsx&amp;sheet=A0&amp;row=98&amp;col=24&amp;number=&amp;sourceID=13","")</f>
        <v/>
      </c>
      <c r="Y98" s="4" t="str">
        <f>HYPERLINK("http://141.218.60.56/~jnz1568/getInfo.php?workbook=06_01.xlsx&amp;sheet=A0&amp;row=98&amp;col=25&amp;number=0.00367&amp;sourceID=13","0.00367")</f>
        <v>0.00367</v>
      </c>
      <c r="Z98" s="4" t="str">
        <f>HYPERLINK("http://141.218.60.56/~jnz1568/getInfo.php?workbook=06_01.xlsx&amp;sheet=A0&amp;row=98&amp;col=26&amp;number=&amp;sourceID=13","")</f>
        <v/>
      </c>
    </row>
    <row r="99" spans="1:26">
      <c r="A99" s="3">
        <v>6</v>
      </c>
      <c r="B99" s="3">
        <v>1</v>
      </c>
      <c r="C99" s="3">
        <v>15</v>
      </c>
      <c r="D99" s="3">
        <v>10</v>
      </c>
      <c r="E99" s="3">
        <f>((1/(INDEX(E0!J$4:J$28,C99,1)-INDEX(E0!J$4:J$28,D99,1))))*100000000</f>
        <v>0</v>
      </c>
      <c r="F99" s="4" t="str">
        <f>HYPERLINK("http://141.218.60.56/~jnz1568/getInfo.php?workbook=06_01.xlsx&amp;sheet=A0&amp;row=99&amp;col=6&amp;number=&amp;sourceID=18","")</f>
        <v/>
      </c>
      <c r="G99" s="4" t="str">
        <f>HYPERLINK("http://141.218.60.56/~jnz1568/getInfo.php?workbook=06_01.xlsx&amp;sheet=A0&amp;row=99&amp;col=7&amp;number==&amp;sourceID=11","=")</f>
        <v>=</v>
      </c>
      <c r="H99" s="4" t="str">
        <f>HYPERLINK("http://141.218.60.56/~jnz1568/getInfo.php?workbook=06_01.xlsx&amp;sheet=A0&amp;row=99&amp;col=8&amp;number=&amp;sourceID=11","")</f>
        <v/>
      </c>
      <c r="I99" s="4" t="str">
        <f>HYPERLINK("http://141.218.60.56/~jnz1568/getInfo.php?workbook=06_01.xlsx&amp;sheet=A0&amp;row=99&amp;col=9&amp;number=&amp;sourceID=11","")</f>
        <v/>
      </c>
      <c r="J99" s="4" t="str">
        <f>HYPERLINK("http://141.218.60.56/~jnz1568/getInfo.php?workbook=06_01.xlsx&amp;sheet=A0&amp;row=99&amp;col=10&amp;number=0&amp;sourceID=11","0")</f>
        <v>0</v>
      </c>
      <c r="K99" s="4" t="str">
        <f>HYPERLINK("http://141.218.60.56/~jnz1568/getInfo.php?workbook=06_01.xlsx&amp;sheet=A0&amp;row=99&amp;col=11&amp;number=&amp;sourceID=11","")</f>
        <v/>
      </c>
      <c r="L99" s="4" t="str">
        <f>HYPERLINK("http://141.218.60.56/~jnz1568/getInfo.php?workbook=06_01.xlsx&amp;sheet=A0&amp;row=99&amp;col=12&amp;number=0&amp;sourceID=11","0")</f>
        <v>0</v>
      </c>
      <c r="M99" s="4" t="str">
        <f>HYPERLINK("http://141.218.60.56/~jnz1568/getInfo.php?workbook=06_01.xlsx&amp;sheet=A0&amp;row=99&amp;col=13&amp;number=&amp;sourceID=11","")</f>
        <v/>
      </c>
      <c r="N99" s="4" t="str">
        <f>HYPERLINK("http://141.218.60.56/~jnz1568/getInfo.php?workbook=06_01.xlsx&amp;sheet=A0&amp;row=99&amp;col=14&amp;number=0&amp;sourceID=12","0")</f>
        <v>0</v>
      </c>
      <c r="O99" s="4" t="str">
        <f>HYPERLINK("http://141.218.60.56/~jnz1568/getInfo.php?workbook=06_01.xlsx&amp;sheet=A0&amp;row=99&amp;col=15&amp;number=&amp;sourceID=12","")</f>
        <v/>
      </c>
      <c r="P99" s="4" t="str">
        <f>HYPERLINK("http://141.218.60.56/~jnz1568/getInfo.php?workbook=06_01.xlsx&amp;sheet=A0&amp;row=99&amp;col=16&amp;number=&amp;sourceID=12","")</f>
        <v/>
      </c>
      <c r="Q99" s="4" t="str">
        <f>HYPERLINK("http://141.218.60.56/~jnz1568/getInfo.php?workbook=06_01.xlsx&amp;sheet=A0&amp;row=99&amp;col=17&amp;number=0&amp;sourceID=12","0")</f>
        <v>0</v>
      </c>
      <c r="R99" s="4" t="str">
        <f>HYPERLINK("http://141.218.60.56/~jnz1568/getInfo.php?workbook=06_01.xlsx&amp;sheet=A0&amp;row=99&amp;col=18&amp;number=&amp;sourceID=12","")</f>
        <v/>
      </c>
      <c r="S99" s="4" t="str">
        <f>HYPERLINK("http://141.218.60.56/~jnz1568/getInfo.php?workbook=06_01.xlsx&amp;sheet=A0&amp;row=99&amp;col=19&amp;number=0&amp;sourceID=12","0")</f>
        <v>0</v>
      </c>
      <c r="T99" s="4" t="str">
        <f>HYPERLINK("http://141.218.60.56/~jnz1568/getInfo.php?workbook=06_01.xlsx&amp;sheet=A0&amp;row=99&amp;col=20&amp;number=&amp;sourceID=12","")</f>
        <v/>
      </c>
      <c r="U99" s="4" t="str">
        <f>HYPERLINK("http://141.218.60.56/~jnz1568/getInfo.php?workbook=06_01.xlsx&amp;sheet=A0&amp;row=99&amp;col=21&amp;number=&amp;sourceID=13","")</f>
        <v/>
      </c>
      <c r="V99" s="4" t="str">
        <f>HYPERLINK("http://141.218.60.56/~jnz1568/getInfo.php?workbook=06_01.xlsx&amp;sheet=A0&amp;row=99&amp;col=22&amp;number=&amp;sourceID=13","")</f>
        <v/>
      </c>
      <c r="W99" s="4" t="str">
        <f>HYPERLINK("http://141.218.60.56/~jnz1568/getInfo.php?workbook=06_01.xlsx&amp;sheet=A0&amp;row=99&amp;col=23&amp;number=&amp;sourceID=13","")</f>
        <v/>
      </c>
      <c r="X99" s="4" t="str">
        <f>HYPERLINK("http://141.218.60.56/~jnz1568/getInfo.php?workbook=06_01.xlsx&amp;sheet=A0&amp;row=99&amp;col=24&amp;number=&amp;sourceID=13","")</f>
        <v/>
      </c>
      <c r="Y99" s="4" t="str">
        <f>HYPERLINK("http://141.218.60.56/~jnz1568/getInfo.php?workbook=06_01.xlsx&amp;sheet=A0&amp;row=99&amp;col=25&amp;number=&amp;sourceID=13","")</f>
        <v/>
      </c>
      <c r="Z99" s="4" t="str">
        <f>HYPERLINK("http://141.218.60.56/~jnz1568/getInfo.php?workbook=06_01.xlsx&amp;sheet=A0&amp;row=99&amp;col=26&amp;number=&amp;sourceID=13","")</f>
        <v/>
      </c>
    </row>
    <row r="100" spans="1:26">
      <c r="A100" s="3">
        <v>6</v>
      </c>
      <c r="B100" s="3">
        <v>1</v>
      </c>
      <c r="C100" s="3">
        <v>15</v>
      </c>
      <c r="D100" s="3">
        <v>11</v>
      </c>
      <c r="E100" s="3">
        <f>((1/(INDEX(E0!J$4:J$28,C100,1)-INDEX(E0!J$4:J$28,D100,1))))*100000000</f>
        <v>0</v>
      </c>
      <c r="F100" s="4" t="str">
        <f>HYPERLINK("http://141.218.60.56/~jnz1568/getInfo.php?workbook=06_01.xlsx&amp;sheet=A0&amp;row=100&amp;col=6&amp;number=&amp;sourceID=18","")</f>
        <v/>
      </c>
      <c r="G100" s="4" t="str">
        <f>HYPERLINK("http://141.218.60.56/~jnz1568/getInfo.php?workbook=06_01.xlsx&amp;sheet=A0&amp;row=100&amp;col=7&amp;number==&amp;sourceID=11","=")</f>
        <v>=</v>
      </c>
      <c r="H100" s="4" t="str">
        <f>HYPERLINK("http://141.218.60.56/~jnz1568/getInfo.php?workbook=06_01.xlsx&amp;sheet=A0&amp;row=100&amp;col=8&amp;number=&amp;sourceID=11","")</f>
        <v/>
      </c>
      <c r="I100" s="4" t="str">
        <f>HYPERLINK("http://141.218.60.56/~jnz1568/getInfo.php?workbook=06_01.xlsx&amp;sheet=A0&amp;row=100&amp;col=9&amp;number=1.5277e-11&amp;sourceID=11","1.5277e-11")</f>
        <v>1.5277e-11</v>
      </c>
      <c r="J100" s="4" t="str">
        <f>HYPERLINK("http://141.218.60.56/~jnz1568/getInfo.php?workbook=06_01.xlsx&amp;sheet=A0&amp;row=100&amp;col=10&amp;number=&amp;sourceID=11","")</f>
        <v/>
      </c>
      <c r="K100" s="4" t="str">
        <f>HYPERLINK("http://141.218.60.56/~jnz1568/getInfo.php?workbook=06_01.xlsx&amp;sheet=A0&amp;row=100&amp;col=11&amp;number=&amp;sourceID=11","")</f>
        <v/>
      </c>
      <c r="L100" s="4" t="str">
        <f>HYPERLINK("http://141.218.60.56/~jnz1568/getInfo.php?workbook=06_01.xlsx&amp;sheet=A0&amp;row=100&amp;col=12&amp;number=&amp;sourceID=11","")</f>
        <v/>
      </c>
      <c r="M100" s="4" t="str">
        <f>HYPERLINK("http://141.218.60.56/~jnz1568/getInfo.php?workbook=06_01.xlsx&amp;sheet=A0&amp;row=100&amp;col=13&amp;number=0&amp;sourceID=11","0")</f>
        <v>0</v>
      </c>
      <c r="N100" s="4" t="str">
        <f>HYPERLINK("http://141.218.60.56/~jnz1568/getInfo.php?workbook=06_01.xlsx&amp;sheet=A0&amp;row=100&amp;col=14&amp;number=1.5279e-11&amp;sourceID=12","1.5279e-11")</f>
        <v>1.5279e-11</v>
      </c>
      <c r="O100" s="4" t="str">
        <f>HYPERLINK("http://141.218.60.56/~jnz1568/getInfo.php?workbook=06_01.xlsx&amp;sheet=A0&amp;row=100&amp;col=15&amp;number=&amp;sourceID=12","")</f>
        <v/>
      </c>
      <c r="P100" s="4" t="str">
        <f>HYPERLINK("http://141.218.60.56/~jnz1568/getInfo.php?workbook=06_01.xlsx&amp;sheet=A0&amp;row=100&amp;col=16&amp;number=1.5279e-11&amp;sourceID=12","1.5279e-11")</f>
        <v>1.5279e-11</v>
      </c>
      <c r="Q100" s="4" t="str">
        <f>HYPERLINK("http://141.218.60.56/~jnz1568/getInfo.php?workbook=06_01.xlsx&amp;sheet=A0&amp;row=100&amp;col=17&amp;number=&amp;sourceID=12","")</f>
        <v/>
      </c>
      <c r="R100" s="4" t="str">
        <f>HYPERLINK("http://141.218.60.56/~jnz1568/getInfo.php?workbook=06_01.xlsx&amp;sheet=A0&amp;row=100&amp;col=18&amp;number=&amp;sourceID=12","")</f>
        <v/>
      </c>
      <c r="S100" s="4" t="str">
        <f>HYPERLINK("http://141.218.60.56/~jnz1568/getInfo.php?workbook=06_01.xlsx&amp;sheet=A0&amp;row=100&amp;col=19&amp;number=&amp;sourceID=12","")</f>
        <v/>
      </c>
      <c r="T100" s="4" t="str">
        <f>HYPERLINK("http://141.218.60.56/~jnz1568/getInfo.php?workbook=06_01.xlsx&amp;sheet=A0&amp;row=100&amp;col=20&amp;number=0&amp;sourceID=12","0")</f>
        <v>0</v>
      </c>
      <c r="U100" s="4" t="str">
        <f>HYPERLINK("http://141.218.60.56/~jnz1568/getInfo.php?workbook=06_01.xlsx&amp;sheet=A0&amp;row=100&amp;col=21&amp;number=&amp;sourceID=13","")</f>
        <v/>
      </c>
      <c r="V100" s="4" t="str">
        <f>HYPERLINK("http://141.218.60.56/~jnz1568/getInfo.php?workbook=06_01.xlsx&amp;sheet=A0&amp;row=100&amp;col=22&amp;number=&amp;sourceID=13","")</f>
        <v/>
      </c>
      <c r="W100" s="4" t="str">
        <f>HYPERLINK("http://141.218.60.56/~jnz1568/getInfo.php?workbook=06_01.xlsx&amp;sheet=A0&amp;row=100&amp;col=23&amp;number=&amp;sourceID=13","")</f>
        <v/>
      </c>
      <c r="X100" s="4" t="str">
        <f>HYPERLINK("http://141.218.60.56/~jnz1568/getInfo.php?workbook=06_01.xlsx&amp;sheet=A0&amp;row=100&amp;col=24&amp;number=&amp;sourceID=13","")</f>
        <v/>
      </c>
      <c r="Y100" s="4" t="str">
        <f>HYPERLINK("http://141.218.60.56/~jnz1568/getInfo.php?workbook=06_01.xlsx&amp;sheet=A0&amp;row=100&amp;col=25&amp;number=&amp;sourceID=13","")</f>
        <v/>
      </c>
      <c r="Z100" s="4" t="str">
        <f>HYPERLINK("http://141.218.60.56/~jnz1568/getInfo.php?workbook=06_01.xlsx&amp;sheet=A0&amp;row=100&amp;col=26&amp;number=&amp;sourceID=13","")</f>
        <v/>
      </c>
    </row>
    <row r="101" spans="1:26">
      <c r="A101" s="3">
        <v>6</v>
      </c>
      <c r="B101" s="3">
        <v>1</v>
      </c>
      <c r="C101" s="3">
        <v>15</v>
      </c>
      <c r="D101" s="3">
        <v>12</v>
      </c>
      <c r="E101" s="3">
        <f>((1/(INDEX(E0!J$4:J$28,C101,1)-INDEX(E0!J$4:J$28,D101,1))))*100000000</f>
        <v>0</v>
      </c>
      <c r="F101" s="4" t="str">
        <f>HYPERLINK("http://141.218.60.56/~jnz1568/getInfo.php?workbook=06_01.xlsx&amp;sheet=A0&amp;row=101&amp;col=6&amp;number=&amp;sourceID=18","")</f>
        <v/>
      </c>
      <c r="G101" s="4" t="str">
        <f>HYPERLINK("http://141.218.60.56/~jnz1568/getInfo.php?workbook=06_01.xlsx&amp;sheet=A0&amp;row=101&amp;col=7&amp;number==&amp;sourceID=11","=")</f>
        <v>=</v>
      </c>
      <c r="H101" s="4" t="str">
        <f>HYPERLINK("http://141.218.60.56/~jnz1568/getInfo.php?workbook=06_01.xlsx&amp;sheet=A0&amp;row=101&amp;col=8&amp;number=&amp;sourceID=11","")</f>
        <v/>
      </c>
      <c r="I101" s="4" t="str">
        <f>HYPERLINK("http://141.218.60.56/~jnz1568/getInfo.php?workbook=06_01.xlsx&amp;sheet=A0&amp;row=101&amp;col=9&amp;number=4e-15&amp;sourceID=11","4e-15")</f>
        <v>4e-15</v>
      </c>
      <c r="J101" s="4" t="str">
        <f>HYPERLINK("http://141.218.60.56/~jnz1568/getInfo.php?workbook=06_01.xlsx&amp;sheet=A0&amp;row=101&amp;col=10&amp;number=&amp;sourceID=11","")</f>
        <v/>
      </c>
      <c r="K101" s="4" t="str">
        <f>HYPERLINK("http://141.218.60.56/~jnz1568/getInfo.php?workbook=06_01.xlsx&amp;sheet=A0&amp;row=101&amp;col=11&amp;number=8.2854e-08&amp;sourceID=11","8.2854e-08")</f>
        <v>8.2854e-08</v>
      </c>
      <c r="L101" s="4" t="str">
        <f>HYPERLINK("http://141.218.60.56/~jnz1568/getInfo.php?workbook=06_01.xlsx&amp;sheet=A0&amp;row=101&amp;col=12&amp;number=&amp;sourceID=11","")</f>
        <v/>
      </c>
      <c r="M101" s="4" t="str">
        <f>HYPERLINK("http://141.218.60.56/~jnz1568/getInfo.php?workbook=06_01.xlsx&amp;sheet=A0&amp;row=101&amp;col=13&amp;number=0&amp;sourceID=11","0")</f>
        <v>0</v>
      </c>
      <c r="N101" s="4" t="str">
        <f>HYPERLINK("http://141.218.60.56/~jnz1568/getInfo.php?workbook=06_01.xlsx&amp;sheet=A0&amp;row=101&amp;col=14&amp;number=8.2862e-08&amp;sourceID=12","8.2862e-08")</f>
        <v>8.2862e-08</v>
      </c>
      <c r="O101" s="4" t="str">
        <f>HYPERLINK("http://141.218.60.56/~jnz1568/getInfo.php?workbook=06_01.xlsx&amp;sheet=A0&amp;row=101&amp;col=15&amp;number=&amp;sourceID=12","")</f>
        <v/>
      </c>
      <c r="P101" s="4" t="str">
        <f>HYPERLINK("http://141.218.60.56/~jnz1568/getInfo.php?workbook=06_01.xlsx&amp;sheet=A0&amp;row=101&amp;col=16&amp;number=4e-15&amp;sourceID=12","4e-15")</f>
        <v>4e-15</v>
      </c>
      <c r="Q101" s="4" t="str">
        <f>HYPERLINK("http://141.218.60.56/~jnz1568/getInfo.php?workbook=06_01.xlsx&amp;sheet=A0&amp;row=101&amp;col=17&amp;number=&amp;sourceID=12","")</f>
        <v/>
      </c>
      <c r="R101" s="4" t="str">
        <f>HYPERLINK("http://141.218.60.56/~jnz1568/getInfo.php?workbook=06_01.xlsx&amp;sheet=A0&amp;row=101&amp;col=18&amp;number=8.2862e-08&amp;sourceID=12","8.2862e-08")</f>
        <v>8.2862e-08</v>
      </c>
      <c r="S101" s="4" t="str">
        <f>HYPERLINK("http://141.218.60.56/~jnz1568/getInfo.php?workbook=06_01.xlsx&amp;sheet=A0&amp;row=101&amp;col=19&amp;number=&amp;sourceID=12","")</f>
        <v/>
      </c>
      <c r="T101" s="4" t="str">
        <f>HYPERLINK("http://141.218.60.56/~jnz1568/getInfo.php?workbook=06_01.xlsx&amp;sheet=A0&amp;row=101&amp;col=20&amp;number=0&amp;sourceID=12","0")</f>
        <v>0</v>
      </c>
      <c r="U101" s="4" t="str">
        <f>HYPERLINK("http://141.218.60.56/~jnz1568/getInfo.php?workbook=06_01.xlsx&amp;sheet=A0&amp;row=101&amp;col=21&amp;number=&amp;sourceID=13","")</f>
        <v/>
      </c>
      <c r="V101" s="4" t="str">
        <f>HYPERLINK("http://141.218.60.56/~jnz1568/getInfo.php?workbook=06_01.xlsx&amp;sheet=A0&amp;row=101&amp;col=22&amp;number=&amp;sourceID=13","")</f>
        <v/>
      </c>
      <c r="W101" s="4" t="str">
        <f>HYPERLINK("http://141.218.60.56/~jnz1568/getInfo.php?workbook=06_01.xlsx&amp;sheet=A0&amp;row=101&amp;col=23&amp;number=&amp;sourceID=13","")</f>
        <v/>
      </c>
      <c r="X101" s="4" t="str">
        <f>HYPERLINK("http://141.218.60.56/~jnz1568/getInfo.php?workbook=06_01.xlsx&amp;sheet=A0&amp;row=101&amp;col=24&amp;number=&amp;sourceID=13","")</f>
        <v/>
      </c>
      <c r="Y101" s="4" t="str">
        <f>HYPERLINK("http://141.218.60.56/~jnz1568/getInfo.php?workbook=06_01.xlsx&amp;sheet=A0&amp;row=101&amp;col=25&amp;number=&amp;sourceID=13","")</f>
        <v/>
      </c>
      <c r="Z101" s="4" t="str">
        <f>HYPERLINK("http://141.218.60.56/~jnz1568/getInfo.php?workbook=06_01.xlsx&amp;sheet=A0&amp;row=101&amp;col=26&amp;number=&amp;sourceID=13","")</f>
        <v/>
      </c>
    </row>
    <row r="102" spans="1:26">
      <c r="A102" s="3">
        <v>6</v>
      </c>
      <c r="B102" s="3">
        <v>1</v>
      </c>
      <c r="C102" s="3">
        <v>15</v>
      </c>
      <c r="D102" s="3">
        <v>13</v>
      </c>
      <c r="E102" s="3">
        <f>((1/(INDEX(E0!J$4:J$28,C102,1)-INDEX(E0!J$4:J$28,D102,1))))*100000000</f>
        <v>0</v>
      </c>
      <c r="F102" s="4" t="str">
        <f>HYPERLINK("http://141.218.60.56/~jnz1568/getInfo.php?workbook=06_01.xlsx&amp;sheet=A0&amp;row=102&amp;col=6&amp;number=&amp;sourceID=18","")</f>
        <v/>
      </c>
      <c r="G102" s="4" t="str">
        <f>HYPERLINK("http://141.218.60.56/~jnz1568/getInfo.php?workbook=06_01.xlsx&amp;sheet=A0&amp;row=102&amp;col=7&amp;number==&amp;sourceID=11","=")</f>
        <v>=</v>
      </c>
      <c r="H102" s="4" t="str">
        <f>HYPERLINK("http://141.218.60.56/~jnz1568/getInfo.php?workbook=06_01.xlsx&amp;sheet=A0&amp;row=102&amp;col=8&amp;number=0.074675&amp;sourceID=11","0.074675")</f>
        <v>0.074675</v>
      </c>
      <c r="I102" s="4" t="str">
        <f>HYPERLINK("http://141.218.60.56/~jnz1568/getInfo.php?workbook=06_01.xlsx&amp;sheet=A0&amp;row=102&amp;col=9&amp;number=&amp;sourceID=11","")</f>
        <v/>
      </c>
      <c r="J102" s="4" t="str">
        <f>HYPERLINK("http://141.218.60.56/~jnz1568/getInfo.php?workbook=06_01.xlsx&amp;sheet=A0&amp;row=102&amp;col=10&amp;number=0&amp;sourceID=11","0")</f>
        <v>0</v>
      </c>
      <c r="K102" s="4" t="str">
        <f>HYPERLINK("http://141.218.60.56/~jnz1568/getInfo.php?workbook=06_01.xlsx&amp;sheet=A0&amp;row=102&amp;col=11&amp;number=&amp;sourceID=11","")</f>
        <v/>
      </c>
      <c r="L102" s="4" t="str">
        <f>HYPERLINK("http://141.218.60.56/~jnz1568/getInfo.php?workbook=06_01.xlsx&amp;sheet=A0&amp;row=102&amp;col=12&amp;number=0&amp;sourceID=11","0")</f>
        <v>0</v>
      </c>
      <c r="M102" s="4" t="str">
        <f>HYPERLINK("http://141.218.60.56/~jnz1568/getInfo.php?workbook=06_01.xlsx&amp;sheet=A0&amp;row=102&amp;col=13&amp;number=&amp;sourceID=11","")</f>
        <v/>
      </c>
      <c r="N102" s="4" t="str">
        <f>HYPERLINK("http://141.218.60.56/~jnz1568/getInfo.php?workbook=06_01.xlsx&amp;sheet=A0&amp;row=102&amp;col=14&amp;number=0.074683&amp;sourceID=12","0.074683")</f>
        <v>0.074683</v>
      </c>
      <c r="O102" s="4" t="str">
        <f>HYPERLINK("http://141.218.60.56/~jnz1568/getInfo.php?workbook=06_01.xlsx&amp;sheet=A0&amp;row=102&amp;col=15&amp;number=0.074683&amp;sourceID=12","0.074683")</f>
        <v>0.074683</v>
      </c>
      <c r="P102" s="4" t="str">
        <f>HYPERLINK("http://141.218.60.56/~jnz1568/getInfo.php?workbook=06_01.xlsx&amp;sheet=A0&amp;row=102&amp;col=16&amp;number=&amp;sourceID=12","")</f>
        <v/>
      </c>
      <c r="Q102" s="4" t="str">
        <f>HYPERLINK("http://141.218.60.56/~jnz1568/getInfo.php?workbook=06_01.xlsx&amp;sheet=A0&amp;row=102&amp;col=17&amp;number=0&amp;sourceID=12","0")</f>
        <v>0</v>
      </c>
      <c r="R102" s="4" t="str">
        <f>HYPERLINK("http://141.218.60.56/~jnz1568/getInfo.php?workbook=06_01.xlsx&amp;sheet=A0&amp;row=102&amp;col=18&amp;number=&amp;sourceID=12","")</f>
        <v/>
      </c>
      <c r="S102" s="4" t="str">
        <f>HYPERLINK("http://141.218.60.56/~jnz1568/getInfo.php?workbook=06_01.xlsx&amp;sheet=A0&amp;row=102&amp;col=19&amp;number=0&amp;sourceID=12","0")</f>
        <v>0</v>
      </c>
      <c r="T102" s="4" t="str">
        <f>HYPERLINK("http://141.218.60.56/~jnz1568/getInfo.php?workbook=06_01.xlsx&amp;sheet=A0&amp;row=102&amp;col=20&amp;number=&amp;sourceID=12","")</f>
        <v/>
      </c>
      <c r="U102" s="4" t="str">
        <f>HYPERLINK("http://141.218.60.56/~jnz1568/getInfo.php?workbook=06_01.xlsx&amp;sheet=A0&amp;row=102&amp;col=21&amp;number=&amp;sourceID=13","")</f>
        <v/>
      </c>
      <c r="V102" s="4" t="str">
        <f>HYPERLINK("http://141.218.60.56/~jnz1568/getInfo.php?workbook=06_01.xlsx&amp;sheet=A0&amp;row=102&amp;col=22&amp;number=&amp;sourceID=13","")</f>
        <v/>
      </c>
      <c r="W102" s="4" t="str">
        <f>HYPERLINK("http://141.218.60.56/~jnz1568/getInfo.php?workbook=06_01.xlsx&amp;sheet=A0&amp;row=102&amp;col=23&amp;number=&amp;sourceID=13","")</f>
        <v/>
      </c>
      <c r="X102" s="4" t="str">
        <f>HYPERLINK("http://141.218.60.56/~jnz1568/getInfo.php?workbook=06_01.xlsx&amp;sheet=A0&amp;row=102&amp;col=24&amp;number=&amp;sourceID=13","")</f>
        <v/>
      </c>
      <c r="Y102" s="4" t="str">
        <f>HYPERLINK("http://141.218.60.56/~jnz1568/getInfo.php?workbook=06_01.xlsx&amp;sheet=A0&amp;row=102&amp;col=25&amp;number=&amp;sourceID=13","")</f>
        <v/>
      </c>
      <c r="Z102" s="4" t="str">
        <f>HYPERLINK("http://141.218.60.56/~jnz1568/getInfo.php?workbook=06_01.xlsx&amp;sheet=A0&amp;row=102&amp;col=26&amp;number=&amp;sourceID=13","")</f>
        <v/>
      </c>
    </row>
    <row r="103" spans="1:26">
      <c r="A103" s="3">
        <v>6</v>
      </c>
      <c r="B103" s="3">
        <v>1</v>
      </c>
      <c r="C103" s="3">
        <v>16</v>
      </c>
      <c r="D103" s="3">
        <v>1</v>
      </c>
      <c r="E103" s="3">
        <f>((1/(INDEX(E0!J$4:J$28,C103,1)-INDEX(E0!J$4:J$28,D103,1))))*100000000</f>
        <v>0</v>
      </c>
      <c r="F103" s="4" t="str">
        <f>HYPERLINK("http://141.218.60.56/~jnz1568/getInfo.php?workbook=06_01.xlsx&amp;sheet=A0&amp;row=103&amp;col=6&amp;number=&amp;sourceID=18","")</f>
        <v/>
      </c>
      <c r="G103" s="4" t="str">
        <f>HYPERLINK("http://141.218.60.56/~jnz1568/getInfo.php?workbook=06_01.xlsx&amp;sheet=A0&amp;row=103&amp;col=7&amp;number==&amp;sourceID=11","=")</f>
        <v>=</v>
      </c>
      <c r="H103" s="4" t="str">
        <f>HYPERLINK("http://141.218.60.56/~jnz1568/getInfo.php?workbook=06_01.xlsx&amp;sheet=A0&amp;row=103&amp;col=8&amp;number=&amp;sourceID=11","")</f>
        <v/>
      </c>
      <c r="I103" s="4" t="str">
        <f>HYPERLINK("http://141.218.60.56/~jnz1568/getInfo.php?workbook=06_01.xlsx&amp;sheet=A0&amp;row=103&amp;col=9&amp;number=&amp;sourceID=11","")</f>
        <v/>
      </c>
      <c r="J103" s="4" t="str">
        <f>HYPERLINK("http://141.218.60.56/~jnz1568/getInfo.php?workbook=06_01.xlsx&amp;sheet=A0&amp;row=103&amp;col=10&amp;number=520.99&amp;sourceID=11","520.99")</f>
        <v>520.99</v>
      </c>
      <c r="K103" s="4" t="str">
        <f>HYPERLINK("http://141.218.60.56/~jnz1568/getInfo.php?workbook=06_01.xlsx&amp;sheet=A0&amp;row=103&amp;col=11&amp;number=&amp;sourceID=11","")</f>
        <v/>
      </c>
      <c r="L103" s="4" t="str">
        <f>HYPERLINK("http://141.218.60.56/~jnz1568/getInfo.php?workbook=06_01.xlsx&amp;sheet=A0&amp;row=103&amp;col=12&amp;number=&amp;sourceID=11","")</f>
        <v/>
      </c>
      <c r="M103" s="4" t="str">
        <f>HYPERLINK("http://141.218.60.56/~jnz1568/getInfo.php?workbook=06_01.xlsx&amp;sheet=A0&amp;row=103&amp;col=13&amp;number=&amp;sourceID=11","")</f>
        <v/>
      </c>
      <c r="N103" s="4" t="str">
        <f>HYPERLINK("http://141.218.60.56/~jnz1568/getInfo.php?workbook=06_01.xlsx&amp;sheet=A0&amp;row=103&amp;col=14&amp;number=521.01&amp;sourceID=12","521.01")</f>
        <v>521.01</v>
      </c>
      <c r="O103" s="4" t="str">
        <f>HYPERLINK("http://141.218.60.56/~jnz1568/getInfo.php?workbook=06_01.xlsx&amp;sheet=A0&amp;row=103&amp;col=15&amp;number=&amp;sourceID=12","")</f>
        <v/>
      </c>
      <c r="P103" s="4" t="str">
        <f>HYPERLINK("http://141.218.60.56/~jnz1568/getInfo.php?workbook=06_01.xlsx&amp;sheet=A0&amp;row=103&amp;col=16&amp;number=&amp;sourceID=12","")</f>
        <v/>
      </c>
      <c r="Q103" s="4" t="str">
        <f>HYPERLINK("http://141.218.60.56/~jnz1568/getInfo.php?workbook=06_01.xlsx&amp;sheet=A0&amp;row=103&amp;col=17&amp;number=521.01&amp;sourceID=12","521.01")</f>
        <v>521.01</v>
      </c>
      <c r="R103" s="4" t="str">
        <f>HYPERLINK("http://141.218.60.56/~jnz1568/getInfo.php?workbook=06_01.xlsx&amp;sheet=A0&amp;row=103&amp;col=18&amp;number=&amp;sourceID=12","")</f>
        <v/>
      </c>
      <c r="S103" s="4" t="str">
        <f>HYPERLINK("http://141.218.60.56/~jnz1568/getInfo.php?workbook=06_01.xlsx&amp;sheet=A0&amp;row=103&amp;col=19&amp;number=&amp;sourceID=12","")</f>
        <v/>
      </c>
      <c r="T103" s="4" t="str">
        <f>HYPERLINK("http://141.218.60.56/~jnz1568/getInfo.php?workbook=06_01.xlsx&amp;sheet=A0&amp;row=103&amp;col=20&amp;number=&amp;sourceID=12","")</f>
        <v/>
      </c>
      <c r="U103" s="4" t="str">
        <f>HYPERLINK("http://141.218.60.56/~jnz1568/getInfo.php?workbook=06_01.xlsx&amp;sheet=A0&amp;row=103&amp;col=21&amp;number==SUM(V103:Z103)&amp;sourceID=13","=SUM(V103:Z103)")</f>
        <v>=SUM(V103:Z103)</v>
      </c>
      <c r="V103" s="4" t="str">
        <f>HYPERLINK("http://141.218.60.56/~jnz1568/getInfo.php?workbook=06_01.xlsx&amp;sheet=A0&amp;row=103&amp;col=22&amp;number=&amp;sourceID=13","")</f>
        <v/>
      </c>
      <c r="W103" s="4" t="str">
        <f>HYPERLINK("http://141.218.60.56/~jnz1568/getInfo.php?workbook=06_01.xlsx&amp;sheet=A0&amp;row=103&amp;col=23&amp;number=&amp;sourceID=13","")</f>
        <v/>
      </c>
      <c r="X103" s="4" t="str">
        <f>HYPERLINK("http://141.218.60.56/~jnz1568/getInfo.php?workbook=06_01.xlsx&amp;sheet=A0&amp;row=103&amp;col=24&amp;number=337&amp;sourceID=13","337")</f>
        <v>337</v>
      </c>
      <c r="Y103" s="4" t="str">
        <f>HYPERLINK("http://141.218.60.56/~jnz1568/getInfo.php?workbook=06_01.xlsx&amp;sheet=A0&amp;row=103&amp;col=25&amp;number=&amp;sourceID=13","")</f>
        <v/>
      </c>
      <c r="Z103" s="4" t="str">
        <f>HYPERLINK("http://141.218.60.56/~jnz1568/getInfo.php?workbook=06_01.xlsx&amp;sheet=A0&amp;row=103&amp;col=26&amp;number=&amp;sourceID=13","")</f>
        <v/>
      </c>
    </row>
    <row r="104" spans="1:26">
      <c r="A104" s="3">
        <v>6</v>
      </c>
      <c r="B104" s="3">
        <v>1</v>
      </c>
      <c r="C104" s="3">
        <v>16</v>
      </c>
      <c r="D104" s="3">
        <v>2</v>
      </c>
      <c r="E104" s="3">
        <f>((1/(INDEX(E0!J$4:J$28,C104,1)-INDEX(E0!J$4:J$28,D104,1))))*100000000</f>
        <v>0</v>
      </c>
      <c r="F104" s="4" t="str">
        <f>HYPERLINK("http://141.218.60.56/~jnz1568/getInfo.php?workbook=06_01.xlsx&amp;sheet=A0&amp;row=104&amp;col=6&amp;number=&amp;sourceID=18","")</f>
        <v/>
      </c>
      <c r="G104" s="4" t="str">
        <f>HYPERLINK("http://141.218.60.56/~jnz1568/getInfo.php?workbook=06_01.xlsx&amp;sheet=A0&amp;row=104&amp;col=7&amp;number==&amp;sourceID=11","=")</f>
        <v>=</v>
      </c>
      <c r="H104" s="4" t="str">
        <f>HYPERLINK("http://141.218.60.56/~jnz1568/getInfo.php?workbook=06_01.xlsx&amp;sheet=A0&amp;row=104&amp;col=8&amp;number=&amp;sourceID=11","")</f>
        <v/>
      </c>
      <c r="I104" s="4" t="str">
        <f>HYPERLINK("http://141.218.60.56/~jnz1568/getInfo.php?workbook=06_01.xlsx&amp;sheet=A0&amp;row=104&amp;col=9&amp;number=&amp;sourceID=11","")</f>
        <v/>
      </c>
      <c r="J104" s="4" t="str">
        <f>HYPERLINK("http://141.218.60.56/~jnz1568/getInfo.php?workbook=06_01.xlsx&amp;sheet=A0&amp;row=104&amp;col=10&amp;number=&amp;sourceID=11","")</f>
        <v/>
      </c>
      <c r="K104" s="4" t="str">
        <f>HYPERLINK("http://141.218.60.56/~jnz1568/getInfo.php?workbook=06_01.xlsx&amp;sheet=A0&amp;row=104&amp;col=11&amp;number=&amp;sourceID=11","")</f>
        <v/>
      </c>
      <c r="L104" s="4" t="str">
        <f>HYPERLINK("http://141.218.60.56/~jnz1568/getInfo.php?workbook=06_01.xlsx&amp;sheet=A0&amp;row=104&amp;col=12&amp;number=&amp;sourceID=11","")</f>
        <v/>
      </c>
      <c r="M104" s="4" t="str">
        <f>HYPERLINK("http://141.218.60.56/~jnz1568/getInfo.php?workbook=06_01.xlsx&amp;sheet=A0&amp;row=104&amp;col=13&amp;number=0.0066621&amp;sourceID=11","0.0066621")</f>
        <v>0.0066621</v>
      </c>
      <c r="N104" s="4" t="str">
        <f>HYPERLINK("http://141.218.60.56/~jnz1568/getInfo.php?workbook=06_01.xlsx&amp;sheet=A0&amp;row=104&amp;col=14&amp;number=0.0066624&amp;sourceID=12","0.0066624")</f>
        <v>0.0066624</v>
      </c>
      <c r="O104" s="4" t="str">
        <f>HYPERLINK("http://141.218.60.56/~jnz1568/getInfo.php?workbook=06_01.xlsx&amp;sheet=A0&amp;row=104&amp;col=15&amp;number=&amp;sourceID=12","")</f>
        <v/>
      </c>
      <c r="P104" s="4" t="str">
        <f>HYPERLINK("http://141.218.60.56/~jnz1568/getInfo.php?workbook=06_01.xlsx&amp;sheet=A0&amp;row=104&amp;col=16&amp;number=&amp;sourceID=12","")</f>
        <v/>
      </c>
      <c r="Q104" s="4" t="str">
        <f>HYPERLINK("http://141.218.60.56/~jnz1568/getInfo.php?workbook=06_01.xlsx&amp;sheet=A0&amp;row=104&amp;col=17&amp;number=&amp;sourceID=12","")</f>
        <v/>
      </c>
      <c r="R104" s="4" t="str">
        <f>HYPERLINK("http://141.218.60.56/~jnz1568/getInfo.php?workbook=06_01.xlsx&amp;sheet=A0&amp;row=104&amp;col=18&amp;number=&amp;sourceID=12","")</f>
        <v/>
      </c>
      <c r="S104" s="4" t="str">
        <f>HYPERLINK("http://141.218.60.56/~jnz1568/getInfo.php?workbook=06_01.xlsx&amp;sheet=A0&amp;row=104&amp;col=19&amp;number=&amp;sourceID=12","")</f>
        <v/>
      </c>
      <c r="T104" s="4" t="str">
        <f>HYPERLINK("http://141.218.60.56/~jnz1568/getInfo.php?workbook=06_01.xlsx&amp;sheet=A0&amp;row=104&amp;col=20&amp;number=0.0066624&amp;sourceID=12","0.0066624")</f>
        <v>0.0066624</v>
      </c>
      <c r="U104" s="4" t="str">
        <f>HYPERLINK("http://141.218.60.56/~jnz1568/getInfo.php?workbook=06_01.xlsx&amp;sheet=A0&amp;row=104&amp;col=21&amp;number=&amp;sourceID=13","")</f>
        <v/>
      </c>
      <c r="V104" s="4" t="str">
        <f>HYPERLINK("http://141.218.60.56/~jnz1568/getInfo.php?workbook=06_01.xlsx&amp;sheet=A0&amp;row=104&amp;col=22&amp;number=&amp;sourceID=13","")</f>
        <v/>
      </c>
      <c r="W104" s="4" t="str">
        <f>HYPERLINK("http://141.218.60.56/~jnz1568/getInfo.php?workbook=06_01.xlsx&amp;sheet=A0&amp;row=104&amp;col=23&amp;number=&amp;sourceID=13","")</f>
        <v/>
      </c>
      <c r="X104" s="4" t="str">
        <f>HYPERLINK("http://141.218.60.56/~jnz1568/getInfo.php?workbook=06_01.xlsx&amp;sheet=A0&amp;row=104&amp;col=24&amp;number=&amp;sourceID=13","")</f>
        <v/>
      </c>
      <c r="Y104" s="4" t="str">
        <f>HYPERLINK("http://141.218.60.56/~jnz1568/getInfo.php?workbook=06_01.xlsx&amp;sheet=A0&amp;row=104&amp;col=25&amp;number=&amp;sourceID=13","")</f>
        <v/>
      </c>
      <c r="Z104" s="4" t="str">
        <f>HYPERLINK("http://141.218.60.56/~jnz1568/getInfo.php?workbook=06_01.xlsx&amp;sheet=A0&amp;row=104&amp;col=26&amp;number=&amp;sourceID=13","")</f>
        <v/>
      </c>
    </row>
    <row r="105" spans="1:26">
      <c r="A105" s="3">
        <v>6</v>
      </c>
      <c r="B105" s="3">
        <v>1</v>
      </c>
      <c r="C105" s="3">
        <v>16</v>
      </c>
      <c r="D105" s="3">
        <v>3</v>
      </c>
      <c r="E105" s="3">
        <f>((1/(INDEX(E0!J$4:J$28,C105,1)-INDEX(E0!J$4:J$28,D105,1))))*100000000</f>
        <v>0</v>
      </c>
      <c r="F105" s="4" t="str">
        <f>HYPERLINK("http://141.218.60.56/~jnz1568/getInfo.php?workbook=06_01.xlsx&amp;sheet=A0&amp;row=105&amp;col=6&amp;number=&amp;sourceID=18","")</f>
        <v/>
      </c>
      <c r="G105" s="4" t="str">
        <f>HYPERLINK("http://141.218.60.56/~jnz1568/getInfo.php?workbook=06_01.xlsx&amp;sheet=A0&amp;row=105&amp;col=7&amp;number==&amp;sourceID=11","=")</f>
        <v>=</v>
      </c>
      <c r="H105" s="4" t="str">
        <f>HYPERLINK("http://141.218.60.56/~jnz1568/getInfo.php?workbook=06_01.xlsx&amp;sheet=A0&amp;row=105&amp;col=8&amp;number=&amp;sourceID=11","")</f>
        <v/>
      </c>
      <c r="I105" s="4" t="str">
        <f>HYPERLINK("http://141.218.60.56/~jnz1568/getInfo.php?workbook=06_01.xlsx&amp;sheet=A0&amp;row=105&amp;col=9&amp;number=&amp;sourceID=11","")</f>
        <v/>
      </c>
      <c r="J105" s="4" t="str">
        <f>HYPERLINK("http://141.218.60.56/~jnz1568/getInfo.php?workbook=06_01.xlsx&amp;sheet=A0&amp;row=105&amp;col=10&amp;number=205.89&amp;sourceID=11","205.89")</f>
        <v>205.89</v>
      </c>
      <c r="K105" s="4" t="str">
        <f>HYPERLINK("http://141.218.60.56/~jnz1568/getInfo.php?workbook=06_01.xlsx&amp;sheet=A0&amp;row=105&amp;col=11&amp;number=&amp;sourceID=11","")</f>
        <v/>
      </c>
      <c r="L105" s="4" t="str">
        <f>HYPERLINK("http://141.218.60.56/~jnz1568/getInfo.php?workbook=06_01.xlsx&amp;sheet=A0&amp;row=105&amp;col=12&amp;number=&amp;sourceID=11","")</f>
        <v/>
      </c>
      <c r="M105" s="4" t="str">
        <f>HYPERLINK("http://141.218.60.56/~jnz1568/getInfo.php?workbook=06_01.xlsx&amp;sheet=A0&amp;row=105&amp;col=13&amp;number=&amp;sourceID=11","")</f>
        <v/>
      </c>
      <c r="N105" s="4" t="str">
        <f>HYPERLINK("http://141.218.60.56/~jnz1568/getInfo.php?workbook=06_01.xlsx&amp;sheet=A0&amp;row=105&amp;col=14&amp;number=205.89&amp;sourceID=12","205.89")</f>
        <v>205.89</v>
      </c>
      <c r="O105" s="4" t="str">
        <f>HYPERLINK("http://141.218.60.56/~jnz1568/getInfo.php?workbook=06_01.xlsx&amp;sheet=A0&amp;row=105&amp;col=15&amp;number=&amp;sourceID=12","")</f>
        <v/>
      </c>
      <c r="P105" s="4" t="str">
        <f>HYPERLINK("http://141.218.60.56/~jnz1568/getInfo.php?workbook=06_01.xlsx&amp;sheet=A0&amp;row=105&amp;col=16&amp;number=&amp;sourceID=12","")</f>
        <v/>
      </c>
      <c r="Q105" s="4" t="str">
        <f>HYPERLINK("http://141.218.60.56/~jnz1568/getInfo.php?workbook=06_01.xlsx&amp;sheet=A0&amp;row=105&amp;col=17&amp;number=205.89&amp;sourceID=12","205.89")</f>
        <v>205.89</v>
      </c>
      <c r="R105" s="4" t="str">
        <f>HYPERLINK("http://141.218.60.56/~jnz1568/getInfo.php?workbook=06_01.xlsx&amp;sheet=A0&amp;row=105&amp;col=18&amp;number=&amp;sourceID=12","")</f>
        <v/>
      </c>
      <c r="S105" s="4" t="str">
        <f>HYPERLINK("http://141.218.60.56/~jnz1568/getInfo.php?workbook=06_01.xlsx&amp;sheet=A0&amp;row=105&amp;col=19&amp;number=&amp;sourceID=12","")</f>
        <v/>
      </c>
      <c r="T105" s="4" t="str">
        <f>HYPERLINK("http://141.218.60.56/~jnz1568/getInfo.php?workbook=06_01.xlsx&amp;sheet=A0&amp;row=105&amp;col=20&amp;number=&amp;sourceID=12","")</f>
        <v/>
      </c>
      <c r="U105" s="4" t="str">
        <f>HYPERLINK("http://141.218.60.56/~jnz1568/getInfo.php?workbook=06_01.xlsx&amp;sheet=A0&amp;row=105&amp;col=21&amp;number==SUM(V105:Z105)&amp;sourceID=13","=SUM(V105:Z105)")</f>
        <v>=SUM(V105:Z105)</v>
      </c>
      <c r="V105" s="4" t="str">
        <f>HYPERLINK("http://141.218.60.56/~jnz1568/getInfo.php?workbook=06_01.xlsx&amp;sheet=A0&amp;row=105&amp;col=22&amp;number=&amp;sourceID=13","")</f>
        <v/>
      </c>
      <c r="W105" s="4" t="str">
        <f>HYPERLINK("http://141.218.60.56/~jnz1568/getInfo.php?workbook=06_01.xlsx&amp;sheet=A0&amp;row=105&amp;col=23&amp;number=&amp;sourceID=13","")</f>
        <v/>
      </c>
      <c r="X105" s="4" t="str">
        <f>HYPERLINK("http://141.218.60.56/~jnz1568/getInfo.php?workbook=06_01.xlsx&amp;sheet=A0&amp;row=105&amp;col=24&amp;number=207&amp;sourceID=13","207")</f>
        <v>207</v>
      </c>
      <c r="Y105" s="4" t="str">
        <f>HYPERLINK("http://141.218.60.56/~jnz1568/getInfo.php?workbook=06_01.xlsx&amp;sheet=A0&amp;row=105&amp;col=25&amp;number=&amp;sourceID=13","")</f>
        <v/>
      </c>
      <c r="Z105" s="4" t="str">
        <f>HYPERLINK("http://141.218.60.56/~jnz1568/getInfo.php?workbook=06_01.xlsx&amp;sheet=A0&amp;row=105&amp;col=26&amp;number=&amp;sourceID=13","")</f>
        <v/>
      </c>
    </row>
    <row r="106" spans="1:26">
      <c r="A106" s="3">
        <v>6</v>
      </c>
      <c r="B106" s="3">
        <v>1</v>
      </c>
      <c r="C106" s="3">
        <v>16</v>
      </c>
      <c r="D106" s="3">
        <v>4</v>
      </c>
      <c r="E106" s="3">
        <f>((1/(INDEX(E0!J$4:J$28,C106,1)-INDEX(E0!J$4:J$28,D106,1))))*100000000</f>
        <v>0</v>
      </c>
      <c r="F106" s="4" t="str">
        <f>HYPERLINK("http://141.218.60.56/~jnz1568/getInfo.php?workbook=06_01.xlsx&amp;sheet=A0&amp;row=106&amp;col=6&amp;number=&amp;sourceID=18","")</f>
        <v/>
      </c>
      <c r="G106" s="4" t="str">
        <f>HYPERLINK("http://141.218.60.56/~jnz1568/getInfo.php?workbook=06_01.xlsx&amp;sheet=A0&amp;row=106&amp;col=7&amp;number==&amp;sourceID=11","=")</f>
        <v>=</v>
      </c>
      <c r="H106" s="4" t="str">
        <f>HYPERLINK("http://141.218.60.56/~jnz1568/getInfo.php?workbook=06_01.xlsx&amp;sheet=A0&amp;row=106&amp;col=8&amp;number=&amp;sourceID=11","")</f>
        <v/>
      </c>
      <c r="I106" s="4" t="str">
        <f>HYPERLINK("http://141.218.60.56/~jnz1568/getInfo.php?workbook=06_01.xlsx&amp;sheet=A0&amp;row=106&amp;col=9&amp;number=2882600&amp;sourceID=11","2882600")</f>
        <v>2882600</v>
      </c>
      <c r="J106" s="4" t="str">
        <f>HYPERLINK("http://141.218.60.56/~jnz1568/getInfo.php?workbook=06_01.xlsx&amp;sheet=A0&amp;row=106&amp;col=10&amp;number=&amp;sourceID=11","")</f>
        <v/>
      </c>
      <c r="K106" s="4" t="str">
        <f>HYPERLINK("http://141.218.60.56/~jnz1568/getInfo.php?workbook=06_01.xlsx&amp;sheet=A0&amp;row=106&amp;col=11&amp;number=&amp;sourceID=11","")</f>
        <v/>
      </c>
      <c r="L106" s="4" t="str">
        <f>HYPERLINK("http://141.218.60.56/~jnz1568/getInfo.php?workbook=06_01.xlsx&amp;sheet=A0&amp;row=106&amp;col=12&amp;number=&amp;sourceID=11","")</f>
        <v/>
      </c>
      <c r="M106" s="4" t="str">
        <f>HYPERLINK("http://141.218.60.56/~jnz1568/getInfo.php?workbook=06_01.xlsx&amp;sheet=A0&amp;row=106&amp;col=13&amp;number=0.019958&amp;sourceID=11","0.019958")</f>
        <v>0.019958</v>
      </c>
      <c r="N106" s="4" t="str">
        <f>HYPERLINK("http://141.218.60.56/~jnz1568/getInfo.php?workbook=06_01.xlsx&amp;sheet=A0&amp;row=106&amp;col=14&amp;number=2882800&amp;sourceID=12","2882800")</f>
        <v>2882800</v>
      </c>
      <c r="O106" s="4" t="str">
        <f>HYPERLINK("http://141.218.60.56/~jnz1568/getInfo.php?workbook=06_01.xlsx&amp;sheet=A0&amp;row=106&amp;col=15&amp;number=&amp;sourceID=12","")</f>
        <v/>
      </c>
      <c r="P106" s="4" t="str">
        <f>HYPERLINK("http://141.218.60.56/~jnz1568/getInfo.php?workbook=06_01.xlsx&amp;sheet=A0&amp;row=106&amp;col=16&amp;number=2882800&amp;sourceID=12","2882800")</f>
        <v>2882800</v>
      </c>
      <c r="Q106" s="4" t="str">
        <f>HYPERLINK("http://141.218.60.56/~jnz1568/getInfo.php?workbook=06_01.xlsx&amp;sheet=A0&amp;row=106&amp;col=17&amp;number=&amp;sourceID=12","")</f>
        <v/>
      </c>
      <c r="R106" s="4" t="str">
        <f>HYPERLINK("http://141.218.60.56/~jnz1568/getInfo.php?workbook=06_01.xlsx&amp;sheet=A0&amp;row=106&amp;col=18&amp;number=&amp;sourceID=12","")</f>
        <v/>
      </c>
      <c r="S106" s="4" t="str">
        <f>HYPERLINK("http://141.218.60.56/~jnz1568/getInfo.php?workbook=06_01.xlsx&amp;sheet=A0&amp;row=106&amp;col=19&amp;number=&amp;sourceID=12","")</f>
        <v/>
      </c>
      <c r="T106" s="4" t="str">
        <f>HYPERLINK("http://141.218.60.56/~jnz1568/getInfo.php?workbook=06_01.xlsx&amp;sheet=A0&amp;row=106&amp;col=20&amp;number=0.019959&amp;sourceID=12","0.019959")</f>
        <v>0.019959</v>
      </c>
      <c r="U106" s="4" t="str">
        <f>HYPERLINK("http://141.218.60.56/~jnz1568/getInfo.php?workbook=06_01.xlsx&amp;sheet=A0&amp;row=106&amp;col=21&amp;number==SUM(V106:Z106)&amp;sourceID=13","=SUM(V106:Z106)")</f>
        <v>=SUM(V106:Z106)</v>
      </c>
      <c r="V106" s="4" t="str">
        <f>HYPERLINK("http://141.218.60.56/~jnz1568/getInfo.php?workbook=06_01.xlsx&amp;sheet=A0&amp;row=106&amp;col=22&amp;number=&amp;sourceID=13","")</f>
        <v/>
      </c>
      <c r="W106" s="4" t="str">
        <f>HYPERLINK("http://141.218.60.56/~jnz1568/getInfo.php?workbook=06_01.xlsx&amp;sheet=A0&amp;row=106&amp;col=23&amp;number=2880000&amp;sourceID=13","2880000")</f>
        <v>2880000</v>
      </c>
      <c r="X106" s="4" t="str">
        <f>HYPERLINK("http://141.218.60.56/~jnz1568/getInfo.php?workbook=06_01.xlsx&amp;sheet=A0&amp;row=106&amp;col=24&amp;number=&amp;sourceID=13","")</f>
        <v/>
      </c>
      <c r="Y106" s="4" t="str">
        <f>HYPERLINK("http://141.218.60.56/~jnz1568/getInfo.php?workbook=06_01.xlsx&amp;sheet=A0&amp;row=106&amp;col=25&amp;number=&amp;sourceID=13","")</f>
        <v/>
      </c>
      <c r="Z106" s="4" t="str">
        <f>HYPERLINK("http://141.218.60.56/~jnz1568/getInfo.php?workbook=06_01.xlsx&amp;sheet=A0&amp;row=106&amp;col=26&amp;number=&amp;sourceID=13","")</f>
        <v/>
      </c>
    </row>
    <row r="107" spans="1:26">
      <c r="A107" s="3">
        <v>6</v>
      </c>
      <c r="B107" s="3">
        <v>1</v>
      </c>
      <c r="C107" s="3">
        <v>16</v>
      </c>
      <c r="D107" s="3">
        <v>5</v>
      </c>
      <c r="E107" s="3">
        <f>((1/(INDEX(E0!J$4:J$28,C107,1)-INDEX(E0!J$4:J$28,D107,1))))*100000000</f>
        <v>0</v>
      </c>
      <c r="F107" s="4" t="str">
        <f>HYPERLINK("http://141.218.60.56/~jnz1568/getInfo.php?workbook=06_01.xlsx&amp;sheet=A0&amp;row=107&amp;col=6&amp;number=&amp;sourceID=18","")</f>
        <v/>
      </c>
      <c r="G107" s="4" t="str">
        <f>HYPERLINK("http://141.218.60.56/~jnz1568/getInfo.php?workbook=06_01.xlsx&amp;sheet=A0&amp;row=107&amp;col=7&amp;number==&amp;sourceID=11","=")</f>
        <v>=</v>
      </c>
      <c r="H107" s="4" t="str">
        <f>HYPERLINK("http://141.218.60.56/~jnz1568/getInfo.php?workbook=06_01.xlsx&amp;sheet=A0&amp;row=107&amp;col=8&amp;number=&amp;sourceID=11","")</f>
        <v/>
      </c>
      <c r="I107" s="4" t="str">
        <f>HYPERLINK("http://141.218.60.56/~jnz1568/getInfo.php?workbook=06_01.xlsx&amp;sheet=A0&amp;row=107&amp;col=9&amp;number=&amp;sourceID=11","")</f>
        <v/>
      </c>
      <c r="J107" s="4" t="str">
        <f>HYPERLINK("http://141.218.60.56/~jnz1568/getInfo.php?workbook=06_01.xlsx&amp;sheet=A0&amp;row=107&amp;col=10&amp;number=&amp;sourceID=11","")</f>
        <v/>
      </c>
      <c r="K107" s="4" t="str">
        <f>HYPERLINK("http://141.218.60.56/~jnz1568/getInfo.php?workbook=06_01.xlsx&amp;sheet=A0&amp;row=107&amp;col=11&amp;number=&amp;sourceID=11","")</f>
        <v/>
      </c>
      <c r="L107" s="4" t="str">
        <f>HYPERLINK("http://141.218.60.56/~jnz1568/getInfo.php?workbook=06_01.xlsx&amp;sheet=A0&amp;row=107&amp;col=12&amp;number=&amp;sourceID=11","")</f>
        <v/>
      </c>
      <c r="M107" s="4" t="str">
        <f>HYPERLINK("http://141.218.60.56/~jnz1568/getInfo.php?workbook=06_01.xlsx&amp;sheet=A0&amp;row=107&amp;col=13&amp;number=4.2094e-05&amp;sourceID=11","4.2094e-05")</f>
        <v>4.2094e-05</v>
      </c>
      <c r="N107" s="4" t="str">
        <f>HYPERLINK("http://141.218.60.56/~jnz1568/getInfo.php?workbook=06_01.xlsx&amp;sheet=A0&amp;row=107&amp;col=14&amp;number=4.2096e-05&amp;sourceID=12","4.2096e-05")</f>
        <v>4.2096e-05</v>
      </c>
      <c r="O107" s="4" t="str">
        <f>HYPERLINK("http://141.218.60.56/~jnz1568/getInfo.php?workbook=06_01.xlsx&amp;sheet=A0&amp;row=107&amp;col=15&amp;number=&amp;sourceID=12","")</f>
        <v/>
      </c>
      <c r="P107" s="4" t="str">
        <f>HYPERLINK("http://141.218.60.56/~jnz1568/getInfo.php?workbook=06_01.xlsx&amp;sheet=A0&amp;row=107&amp;col=16&amp;number=&amp;sourceID=12","")</f>
        <v/>
      </c>
      <c r="Q107" s="4" t="str">
        <f>HYPERLINK("http://141.218.60.56/~jnz1568/getInfo.php?workbook=06_01.xlsx&amp;sheet=A0&amp;row=107&amp;col=17&amp;number=&amp;sourceID=12","")</f>
        <v/>
      </c>
      <c r="R107" s="4" t="str">
        <f>HYPERLINK("http://141.218.60.56/~jnz1568/getInfo.php?workbook=06_01.xlsx&amp;sheet=A0&amp;row=107&amp;col=18&amp;number=&amp;sourceID=12","")</f>
        <v/>
      </c>
      <c r="S107" s="4" t="str">
        <f>HYPERLINK("http://141.218.60.56/~jnz1568/getInfo.php?workbook=06_01.xlsx&amp;sheet=A0&amp;row=107&amp;col=19&amp;number=&amp;sourceID=12","")</f>
        <v/>
      </c>
      <c r="T107" s="4" t="str">
        <f>HYPERLINK("http://141.218.60.56/~jnz1568/getInfo.php?workbook=06_01.xlsx&amp;sheet=A0&amp;row=107&amp;col=20&amp;number=4.2096e-05&amp;sourceID=12","4.2096e-05")</f>
        <v>4.2096e-05</v>
      </c>
      <c r="U107" s="4" t="str">
        <f>HYPERLINK("http://141.218.60.56/~jnz1568/getInfo.php?workbook=06_01.xlsx&amp;sheet=A0&amp;row=107&amp;col=21&amp;number=&amp;sourceID=13","")</f>
        <v/>
      </c>
      <c r="V107" s="4" t="str">
        <f>HYPERLINK("http://141.218.60.56/~jnz1568/getInfo.php?workbook=06_01.xlsx&amp;sheet=A0&amp;row=107&amp;col=22&amp;number=&amp;sourceID=13","")</f>
        <v/>
      </c>
      <c r="W107" s="4" t="str">
        <f>HYPERLINK("http://141.218.60.56/~jnz1568/getInfo.php?workbook=06_01.xlsx&amp;sheet=A0&amp;row=107&amp;col=23&amp;number=&amp;sourceID=13","")</f>
        <v/>
      </c>
      <c r="X107" s="4" t="str">
        <f>HYPERLINK("http://141.218.60.56/~jnz1568/getInfo.php?workbook=06_01.xlsx&amp;sheet=A0&amp;row=107&amp;col=24&amp;number=&amp;sourceID=13","")</f>
        <v/>
      </c>
      <c r="Y107" s="4" t="str">
        <f>HYPERLINK("http://141.218.60.56/~jnz1568/getInfo.php?workbook=06_01.xlsx&amp;sheet=A0&amp;row=107&amp;col=25&amp;number=&amp;sourceID=13","")</f>
        <v/>
      </c>
      <c r="Z107" s="4" t="str">
        <f>HYPERLINK("http://141.218.60.56/~jnz1568/getInfo.php?workbook=06_01.xlsx&amp;sheet=A0&amp;row=107&amp;col=26&amp;number=&amp;sourceID=13","")</f>
        <v/>
      </c>
    </row>
    <row r="108" spans="1:26">
      <c r="A108" s="3">
        <v>6</v>
      </c>
      <c r="B108" s="3">
        <v>1</v>
      </c>
      <c r="C108" s="3">
        <v>16</v>
      </c>
      <c r="D108" s="3">
        <v>6</v>
      </c>
      <c r="E108" s="3">
        <f>((1/(INDEX(E0!J$4:J$28,C108,1)-INDEX(E0!J$4:J$28,D108,1))))*100000000</f>
        <v>0</v>
      </c>
      <c r="F108" s="4" t="str">
        <f>HYPERLINK("http://141.218.60.56/~jnz1568/getInfo.php?workbook=06_01.xlsx&amp;sheet=A0&amp;row=108&amp;col=6&amp;number=&amp;sourceID=18","")</f>
        <v/>
      </c>
      <c r="G108" s="4" t="str">
        <f>HYPERLINK("http://141.218.60.56/~jnz1568/getInfo.php?workbook=06_01.xlsx&amp;sheet=A0&amp;row=108&amp;col=7&amp;number==&amp;sourceID=11","=")</f>
        <v>=</v>
      </c>
      <c r="H108" s="4" t="str">
        <f>HYPERLINK("http://141.218.60.56/~jnz1568/getInfo.php?workbook=06_01.xlsx&amp;sheet=A0&amp;row=108&amp;col=8&amp;number=&amp;sourceID=11","")</f>
        <v/>
      </c>
      <c r="I108" s="4" t="str">
        <f>HYPERLINK("http://141.218.60.56/~jnz1568/getInfo.php?workbook=06_01.xlsx&amp;sheet=A0&amp;row=108&amp;col=9&amp;number=&amp;sourceID=11","")</f>
        <v/>
      </c>
      <c r="J108" s="4" t="str">
        <f>HYPERLINK("http://141.218.60.56/~jnz1568/getInfo.php?workbook=06_01.xlsx&amp;sheet=A0&amp;row=108&amp;col=10&amp;number=1.8883&amp;sourceID=11","1.8883")</f>
        <v>1.8883</v>
      </c>
      <c r="K108" s="4" t="str">
        <f>HYPERLINK("http://141.218.60.56/~jnz1568/getInfo.php?workbook=06_01.xlsx&amp;sheet=A0&amp;row=108&amp;col=11&amp;number=&amp;sourceID=11","")</f>
        <v/>
      </c>
      <c r="L108" s="4" t="str">
        <f>HYPERLINK("http://141.218.60.56/~jnz1568/getInfo.php?workbook=06_01.xlsx&amp;sheet=A0&amp;row=108&amp;col=12&amp;number=&amp;sourceID=11","")</f>
        <v/>
      </c>
      <c r="M108" s="4" t="str">
        <f>HYPERLINK("http://141.218.60.56/~jnz1568/getInfo.php?workbook=06_01.xlsx&amp;sheet=A0&amp;row=108&amp;col=13&amp;number=&amp;sourceID=11","")</f>
        <v/>
      </c>
      <c r="N108" s="4" t="str">
        <f>HYPERLINK("http://141.218.60.56/~jnz1568/getInfo.php?workbook=06_01.xlsx&amp;sheet=A0&amp;row=108&amp;col=14&amp;number=1.8884&amp;sourceID=12","1.8884")</f>
        <v>1.8884</v>
      </c>
      <c r="O108" s="4" t="str">
        <f>HYPERLINK("http://141.218.60.56/~jnz1568/getInfo.php?workbook=06_01.xlsx&amp;sheet=A0&amp;row=108&amp;col=15&amp;number=&amp;sourceID=12","")</f>
        <v/>
      </c>
      <c r="P108" s="4" t="str">
        <f>HYPERLINK("http://141.218.60.56/~jnz1568/getInfo.php?workbook=06_01.xlsx&amp;sheet=A0&amp;row=108&amp;col=16&amp;number=&amp;sourceID=12","")</f>
        <v/>
      </c>
      <c r="Q108" s="4" t="str">
        <f>HYPERLINK("http://141.218.60.56/~jnz1568/getInfo.php?workbook=06_01.xlsx&amp;sheet=A0&amp;row=108&amp;col=17&amp;number=1.8884&amp;sourceID=12","1.8884")</f>
        <v>1.8884</v>
      </c>
      <c r="R108" s="4" t="str">
        <f>HYPERLINK("http://141.218.60.56/~jnz1568/getInfo.php?workbook=06_01.xlsx&amp;sheet=A0&amp;row=108&amp;col=18&amp;number=&amp;sourceID=12","")</f>
        <v/>
      </c>
      <c r="S108" s="4" t="str">
        <f>HYPERLINK("http://141.218.60.56/~jnz1568/getInfo.php?workbook=06_01.xlsx&amp;sheet=A0&amp;row=108&amp;col=19&amp;number=&amp;sourceID=12","")</f>
        <v/>
      </c>
      <c r="T108" s="4" t="str">
        <f>HYPERLINK("http://141.218.60.56/~jnz1568/getInfo.php?workbook=06_01.xlsx&amp;sheet=A0&amp;row=108&amp;col=20&amp;number=&amp;sourceID=12","")</f>
        <v/>
      </c>
      <c r="U108" s="4" t="str">
        <f>HYPERLINK("http://141.218.60.56/~jnz1568/getInfo.php?workbook=06_01.xlsx&amp;sheet=A0&amp;row=108&amp;col=21&amp;number==SUM(V108:Z108)&amp;sourceID=13","=SUM(V108:Z108)")</f>
        <v>=SUM(V108:Z108)</v>
      </c>
      <c r="V108" s="4" t="str">
        <f>HYPERLINK("http://141.218.60.56/~jnz1568/getInfo.php?workbook=06_01.xlsx&amp;sheet=A0&amp;row=108&amp;col=22&amp;number=&amp;sourceID=13","")</f>
        <v/>
      </c>
      <c r="W108" s="4" t="str">
        <f>HYPERLINK("http://141.218.60.56/~jnz1568/getInfo.php?workbook=06_01.xlsx&amp;sheet=A0&amp;row=108&amp;col=23&amp;number=&amp;sourceID=13","")</f>
        <v/>
      </c>
      <c r="X108" s="4" t="str">
        <f>HYPERLINK("http://141.218.60.56/~jnz1568/getInfo.php?workbook=06_01.xlsx&amp;sheet=A0&amp;row=108&amp;col=24&amp;number=1.89&amp;sourceID=13","1.89")</f>
        <v>1.89</v>
      </c>
      <c r="Y108" s="4" t="str">
        <f>HYPERLINK("http://141.218.60.56/~jnz1568/getInfo.php?workbook=06_01.xlsx&amp;sheet=A0&amp;row=108&amp;col=25&amp;number=&amp;sourceID=13","")</f>
        <v/>
      </c>
      <c r="Z108" s="4" t="str">
        <f>HYPERLINK("http://141.218.60.56/~jnz1568/getInfo.php?workbook=06_01.xlsx&amp;sheet=A0&amp;row=108&amp;col=26&amp;number=&amp;sourceID=13","")</f>
        <v/>
      </c>
    </row>
    <row r="109" spans="1:26">
      <c r="A109" s="3">
        <v>6</v>
      </c>
      <c r="B109" s="3">
        <v>1</v>
      </c>
      <c r="C109" s="3">
        <v>16</v>
      </c>
      <c r="D109" s="3">
        <v>7</v>
      </c>
      <c r="E109" s="3">
        <f>((1/(INDEX(E0!J$4:J$28,C109,1)-INDEX(E0!J$4:J$28,D109,1))))*100000000</f>
        <v>0</v>
      </c>
      <c r="F109" s="4" t="str">
        <f>HYPERLINK("http://141.218.60.56/~jnz1568/getInfo.php?workbook=06_01.xlsx&amp;sheet=A0&amp;row=109&amp;col=6&amp;number=&amp;sourceID=18","")</f>
        <v/>
      </c>
      <c r="G109" s="4" t="str">
        <f>HYPERLINK("http://141.218.60.56/~jnz1568/getInfo.php?workbook=06_01.xlsx&amp;sheet=A0&amp;row=109&amp;col=7&amp;number==&amp;sourceID=11","=")</f>
        <v>=</v>
      </c>
      <c r="H109" s="4" t="str">
        <f>HYPERLINK("http://141.218.60.56/~jnz1568/getInfo.php?workbook=06_01.xlsx&amp;sheet=A0&amp;row=109&amp;col=8&amp;number=&amp;sourceID=11","")</f>
        <v/>
      </c>
      <c r="I109" s="4" t="str">
        <f>HYPERLINK("http://141.218.60.56/~jnz1568/getInfo.php?workbook=06_01.xlsx&amp;sheet=A0&amp;row=109&amp;col=9&amp;number=&amp;sourceID=11","")</f>
        <v/>
      </c>
      <c r="J109" s="4" t="str">
        <f>HYPERLINK("http://141.218.60.56/~jnz1568/getInfo.php?workbook=06_01.xlsx&amp;sheet=A0&amp;row=109&amp;col=10&amp;number=0.22657&amp;sourceID=11","0.22657")</f>
        <v>0.22657</v>
      </c>
      <c r="K109" s="4" t="str">
        <f>HYPERLINK("http://141.218.60.56/~jnz1568/getInfo.php?workbook=06_01.xlsx&amp;sheet=A0&amp;row=109&amp;col=11&amp;number=&amp;sourceID=11","")</f>
        <v/>
      </c>
      <c r="L109" s="4" t="str">
        <f>HYPERLINK("http://141.218.60.56/~jnz1568/getInfo.php?workbook=06_01.xlsx&amp;sheet=A0&amp;row=109&amp;col=12&amp;number=2.0719&amp;sourceID=11","2.0719")</f>
        <v>2.0719</v>
      </c>
      <c r="M109" s="4" t="str">
        <f>HYPERLINK("http://141.218.60.56/~jnz1568/getInfo.php?workbook=06_01.xlsx&amp;sheet=A0&amp;row=109&amp;col=13&amp;number=&amp;sourceID=11","")</f>
        <v/>
      </c>
      <c r="N109" s="4" t="str">
        <f>HYPERLINK("http://141.218.60.56/~jnz1568/getInfo.php?workbook=06_01.xlsx&amp;sheet=A0&amp;row=109&amp;col=14&amp;number=2.2986&amp;sourceID=12","2.2986")</f>
        <v>2.2986</v>
      </c>
      <c r="O109" s="4" t="str">
        <f>HYPERLINK("http://141.218.60.56/~jnz1568/getInfo.php?workbook=06_01.xlsx&amp;sheet=A0&amp;row=109&amp;col=15&amp;number=&amp;sourceID=12","")</f>
        <v/>
      </c>
      <c r="P109" s="4" t="str">
        <f>HYPERLINK("http://141.218.60.56/~jnz1568/getInfo.php?workbook=06_01.xlsx&amp;sheet=A0&amp;row=109&amp;col=16&amp;number=&amp;sourceID=12","")</f>
        <v/>
      </c>
      <c r="Q109" s="4" t="str">
        <f>HYPERLINK("http://141.218.60.56/~jnz1568/getInfo.php?workbook=06_01.xlsx&amp;sheet=A0&amp;row=109&amp;col=17&amp;number=0.22658&amp;sourceID=12","0.22658")</f>
        <v>0.22658</v>
      </c>
      <c r="R109" s="4" t="str">
        <f>HYPERLINK("http://141.218.60.56/~jnz1568/getInfo.php?workbook=06_01.xlsx&amp;sheet=A0&amp;row=109&amp;col=18&amp;number=&amp;sourceID=12","")</f>
        <v/>
      </c>
      <c r="S109" s="4" t="str">
        <f>HYPERLINK("http://141.218.60.56/~jnz1568/getInfo.php?workbook=06_01.xlsx&amp;sheet=A0&amp;row=109&amp;col=19&amp;number=2.072&amp;sourceID=12","2.072")</f>
        <v>2.072</v>
      </c>
      <c r="T109" s="4" t="str">
        <f>HYPERLINK("http://141.218.60.56/~jnz1568/getInfo.php?workbook=06_01.xlsx&amp;sheet=A0&amp;row=109&amp;col=20&amp;number=&amp;sourceID=12","")</f>
        <v/>
      </c>
      <c r="U109" s="4" t="str">
        <f>HYPERLINK("http://141.218.60.56/~jnz1568/getInfo.php?workbook=06_01.xlsx&amp;sheet=A0&amp;row=109&amp;col=21&amp;number==SUM(V109:Z109)&amp;sourceID=13","=SUM(V109:Z109)")</f>
        <v>=SUM(V109:Z109)</v>
      </c>
      <c r="V109" s="4" t="str">
        <f>HYPERLINK("http://141.218.60.56/~jnz1568/getInfo.php?workbook=06_01.xlsx&amp;sheet=A0&amp;row=109&amp;col=22&amp;number=&amp;sourceID=13","")</f>
        <v/>
      </c>
      <c r="W109" s="4" t="str">
        <f>HYPERLINK("http://141.218.60.56/~jnz1568/getInfo.php?workbook=06_01.xlsx&amp;sheet=A0&amp;row=109&amp;col=23&amp;number=&amp;sourceID=13","")</f>
        <v/>
      </c>
      <c r="X109" s="4" t="str">
        <f>HYPERLINK("http://141.218.60.56/~jnz1568/getInfo.php?workbook=06_01.xlsx&amp;sheet=A0&amp;row=109&amp;col=24&amp;number=0.51&amp;sourceID=13","0.51")</f>
        <v>0.51</v>
      </c>
      <c r="Y109" s="4" t="str">
        <f>HYPERLINK("http://141.218.60.56/~jnz1568/getInfo.php?workbook=06_01.xlsx&amp;sheet=A0&amp;row=109&amp;col=25&amp;number=&amp;sourceID=13","")</f>
        <v/>
      </c>
      <c r="Z109" s="4" t="str">
        <f>HYPERLINK("http://141.218.60.56/~jnz1568/getInfo.php?workbook=06_01.xlsx&amp;sheet=A0&amp;row=109&amp;col=26&amp;number=8.29&amp;sourceID=13","8.29")</f>
        <v>8.29</v>
      </c>
    </row>
    <row r="110" spans="1:26">
      <c r="A110" s="3">
        <v>6</v>
      </c>
      <c r="B110" s="3">
        <v>1</v>
      </c>
      <c r="C110" s="3">
        <v>16</v>
      </c>
      <c r="D110" s="3">
        <v>8</v>
      </c>
      <c r="E110" s="3">
        <f>((1/(INDEX(E0!J$4:J$28,C110,1)-INDEX(E0!J$4:J$28,D110,1))))*100000000</f>
        <v>0</v>
      </c>
      <c r="F110" s="4" t="str">
        <f>HYPERLINK("http://141.218.60.56/~jnz1568/getInfo.php?workbook=06_01.xlsx&amp;sheet=A0&amp;row=110&amp;col=6&amp;number=&amp;sourceID=18","")</f>
        <v/>
      </c>
      <c r="G110" s="4" t="str">
        <f>HYPERLINK("http://141.218.60.56/~jnz1568/getInfo.php?workbook=06_01.xlsx&amp;sheet=A0&amp;row=110&amp;col=7&amp;number==&amp;sourceID=11","=")</f>
        <v>=</v>
      </c>
      <c r="H110" s="4" t="str">
        <f>HYPERLINK("http://141.218.60.56/~jnz1568/getInfo.php?workbook=06_01.xlsx&amp;sheet=A0&amp;row=110&amp;col=8&amp;number=&amp;sourceID=11","")</f>
        <v/>
      </c>
      <c r="I110" s="4" t="str">
        <f>HYPERLINK("http://141.218.60.56/~jnz1568/getInfo.php?workbook=06_01.xlsx&amp;sheet=A0&amp;row=110&amp;col=9&amp;number=270220&amp;sourceID=11","270220")</f>
        <v>270220</v>
      </c>
      <c r="J110" s="4" t="str">
        <f>HYPERLINK("http://141.218.60.56/~jnz1568/getInfo.php?workbook=06_01.xlsx&amp;sheet=A0&amp;row=110&amp;col=10&amp;number=&amp;sourceID=11","")</f>
        <v/>
      </c>
      <c r="K110" s="4" t="str">
        <f>HYPERLINK("http://141.218.60.56/~jnz1568/getInfo.php?workbook=06_01.xlsx&amp;sheet=A0&amp;row=110&amp;col=11&amp;number=&amp;sourceID=11","")</f>
        <v/>
      </c>
      <c r="L110" s="4" t="str">
        <f>HYPERLINK("http://141.218.60.56/~jnz1568/getInfo.php?workbook=06_01.xlsx&amp;sheet=A0&amp;row=110&amp;col=12&amp;number=&amp;sourceID=11","")</f>
        <v/>
      </c>
      <c r="M110" s="4" t="str">
        <f>HYPERLINK("http://141.218.60.56/~jnz1568/getInfo.php?workbook=06_01.xlsx&amp;sheet=A0&amp;row=110&amp;col=13&amp;number=0.00012579&amp;sourceID=11","0.00012579")</f>
        <v>0.00012579</v>
      </c>
      <c r="N110" s="4" t="str">
        <f>HYPERLINK("http://141.218.60.56/~jnz1568/getInfo.php?workbook=06_01.xlsx&amp;sheet=A0&amp;row=110&amp;col=14&amp;number=270230&amp;sourceID=12","270230")</f>
        <v>270230</v>
      </c>
      <c r="O110" s="4" t="str">
        <f>HYPERLINK("http://141.218.60.56/~jnz1568/getInfo.php?workbook=06_01.xlsx&amp;sheet=A0&amp;row=110&amp;col=15&amp;number=&amp;sourceID=12","")</f>
        <v/>
      </c>
      <c r="P110" s="4" t="str">
        <f>HYPERLINK("http://141.218.60.56/~jnz1568/getInfo.php?workbook=06_01.xlsx&amp;sheet=A0&amp;row=110&amp;col=16&amp;number=270230&amp;sourceID=12","270230")</f>
        <v>270230</v>
      </c>
      <c r="Q110" s="4" t="str">
        <f>HYPERLINK("http://141.218.60.56/~jnz1568/getInfo.php?workbook=06_01.xlsx&amp;sheet=A0&amp;row=110&amp;col=17&amp;number=&amp;sourceID=12","")</f>
        <v/>
      </c>
      <c r="R110" s="4" t="str">
        <f>HYPERLINK("http://141.218.60.56/~jnz1568/getInfo.php?workbook=06_01.xlsx&amp;sheet=A0&amp;row=110&amp;col=18&amp;number=&amp;sourceID=12","")</f>
        <v/>
      </c>
      <c r="S110" s="4" t="str">
        <f>HYPERLINK("http://141.218.60.56/~jnz1568/getInfo.php?workbook=06_01.xlsx&amp;sheet=A0&amp;row=110&amp;col=19&amp;number=&amp;sourceID=12","")</f>
        <v/>
      </c>
      <c r="T110" s="4" t="str">
        <f>HYPERLINK("http://141.218.60.56/~jnz1568/getInfo.php?workbook=06_01.xlsx&amp;sheet=A0&amp;row=110&amp;col=20&amp;number=0.0001258&amp;sourceID=12","0.0001258")</f>
        <v>0.0001258</v>
      </c>
      <c r="U110" s="4" t="str">
        <f>HYPERLINK("http://141.218.60.56/~jnz1568/getInfo.php?workbook=06_01.xlsx&amp;sheet=A0&amp;row=110&amp;col=21&amp;number==SUM(V110:Z110)&amp;sourceID=13","=SUM(V110:Z110)")</f>
        <v>=SUM(V110:Z110)</v>
      </c>
      <c r="V110" s="4" t="str">
        <f>HYPERLINK("http://141.218.60.56/~jnz1568/getInfo.php?workbook=06_01.xlsx&amp;sheet=A0&amp;row=110&amp;col=22&amp;number=&amp;sourceID=13","")</f>
        <v/>
      </c>
      <c r="W110" s="4" t="str">
        <f>HYPERLINK("http://141.218.60.56/~jnz1568/getInfo.php?workbook=06_01.xlsx&amp;sheet=A0&amp;row=110&amp;col=23&amp;number=270000&amp;sourceID=13","270000")</f>
        <v>270000</v>
      </c>
      <c r="X110" s="4" t="str">
        <f>HYPERLINK("http://141.218.60.56/~jnz1568/getInfo.php?workbook=06_01.xlsx&amp;sheet=A0&amp;row=110&amp;col=24&amp;number=&amp;sourceID=13","")</f>
        <v/>
      </c>
      <c r="Y110" s="4" t="str">
        <f>HYPERLINK("http://141.218.60.56/~jnz1568/getInfo.php?workbook=06_01.xlsx&amp;sheet=A0&amp;row=110&amp;col=25&amp;number=&amp;sourceID=13","")</f>
        <v/>
      </c>
      <c r="Z110" s="4" t="str">
        <f>HYPERLINK("http://141.218.60.56/~jnz1568/getInfo.php?workbook=06_01.xlsx&amp;sheet=A0&amp;row=110&amp;col=26&amp;number=&amp;sourceID=13","")</f>
        <v/>
      </c>
    </row>
    <row r="111" spans="1:26">
      <c r="A111" s="3">
        <v>6</v>
      </c>
      <c r="B111" s="3">
        <v>1</v>
      </c>
      <c r="C111" s="3">
        <v>16</v>
      </c>
      <c r="D111" s="3">
        <v>9</v>
      </c>
      <c r="E111" s="3">
        <f>((1/(INDEX(E0!J$4:J$28,C111,1)-INDEX(E0!J$4:J$28,D111,1))))*100000000</f>
        <v>0</v>
      </c>
      <c r="F111" s="4" t="str">
        <f>HYPERLINK("http://141.218.60.56/~jnz1568/getInfo.php?workbook=06_01.xlsx&amp;sheet=A0&amp;row=111&amp;col=6&amp;number=&amp;sourceID=18","")</f>
        <v/>
      </c>
      <c r="G111" s="4" t="str">
        <f>HYPERLINK("http://141.218.60.56/~jnz1568/getInfo.php?workbook=06_01.xlsx&amp;sheet=A0&amp;row=111&amp;col=7&amp;number==&amp;sourceID=11","=")</f>
        <v>=</v>
      </c>
      <c r="H111" s="4" t="str">
        <f>HYPERLINK("http://141.218.60.56/~jnz1568/getInfo.php?workbook=06_01.xlsx&amp;sheet=A0&amp;row=111&amp;col=8&amp;number=17878000000&amp;sourceID=11","17878000000")</f>
        <v>17878000000</v>
      </c>
      <c r="I111" s="4" t="str">
        <f>HYPERLINK("http://141.218.60.56/~jnz1568/getInfo.php?workbook=06_01.xlsx&amp;sheet=A0&amp;row=111&amp;col=9&amp;number=&amp;sourceID=11","")</f>
        <v/>
      </c>
      <c r="J111" s="4" t="str">
        <f>HYPERLINK("http://141.218.60.56/~jnz1568/getInfo.php?workbook=06_01.xlsx&amp;sheet=A0&amp;row=111&amp;col=10&amp;number=0.67905&amp;sourceID=11","0.67905")</f>
        <v>0.67905</v>
      </c>
      <c r="K111" s="4" t="str">
        <f>HYPERLINK("http://141.218.60.56/~jnz1568/getInfo.php?workbook=06_01.xlsx&amp;sheet=A0&amp;row=111&amp;col=11&amp;number=&amp;sourceID=11","")</f>
        <v/>
      </c>
      <c r="L111" s="4" t="str">
        <f>HYPERLINK("http://141.218.60.56/~jnz1568/getInfo.php?workbook=06_01.xlsx&amp;sheet=A0&amp;row=111&amp;col=12&amp;number=14.265&amp;sourceID=11","14.265")</f>
        <v>14.265</v>
      </c>
      <c r="M111" s="4" t="str">
        <f>HYPERLINK("http://141.218.60.56/~jnz1568/getInfo.php?workbook=06_01.xlsx&amp;sheet=A0&amp;row=111&amp;col=13&amp;number=&amp;sourceID=11","")</f>
        <v/>
      </c>
      <c r="N111" s="4" t="str">
        <f>HYPERLINK("http://141.218.60.56/~jnz1568/getInfo.php?workbook=06_01.xlsx&amp;sheet=A0&amp;row=111&amp;col=14&amp;number=17878000000&amp;sourceID=12","17878000000")</f>
        <v>17878000000</v>
      </c>
      <c r="O111" s="4" t="str">
        <f>HYPERLINK("http://141.218.60.56/~jnz1568/getInfo.php?workbook=06_01.xlsx&amp;sheet=A0&amp;row=111&amp;col=15&amp;number=17878000000&amp;sourceID=12","17878000000")</f>
        <v>17878000000</v>
      </c>
      <c r="P111" s="4" t="str">
        <f>HYPERLINK("http://141.218.60.56/~jnz1568/getInfo.php?workbook=06_01.xlsx&amp;sheet=A0&amp;row=111&amp;col=16&amp;number=&amp;sourceID=12","")</f>
        <v/>
      </c>
      <c r="Q111" s="4" t="str">
        <f>HYPERLINK("http://141.218.60.56/~jnz1568/getInfo.php?workbook=06_01.xlsx&amp;sheet=A0&amp;row=111&amp;col=17&amp;number=0.67908&amp;sourceID=12","0.67908")</f>
        <v>0.67908</v>
      </c>
      <c r="R111" s="4" t="str">
        <f>HYPERLINK("http://141.218.60.56/~jnz1568/getInfo.php?workbook=06_01.xlsx&amp;sheet=A0&amp;row=111&amp;col=18&amp;number=&amp;sourceID=12","")</f>
        <v/>
      </c>
      <c r="S111" s="4" t="str">
        <f>HYPERLINK("http://141.218.60.56/~jnz1568/getInfo.php?workbook=06_01.xlsx&amp;sheet=A0&amp;row=111&amp;col=19&amp;number=14.266&amp;sourceID=12","14.266")</f>
        <v>14.266</v>
      </c>
      <c r="T111" s="4" t="str">
        <f>HYPERLINK("http://141.218.60.56/~jnz1568/getInfo.php?workbook=06_01.xlsx&amp;sheet=A0&amp;row=111&amp;col=20&amp;number=&amp;sourceID=12","")</f>
        <v/>
      </c>
      <c r="U111" s="4" t="str">
        <f>HYPERLINK("http://141.218.60.56/~jnz1568/getInfo.php?workbook=06_01.xlsx&amp;sheet=A0&amp;row=111&amp;col=21&amp;number==SUM(V111:Z111)&amp;sourceID=13","=SUM(V111:Z111)")</f>
        <v>=SUM(V111:Z111)</v>
      </c>
      <c r="V111" s="4" t="str">
        <f>HYPERLINK("http://141.218.60.56/~jnz1568/getInfo.php?workbook=06_01.xlsx&amp;sheet=A0&amp;row=111&amp;col=22&amp;number=17900000000&amp;sourceID=13","17900000000")</f>
        <v>17900000000</v>
      </c>
      <c r="W111" s="4" t="str">
        <f>HYPERLINK("http://141.218.60.56/~jnz1568/getInfo.php?workbook=06_01.xlsx&amp;sheet=A0&amp;row=111&amp;col=23&amp;number=&amp;sourceID=13","")</f>
        <v/>
      </c>
      <c r="X111" s="4" t="str">
        <f>HYPERLINK("http://141.218.60.56/~jnz1568/getInfo.php?workbook=06_01.xlsx&amp;sheet=A0&amp;row=111&amp;col=24&amp;number=&amp;sourceID=13","")</f>
        <v/>
      </c>
      <c r="Y111" s="4" t="str">
        <f>HYPERLINK("http://141.218.60.56/~jnz1568/getInfo.php?workbook=06_01.xlsx&amp;sheet=A0&amp;row=111&amp;col=25&amp;number=&amp;sourceID=13","")</f>
        <v/>
      </c>
      <c r="Z111" s="4" t="str">
        <f>HYPERLINK("http://141.218.60.56/~jnz1568/getInfo.php?workbook=06_01.xlsx&amp;sheet=A0&amp;row=111&amp;col=26&amp;number=&amp;sourceID=13","")</f>
        <v/>
      </c>
    </row>
    <row r="112" spans="1:26">
      <c r="A112" s="3">
        <v>6</v>
      </c>
      <c r="B112" s="3">
        <v>1</v>
      </c>
      <c r="C112" s="3">
        <v>16</v>
      </c>
      <c r="D112" s="3">
        <v>10</v>
      </c>
      <c r="E112" s="3">
        <f>((1/(INDEX(E0!J$4:J$28,C112,1)-INDEX(E0!J$4:J$28,D112,1))))*100000000</f>
        <v>0</v>
      </c>
      <c r="F112" s="4" t="str">
        <f>HYPERLINK("http://141.218.60.56/~jnz1568/getInfo.php?workbook=06_01.xlsx&amp;sheet=A0&amp;row=112&amp;col=6&amp;number=&amp;sourceID=18","")</f>
        <v/>
      </c>
      <c r="G112" s="4" t="str">
        <f>HYPERLINK("http://141.218.60.56/~jnz1568/getInfo.php?workbook=06_01.xlsx&amp;sheet=A0&amp;row=112&amp;col=7&amp;number==&amp;sourceID=11","=")</f>
        <v>=</v>
      </c>
      <c r="H112" s="4" t="str">
        <f>HYPERLINK("http://141.218.60.56/~jnz1568/getInfo.php?workbook=06_01.xlsx&amp;sheet=A0&amp;row=112&amp;col=8&amp;number=&amp;sourceID=11","")</f>
        <v/>
      </c>
      <c r="I112" s="4" t="str">
        <f>HYPERLINK("http://141.218.60.56/~jnz1568/getInfo.php?workbook=06_01.xlsx&amp;sheet=A0&amp;row=112&amp;col=9&amp;number=&amp;sourceID=11","")</f>
        <v/>
      </c>
      <c r="J112" s="4" t="str">
        <f>HYPERLINK("http://141.218.60.56/~jnz1568/getInfo.php?workbook=06_01.xlsx&amp;sheet=A0&amp;row=112&amp;col=10&amp;number=&amp;sourceID=11","")</f>
        <v/>
      </c>
      <c r="K112" s="4" t="str">
        <f>HYPERLINK("http://141.218.60.56/~jnz1568/getInfo.php?workbook=06_01.xlsx&amp;sheet=A0&amp;row=112&amp;col=11&amp;number=&amp;sourceID=11","")</f>
        <v/>
      </c>
      <c r="L112" s="4" t="str">
        <f>HYPERLINK("http://141.218.60.56/~jnz1568/getInfo.php?workbook=06_01.xlsx&amp;sheet=A0&amp;row=112&amp;col=12&amp;number=&amp;sourceID=11","")</f>
        <v/>
      </c>
      <c r="M112" s="4" t="str">
        <f>HYPERLINK("http://141.218.60.56/~jnz1568/getInfo.php?workbook=06_01.xlsx&amp;sheet=A0&amp;row=112&amp;col=13&amp;number=0&amp;sourceID=11","0")</f>
        <v>0</v>
      </c>
      <c r="N112" s="4" t="str">
        <f>HYPERLINK("http://141.218.60.56/~jnz1568/getInfo.php?workbook=06_01.xlsx&amp;sheet=A0&amp;row=112&amp;col=14&amp;number=0&amp;sourceID=12","0")</f>
        <v>0</v>
      </c>
      <c r="O112" s="4" t="str">
        <f>HYPERLINK("http://141.218.60.56/~jnz1568/getInfo.php?workbook=06_01.xlsx&amp;sheet=A0&amp;row=112&amp;col=15&amp;number=&amp;sourceID=12","")</f>
        <v/>
      </c>
      <c r="P112" s="4" t="str">
        <f>HYPERLINK("http://141.218.60.56/~jnz1568/getInfo.php?workbook=06_01.xlsx&amp;sheet=A0&amp;row=112&amp;col=16&amp;number=&amp;sourceID=12","")</f>
        <v/>
      </c>
      <c r="Q112" s="4" t="str">
        <f>HYPERLINK("http://141.218.60.56/~jnz1568/getInfo.php?workbook=06_01.xlsx&amp;sheet=A0&amp;row=112&amp;col=17&amp;number=&amp;sourceID=12","")</f>
        <v/>
      </c>
      <c r="R112" s="4" t="str">
        <f>HYPERLINK("http://141.218.60.56/~jnz1568/getInfo.php?workbook=06_01.xlsx&amp;sheet=A0&amp;row=112&amp;col=18&amp;number=&amp;sourceID=12","")</f>
        <v/>
      </c>
      <c r="S112" s="4" t="str">
        <f>HYPERLINK("http://141.218.60.56/~jnz1568/getInfo.php?workbook=06_01.xlsx&amp;sheet=A0&amp;row=112&amp;col=19&amp;number=&amp;sourceID=12","")</f>
        <v/>
      </c>
      <c r="T112" s="4" t="str">
        <f>HYPERLINK("http://141.218.60.56/~jnz1568/getInfo.php?workbook=06_01.xlsx&amp;sheet=A0&amp;row=112&amp;col=20&amp;number=0&amp;sourceID=12","0")</f>
        <v>0</v>
      </c>
      <c r="U112" s="4" t="str">
        <f>HYPERLINK("http://141.218.60.56/~jnz1568/getInfo.php?workbook=06_01.xlsx&amp;sheet=A0&amp;row=112&amp;col=21&amp;number=&amp;sourceID=13","")</f>
        <v/>
      </c>
      <c r="V112" s="4" t="str">
        <f>HYPERLINK("http://141.218.60.56/~jnz1568/getInfo.php?workbook=06_01.xlsx&amp;sheet=A0&amp;row=112&amp;col=22&amp;number=&amp;sourceID=13","")</f>
        <v/>
      </c>
      <c r="W112" s="4" t="str">
        <f>HYPERLINK("http://141.218.60.56/~jnz1568/getInfo.php?workbook=06_01.xlsx&amp;sheet=A0&amp;row=112&amp;col=23&amp;number=&amp;sourceID=13","")</f>
        <v/>
      </c>
      <c r="X112" s="4" t="str">
        <f>HYPERLINK("http://141.218.60.56/~jnz1568/getInfo.php?workbook=06_01.xlsx&amp;sheet=A0&amp;row=112&amp;col=24&amp;number=&amp;sourceID=13","")</f>
        <v/>
      </c>
      <c r="Y112" s="4" t="str">
        <f>HYPERLINK("http://141.218.60.56/~jnz1568/getInfo.php?workbook=06_01.xlsx&amp;sheet=A0&amp;row=112&amp;col=25&amp;number=&amp;sourceID=13","")</f>
        <v/>
      </c>
      <c r="Z112" s="4" t="str">
        <f>HYPERLINK("http://141.218.60.56/~jnz1568/getInfo.php?workbook=06_01.xlsx&amp;sheet=A0&amp;row=112&amp;col=26&amp;number=&amp;sourceID=13","")</f>
        <v/>
      </c>
    </row>
    <row r="113" spans="1:26">
      <c r="A113" s="3">
        <v>6</v>
      </c>
      <c r="B113" s="3">
        <v>1</v>
      </c>
      <c r="C113" s="3">
        <v>16</v>
      </c>
      <c r="D113" s="3">
        <v>11</v>
      </c>
      <c r="E113" s="3">
        <f>((1/(INDEX(E0!J$4:J$28,C113,1)-INDEX(E0!J$4:J$28,D113,1))))*100000000</f>
        <v>0</v>
      </c>
      <c r="F113" s="4" t="str">
        <f>HYPERLINK("http://141.218.60.56/~jnz1568/getInfo.php?workbook=06_01.xlsx&amp;sheet=A0&amp;row=113&amp;col=6&amp;number=&amp;sourceID=18","")</f>
        <v/>
      </c>
      <c r="G113" s="4" t="str">
        <f>HYPERLINK("http://141.218.60.56/~jnz1568/getInfo.php?workbook=06_01.xlsx&amp;sheet=A0&amp;row=113&amp;col=7&amp;number==&amp;sourceID=11","=")</f>
        <v>=</v>
      </c>
      <c r="H113" s="4" t="str">
        <f>HYPERLINK("http://141.218.60.56/~jnz1568/getInfo.php?workbook=06_01.xlsx&amp;sheet=A0&amp;row=113&amp;col=8&amp;number=&amp;sourceID=11","")</f>
        <v/>
      </c>
      <c r="I113" s="4" t="str">
        <f>HYPERLINK("http://141.218.60.56/~jnz1568/getInfo.php?workbook=06_01.xlsx&amp;sheet=A0&amp;row=113&amp;col=9&amp;number=&amp;sourceID=11","")</f>
        <v/>
      </c>
      <c r="J113" s="4" t="str">
        <f>HYPERLINK("http://141.218.60.56/~jnz1568/getInfo.php?workbook=06_01.xlsx&amp;sheet=A0&amp;row=113&amp;col=10&amp;number=0&amp;sourceID=11","0")</f>
        <v>0</v>
      </c>
      <c r="K113" s="4" t="str">
        <f>HYPERLINK("http://141.218.60.56/~jnz1568/getInfo.php?workbook=06_01.xlsx&amp;sheet=A0&amp;row=113&amp;col=11&amp;number=&amp;sourceID=11","")</f>
        <v/>
      </c>
      <c r="L113" s="4" t="str">
        <f>HYPERLINK("http://141.218.60.56/~jnz1568/getInfo.php?workbook=06_01.xlsx&amp;sheet=A0&amp;row=113&amp;col=12&amp;number=&amp;sourceID=11","")</f>
        <v/>
      </c>
      <c r="M113" s="4" t="str">
        <f>HYPERLINK("http://141.218.60.56/~jnz1568/getInfo.php?workbook=06_01.xlsx&amp;sheet=A0&amp;row=113&amp;col=13&amp;number=&amp;sourceID=11","")</f>
        <v/>
      </c>
      <c r="N113" s="4" t="str">
        <f>HYPERLINK("http://141.218.60.56/~jnz1568/getInfo.php?workbook=06_01.xlsx&amp;sheet=A0&amp;row=113&amp;col=14&amp;number=0&amp;sourceID=12","0")</f>
        <v>0</v>
      </c>
      <c r="O113" s="4" t="str">
        <f>HYPERLINK("http://141.218.60.56/~jnz1568/getInfo.php?workbook=06_01.xlsx&amp;sheet=A0&amp;row=113&amp;col=15&amp;number=&amp;sourceID=12","")</f>
        <v/>
      </c>
      <c r="P113" s="4" t="str">
        <f>HYPERLINK("http://141.218.60.56/~jnz1568/getInfo.php?workbook=06_01.xlsx&amp;sheet=A0&amp;row=113&amp;col=16&amp;number=&amp;sourceID=12","")</f>
        <v/>
      </c>
      <c r="Q113" s="4" t="str">
        <f>HYPERLINK("http://141.218.60.56/~jnz1568/getInfo.php?workbook=06_01.xlsx&amp;sheet=A0&amp;row=113&amp;col=17&amp;number=0&amp;sourceID=12","0")</f>
        <v>0</v>
      </c>
      <c r="R113" s="4" t="str">
        <f>HYPERLINK("http://141.218.60.56/~jnz1568/getInfo.php?workbook=06_01.xlsx&amp;sheet=A0&amp;row=113&amp;col=18&amp;number=&amp;sourceID=12","")</f>
        <v/>
      </c>
      <c r="S113" s="4" t="str">
        <f>HYPERLINK("http://141.218.60.56/~jnz1568/getInfo.php?workbook=06_01.xlsx&amp;sheet=A0&amp;row=113&amp;col=19&amp;number=&amp;sourceID=12","")</f>
        <v/>
      </c>
      <c r="T113" s="4" t="str">
        <f>HYPERLINK("http://141.218.60.56/~jnz1568/getInfo.php?workbook=06_01.xlsx&amp;sheet=A0&amp;row=113&amp;col=20&amp;number=&amp;sourceID=12","")</f>
        <v/>
      </c>
      <c r="U113" s="4" t="str">
        <f>HYPERLINK("http://141.218.60.56/~jnz1568/getInfo.php?workbook=06_01.xlsx&amp;sheet=A0&amp;row=113&amp;col=21&amp;number=&amp;sourceID=13","")</f>
        <v/>
      </c>
      <c r="V113" s="4" t="str">
        <f>HYPERLINK("http://141.218.60.56/~jnz1568/getInfo.php?workbook=06_01.xlsx&amp;sheet=A0&amp;row=113&amp;col=22&amp;number=&amp;sourceID=13","")</f>
        <v/>
      </c>
      <c r="W113" s="4" t="str">
        <f>HYPERLINK("http://141.218.60.56/~jnz1568/getInfo.php?workbook=06_01.xlsx&amp;sheet=A0&amp;row=113&amp;col=23&amp;number=&amp;sourceID=13","")</f>
        <v/>
      </c>
      <c r="X113" s="4" t="str">
        <f>HYPERLINK("http://141.218.60.56/~jnz1568/getInfo.php?workbook=06_01.xlsx&amp;sheet=A0&amp;row=113&amp;col=24&amp;number=&amp;sourceID=13","")</f>
        <v/>
      </c>
      <c r="Y113" s="4" t="str">
        <f>HYPERLINK("http://141.218.60.56/~jnz1568/getInfo.php?workbook=06_01.xlsx&amp;sheet=A0&amp;row=113&amp;col=25&amp;number=&amp;sourceID=13","")</f>
        <v/>
      </c>
      <c r="Z113" s="4" t="str">
        <f>HYPERLINK("http://141.218.60.56/~jnz1568/getInfo.php?workbook=06_01.xlsx&amp;sheet=A0&amp;row=113&amp;col=26&amp;number=&amp;sourceID=13","")</f>
        <v/>
      </c>
    </row>
    <row r="114" spans="1:26">
      <c r="A114" s="3">
        <v>6</v>
      </c>
      <c r="B114" s="3">
        <v>1</v>
      </c>
      <c r="C114" s="3">
        <v>16</v>
      </c>
      <c r="D114" s="3">
        <v>12</v>
      </c>
      <c r="E114" s="3">
        <f>((1/(INDEX(E0!J$4:J$28,C114,1)-INDEX(E0!J$4:J$28,D114,1))))*100000000</f>
        <v>0</v>
      </c>
      <c r="F114" s="4" t="str">
        <f>HYPERLINK("http://141.218.60.56/~jnz1568/getInfo.php?workbook=06_01.xlsx&amp;sheet=A0&amp;row=114&amp;col=6&amp;number=&amp;sourceID=18","")</f>
        <v/>
      </c>
      <c r="G114" s="4" t="str">
        <f>HYPERLINK("http://141.218.60.56/~jnz1568/getInfo.php?workbook=06_01.xlsx&amp;sheet=A0&amp;row=114&amp;col=7&amp;number==&amp;sourceID=11","=")</f>
        <v>=</v>
      </c>
      <c r="H114" s="4" t="str">
        <f>HYPERLINK("http://141.218.60.56/~jnz1568/getInfo.php?workbook=06_01.xlsx&amp;sheet=A0&amp;row=114&amp;col=8&amp;number=&amp;sourceID=11","")</f>
        <v/>
      </c>
      <c r="I114" s="4" t="str">
        <f>HYPERLINK("http://141.218.60.56/~jnz1568/getInfo.php?workbook=06_01.xlsx&amp;sheet=A0&amp;row=114&amp;col=9&amp;number=&amp;sourceID=11","")</f>
        <v/>
      </c>
      <c r="J114" s="4" t="str">
        <f>HYPERLINK("http://141.218.60.56/~jnz1568/getInfo.php?workbook=06_01.xlsx&amp;sheet=A0&amp;row=114&amp;col=10&amp;number=0&amp;sourceID=11","0")</f>
        <v>0</v>
      </c>
      <c r="K114" s="4" t="str">
        <f>HYPERLINK("http://141.218.60.56/~jnz1568/getInfo.php?workbook=06_01.xlsx&amp;sheet=A0&amp;row=114&amp;col=11&amp;number=&amp;sourceID=11","")</f>
        <v/>
      </c>
      <c r="L114" s="4" t="str">
        <f>HYPERLINK("http://141.218.60.56/~jnz1568/getInfo.php?workbook=06_01.xlsx&amp;sheet=A0&amp;row=114&amp;col=12&amp;number=0&amp;sourceID=11","0")</f>
        <v>0</v>
      </c>
      <c r="M114" s="4" t="str">
        <f>HYPERLINK("http://141.218.60.56/~jnz1568/getInfo.php?workbook=06_01.xlsx&amp;sheet=A0&amp;row=114&amp;col=13&amp;number=&amp;sourceID=11","")</f>
        <v/>
      </c>
      <c r="N114" s="4" t="str">
        <f>HYPERLINK("http://141.218.60.56/~jnz1568/getInfo.php?workbook=06_01.xlsx&amp;sheet=A0&amp;row=114&amp;col=14&amp;number=0&amp;sourceID=12","0")</f>
        <v>0</v>
      </c>
      <c r="O114" s="4" t="str">
        <f>HYPERLINK("http://141.218.60.56/~jnz1568/getInfo.php?workbook=06_01.xlsx&amp;sheet=A0&amp;row=114&amp;col=15&amp;number=&amp;sourceID=12","")</f>
        <v/>
      </c>
      <c r="P114" s="4" t="str">
        <f>HYPERLINK("http://141.218.60.56/~jnz1568/getInfo.php?workbook=06_01.xlsx&amp;sheet=A0&amp;row=114&amp;col=16&amp;number=&amp;sourceID=12","")</f>
        <v/>
      </c>
      <c r="Q114" s="4" t="str">
        <f>HYPERLINK("http://141.218.60.56/~jnz1568/getInfo.php?workbook=06_01.xlsx&amp;sheet=A0&amp;row=114&amp;col=17&amp;number=0&amp;sourceID=12","0")</f>
        <v>0</v>
      </c>
      <c r="R114" s="4" t="str">
        <f>HYPERLINK("http://141.218.60.56/~jnz1568/getInfo.php?workbook=06_01.xlsx&amp;sheet=A0&amp;row=114&amp;col=18&amp;number=&amp;sourceID=12","")</f>
        <v/>
      </c>
      <c r="S114" s="4" t="str">
        <f>HYPERLINK("http://141.218.60.56/~jnz1568/getInfo.php?workbook=06_01.xlsx&amp;sheet=A0&amp;row=114&amp;col=19&amp;number=0&amp;sourceID=12","0")</f>
        <v>0</v>
      </c>
      <c r="T114" s="4" t="str">
        <f>HYPERLINK("http://141.218.60.56/~jnz1568/getInfo.php?workbook=06_01.xlsx&amp;sheet=A0&amp;row=114&amp;col=20&amp;number=&amp;sourceID=12","")</f>
        <v/>
      </c>
      <c r="U114" s="4" t="str">
        <f>HYPERLINK("http://141.218.60.56/~jnz1568/getInfo.php?workbook=06_01.xlsx&amp;sheet=A0&amp;row=114&amp;col=21&amp;number=&amp;sourceID=13","")</f>
        <v/>
      </c>
      <c r="V114" s="4" t="str">
        <f>HYPERLINK("http://141.218.60.56/~jnz1568/getInfo.php?workbook=06_01.xlsx&amp;sheet=A0&amp;row=114&amp;col=22&amp;number=&amp;sourceID=13","")</f>
        <v/>
      </c>
      <c r="W114" s="4" t="str">
        <f>HYPERLINK("http://141.218.60.56/~jnz1568/getInfo.php?workbook=06_01.xlsx&amp;sheet=A0&amp;row=114&amp;col=23&amp;number=&amp;sourceID=13","")</f>
        <v/>
      </c>
      <c r="X114" s="4" t="str">
        <f>HYPERLINK("http://141.218.60.56/~jnz1568/getInfo.php?workbook=06_01.xlsx&amp;sheet=A0&amp;row=114&amp;col=24&amp;number=&amp;sourceID=13","")</f>
        <v/>
      </c>
      <c r="Y114" s="4" t="str">
        <f>HYPERLINK("http://141.218.60.56/~jnz1568/getInfo.php?workbook=06_01.xlsx&amp;sheet=A0&amp;row=114&amp;col=25&amp;number=&amp;sourceID=13","")</f>
        <v/>
      </c>
      <c r="Z114" s="4" t="str">
        <f>HYPERLINK("http://141.218.60.56/~jnz1568/getInfo.php?workbook=06_01.xlsx&amp;sheet=A0&amp;row=114&amp;col=26&amp;number=&amp;sourceID=13","")</f>
        <v/>
      </c>
    </row>
    <row r="115" spans="1:26">
      <c r="A115" s="3">
        <v>6</v>
      </c>
      <c r="B115" s="3">
        <v>1</v>
      </c>
      <c r="C115" s="3">
        <v>16</v>
      </c>
      <c r="D115" s="3">
        <v>13</v>
      </c>
      <c r="E115" s="3">
        <f>((1/(INDEX(E0!J$4:J$28,C115,1)-INDEX(E0!J$4:J$28,D115,1))))*100000000</f>
        <v>0</v>
      </c>
      <c r="F115" s="4" t="str">
        <f>HYPERLINK("http://141.218.60.56/~jnz1568/getInfo.php?workbook=06_01.xlsx&amp;sheet=A0&amp;row=115&amp;col=6&amp;number=&amp;sourceID=18","")</f>
        <v/>
      </c>
      <c r="G115" s="4" t="str">
        <f>HYPERLINK("http://141.218.60.56/~jnz1568/getInfo.php?workbook=06_01.xlsx&amp;sheet=A0&amp;row=115&amp;col=7&amp;number==&amp;sourceID=11","=")</f>
        <v>=</v>
      </c>
      <c r="H115" s="4" t="str">
        <f>HYPERLINK("http://141.218.60.56/~jnz1568/getInfo.php?workbook=06_01.xlsx&amp;sheet=A0&amp;row=115&amp;col=8&amp;number=&amp;sourceID=11","")</f>
        <v/>
      </c>
      <c r="I115" s="4" t="str">
        <f>HYPERLINK("http://141.218.60.56/~jnz1568/getInfo.php?workbook=06_01.xlsx&amp;sheet=A0&amp;row=115&amp;col=9&amp;number=6.8e-14&amp;sourceID=11","6.8e-14")</f>
        <v>6.8e-14</v>
      </c>
      <c r="J115" s="4" t="str">
        <f>HYPERLINK("http://141.218.60.56/~jnz1568/getInfo.php?workbook=06_01.xlsx&amp;sheet=A0&amp;row=115&amp;col=10&amp;number=&amp;sourceID=11","")</f>
        <v/>
      </c>
      <c r="K115" s="4" t="str">
        <f>HYPERLINK("http://141.218.60.56/~jnz1568/getInfo.php?workbook=06_01.xlsx&amp;sheet=A0&amp;row=115&amp;col=11&amp;number=&amp;sourceID=11","")</f>
        <v/>
      </c>
      <c r="L115" s="4" t="str">
        <f>HYPERLINK("http://141.218.60.56/~jnz1568/getInfo.php?workbook=06_01.xlsx&amp;sheet=A0&amp;row=115&amp;col=12&amp;number=&amp;sourceID=11","")</f>
        <v/>
      </c>
      <c r="M115" s="4" t="str">
        <f>HYPERLINK("http://141.218.60.56/~jnz1568/getInfo.php?workbook=06_01.xlsx&amp;sheet=A0&amp;row=115&amp;col=13&amp;number=0&amp;sourceID=11","0")</f>
        <v>0</v>
      </c>
      <c r="N115" s="4" t="str">
        <f>HYPERLINK("http://141.218.60.56/~jnz1568/getInfo.php?workbook=06_01.xlsx&amp;sheet=A0&amp;row=115&amp;col=14&amp;number=6.8e-14&amp;sourceID=12","6.8e-14")</f>
        <v>6.8e-14</v>
      </c>
      <c r="O115" s="4" t="str">
        <f>HYPERLINK("http://141.218.60.56/~jnz1568/getInfo.php?workbook=06_01.xlsx&amp;sheet=A0&amp;row=115&amp;col=15&amp;number=&amp;sourceID=12","")</f>
        <v/>
      </c>
      <c r="P115" s="4" t="str">
        <f>HYPERLINK("http://141.218.60.56/~jnz1568/getInfo.php?workbook=06_01.xlsx&amp;sheet=A0&amp;row=115&amp;col=16&amp;number=6.8e-14&amp;sourceID=12","6.8e-14")</f>
        <v>6.8e-14</v>
      </c>
      <c r="Q115" s="4" t="str">
        <f>HYPERLINK("http://141.218.60.56/~jnz1568/getInfo.php?workbook=06_01.xlsx&amp;sheet=A0&amp;row=115&amp;col=17&amp;number=&amp;sourceID=12","")</f>
        <v/>
      </c>
      <c r="R115" s="4" t="str">
        <f>HYPERLINK("http://141.218.60.56/~jnz1568/getInfo.php?workbook=06_01.xlsx&amp;sheet=A0&amp;row=115&amp;col=18&amp;number=&amp;sourceID=12","")</f>
        <v/>
      </c>
      <c r="S115" s="4" t="str">
        <f>HYPERLINK("http://141.218.60.56/~jnz1568/getInfo.php?workbook=06_01.xlsx&amp;sheet=A0&amp;row=115&amp;col=19&amp;number=&amp;sourceID=12","")</f>
        <v/>
      </c>
      <c r="T115" s="4" t="str">
        <f>HYPERLINK("http://141.218.60.56/~jnz1568/getInfo.php?workbook=06_01.xlsx&amp;sheet=A0&amp;row=115&amp;col=20&amp;number=0&amp;sourceID=12","0")</f>
        <v>0</v>
      </c>
      <c r="U115" s="4" t="str">
        <f>HYPERLINK("http://141.218.60.56/~jnz1568/getInfo.php?workbook=06_01.xlsx&amp;sheet=A0&amp;row=115&amp;col=21&amp;number=&amp;sourceID=13","")</f>
        <v/>
      </c>
      <c r="V115" s="4" t="str">
        <f>HYPERLINK("http://141.218.60.56/~jnz1568/getInfo.php?workbook=06_01.xlsx&amp;sheet=A0&amp;row=115&amp;col=22&amp;number=&amp;sourceID=13","")</f>
        <v/>
      </c>
      <c r="W115" s="4" t="str">
        <f>HYPERLINK("http://141.218.60.56/~jnz1568/getInfo.php?workbook=06_01.xlsx&amp;sheet=A0&amp;row=115&amp;col=23&amp;number=&amp;sourceID=13","")</f>
        <v/>
      </c>
      <c r="X115" s="4" t="str">
        <f>HYPERLINK("http://141.218.60.56/~jnz1568/getInfo.php?workbook=06_01.xlsx&amp;sheet=A0&amp;row=115&amp;col=24&amp;number=&amp;sourceID=13","")</f>
        <v/>
      </c>
      <c r="Y115" s="4" t="str">
        <f>HYPERLINK("http://141.218.60.56/~jnz1568/getInfo.php?workbook=06_01.xlsx&amp;sheet=A0&amp;row=115&amp;col=25&amp;number=&amp;sourceID=13","")</f>
        <v/>
      </c>
      <c r="Z115" s="4" t="str">
        <f>HYPERLINK("http://141.218.60.56/~jnz1568/getInfo.php?workbook=06_01.xlsx&amp;sheet=A0&amp;row=115&amp;col=26&amp;number=&amp;sourceID=13","")</f>
        <v/>
      </c>
    </row>
    <row r="116" spans="1:26">
      <c r="A116" s="3">
        <v>6</v>
      </c>
      <c r="B116" s="3">
        <v>1</v>
      </c>
      <c r="C116" s="3">
        <v>16</v>
      </c>
      <c r="D116" s="3">
        <v>14</v>
      </c>
      <c r="E116" s="3">
        <f>((1/(INDEX(E0!J$4:J$28,C116,1)-INDEX(E0!J$4:J$28,D116,1))))*100000000</f>
        <v>0</v>
      </c>
      <c r="F116" s="4" t="str">
        <f>HYPERLINK("http://141.218.60.56/~jnz1568/getInfo.php?workbook=06_01.xlsx&amp;sheet=A0&amp;row=116&amp;col=6&amp;number=&amp;sourceID=18","")</f>
        <v/>
      </c>
      <c r="G116" s="4" t="str">
        <f>HYPERLINK("http://141.218.60.56/~jnz1568/getInfo.php?workbook=06_01.xlsx&amp;sheet=A0&amp;row=116&amp;col=7&amp;number==&amp;sourceID=11","=")</f>
        <v>=</v>
      </c>
      <c r="H116" s="4" t="str">
        <f>HYPERLINK("http://141.218.60.56/~jnz1568/getInfo.php?workbook=06_01.xlsx&amp;sheet=A0&amp;row=116&amp;col=8&amp;number=&amp;sourceID=11","")</f>
        <v/>
      </c>
      <c r="I116" s="4" t="str">
        <f>HYPERLINK("http://141.218.60.56/~jnz1568/getInfo.php?workbook=06_01.xlsx&amp;sheet=A0&amp;row=116&amp;col=9&amp;number=0&amp;sourceID=11","0")</f>
        <v>0</v>
      </c>
      <c r="J116" s="4" t="str">
        <f>HYPERLINK("http://141.218.60.56/~jnz1568/getInfo.php?workbook=06_01.xlsx&amp;sheet=A0&amp;row=116&amp;col=10&amp;number=&amp;sourceID=11","")</f>
        <v/>
      </c>
      <c r="K116" s="4" t="str">
        <f>HYPERLINK("http://141.218.60.56/~jnz1568/getInfo.php?workbook=06_01.xlsx&amp;sheet=A0&amp;row=116&amp;col=11&amp;number=1.1089e-08&amp;sourceID=11","1.1089e-08")</f>
        <v>1.1089e-08</v>
      </c>
      <c r="L116" s="4" t="str">
        <f>HYPERLINK("http://141.218.60.56/~jnz1568/getInfo.php?workbook=06_01.xlsx&amp;sheet=A0&amp;row=116&amp;col=12&amp;number=&amp;sourceID=11","")</f>
        <v/>
      </c>
      <c r="M116" s="4" t="str">
        <f>HYPERLINK("http://141.218.60.56/~jnz1568/getInfo.php?workbook=06_01.xlsx&amp;sheet=A0&amp;row=116&amp;col=13&amp;number=0&amp;sourceID=11","0")</f>
        <v>0</v>
      </c>
      <c r="N116" s="4" t="str">
        <f>HYPERLINK("http://141.218.60.56/~jnz1568/getInfo.php?workbook=06_01.xlsx&amp;sheet=A0&amp;row=116&amp;col=14&amp;number=1.109e-08&amp;sourceID=12","1.109e-08")</f>
        <v>1.109e-08</v>
      </c>
      <c r="O116" s="4" t="str">
        <f>HYPERLINK("http://141.218.60.56/~jnz1568/getInfo.php?workbook=06_01.xlsx&amp;sheet=A0&amp;row=116&amp;col=15&amp;number=&amp;sourceID=12","")</f>
        <v/>
      </c>
      <c r="P116" s="4" t="str">
        <f>HYPERLINK("http://141.218.60.56/~jnz1568/getInfo.php?workbook=06_01.xlsx&amp;sheet=A0&amp;row=116&amp;col=16&amp;number=0&amp;sourceID=12","0")</f>
        <v>0</v>
      </c>
      <c r="Q116" s="4" t="str">
        <f>HYPERLINK("http://141.218.60.56/~jnz1568/getInfo.php?workbook=06_01.xlsx&amp;sheet=A0&amp;row=116&amp;col=17&amp;number=&amp;sourceID=12","")</f>
        <v/>
      </c>
      <c r="R116" s="4" t="str">
        <f>HYPERLINK("http://141.218.60.56/~jnz1568/getInfo.php?workbook=06_01.xlsx&amp;sheet=A0&amp;row=116&amp;col=18&amp;number=1.109e-08&amp;sourceID=12","1.109e-08")</f>
        <v>1.109e-08</v>
      </c>
      <c r="S116" s="4" t="str">
        <f>HYPERLINK("http://141.218.60.56/~jnz1568/getInfo.php?workbook=06_01.xlsx&amp;sheet=A0&amp;row=116&amp;col=19&amp;number=&amp;sourceID=12","")</f>
        <v/>
      </c>
      <c r="T116" s="4" t="str">
        <f>HYPERLINK("http://141.218.60.56/~jnz1568/getInfo.php?workbook=06_01.xlsx&amp;sheet=A0&amp;row=116&amp;col=20&amp;number=0&amp;sourceID=12","0")</f>
        <v>0</v>
      </c>
      <c r="U116" s="4" t="str">
        <f>HYPERLINK("http://141.218.60.56/~jnz1568/getInfo.php?workbook=06_01.xlsx&amp;sheet=A0&amp;row=116&amp;col=21&amp;number=&amp;sourceID=13","")</f>
        <v/>
      </c>
      <c r="V116" s="4" t="str">
        <f>HYPERLINK("http://141.218.60.56/~jnz1568/getInfo.php?workbook=06_01.xlsx&amp;sheet=A0&amp;row=116&amp;col=22&amp;number=&amp;sourceID=13","")</f>
        <v/>
      </c>
      <c r="W116" s="4" t="str">
        <f>HYPERLINK("http://141.218.60.56/~jnz1568/getInfo.php?workbook=06_01.xlsx&amp;sheet=A0&amp;row=116&amp;col=23&amp;number=&amp;sourceID=13","")</f>
        <v/>
      </c>
      <c r="X116" s="4" t="str">
        <f>HYPERLINK("http://141.218.60.56/~jnz1568/getInfo.php?workbook=06_01.xlsx&amp;sheet=A0&amp;row=116&amp;col=24&amp;number=&amp;sourceID=13","")</f>
        <v/>
      </c>
      <c r="Y116" s="4" t="str">
        <f>HYPERLINK("http://141.218.60.56/~jnz1568/getInfo.php?workbook=06_01.xlsx&amp;sheet=A0&amp;row=116&amp;col=25&amp;number=&amp;sourceID=13","")</f>
        <v/>
      </c>
      <c r="Z116" s="4" t="str">
        <f>HYPERLINK("http://141.218.60.56/~jnz1568/getInfo.php?workbook=06_01.xlsx&amp;sheet=A0&amp;row=116&amp;col=26&amp;number=&amp;sourceID=13","")</f>
        <v/>
      </c>
    </row>
    <row r="117" spans="1:26">
      <c r="A117" s="3">
        <v>6</v>
      </c>
      <c r="B117" s="3">
        <v>1</v>
      </c>
      <c r="C117" s="3">
        <v>16</v>
      </c>
      <c r="D117" s="3">
        <v>15</v>
      </c>
      <c r="E117" s="3">
        <f>((1/(INDEX(E0!J$4:J$28,C117,1)-INDEX(E0!J$4:J$28,D117,1))))*100000000</f>
        <v>0</v>
      </c>
      <c r="F117" s="4" t="str">
        <f>HYPERLINK("http://141.218.60.56/~jnz1568/getInfo.php?workbook=06_01.xlsx&amp;sheet=A0&amp;row=117&amp;col=6&amp;number=&amp;sourceID=18","")</f>
        <v/>
      </c>
      <c r="G117" s="4" t="str">
        <f>HYPERLINK("http://141.218.60.56/~jnz1568/getInfo.php?workbook=06_01.xlsx&amp;sheet=A0&amp;row=117&amp;col=7&amp;number==&amp;sourceID=11","=")</f>
        <v>=</v>
      </c>
      <c r="H117" s="4" t="str">
        <f>HYPERLINK("http://141.218.60.56/~jnz1568/getInfo.php?workbook=06_01.xlsx&amp;sheet=A0&amp;row=117&amp;col=8&amp;number=0.0058306&amp;sourceID=11","0.0058306")</f>
        <v>0.0058306</v>
      </c>
      <c r="I117" s="4" t="str">
        <f>HYPERLINK("http://141.218.60.56/~jnz1568/getInfo.php?workbook=06_01.xlsx&amp;sheet=A0&amp;row=117&amp;col=9&amp;number=&amp;sourceID=11","")</f>
        <v/>
      </c>
      <c r="J117" s="4" t="str">
        <f>HYPERLINK("http://141.218.60.56/~jnz1568/getInfo.php?workbook=06_01.xlsx&amp;sheet=A0&amp;row=117&amp;col=10&amp;number=0&amp;sourceID=11","0")</f>
        <v>0</v>
      </c>
      <c r="K117" s="4" t="str">
        <f>HYPERLINK("http://141.218.60.56/~jnz1568/getInfo.php?workbook=06_01.xlsx&amp;sheet=A0&amp;row=117&amp;col=11&amp;number=&amp;sourceID=11","")</f>
        <v/>
      </c>
      <c r="L117" s="4" t="str">
        <f>HYPERLINK("http://141.218.60.56/~jnz1568/getInfo.php?workbook=06_01.xlsx&amp;sheet=A0&amp;row=117&amp;col=12&amp;number=0&amp;sourceID=11","0")</f>
        <v>0</v>
      </c>
      <c r="M117" s="4" t="str">
        <f>HYPERLINK("http://141.218.60.56/~jnz1568/getInfo.php?workbook=06_01.xlsx&amp;sheet=A0&amp;row=117&amp;col=13&amp;number=&amp;sourceID=11","")</f>
        <v/>
      </c>
      <c r="N117" s="4" t="str">
        <f>HYPERLINK("http://141.218.60.56/~jnz1568/getInfo.php?workbook=06_01.xlsx&amp;sheet=A0&amp;row=117&amp;col=14&amp;number=0.0058311&amp;sourceID=12","0.0058311")</f>
        <v>0.0058311</v>
      </c>
      <c r="O117" s="4" t="str">
        <f>HYPERLINK("http://141.218.60.56/~jnz1568/getInfo.php?workbook=06_01.xlsx&amp;sheet=A0&amp;row=117&amp;col=15&amp;number=0.0058311&amp;sourceID=12","0.0058311")</f>
        <v>0.0058311</v>
      </c>
      <c r="P117" s="4" t="str">
        <f>HYPERLINK("http://141.218.60.56/~jnz1568/getInfo.php?workbook=06_01.xlsx&amp;sheet=A0&amp;row=117&amp;col=16&amp;number=&amp;sourceID=12","")</f>
        <v/>
      </c>
      <c r="Q117" s="4" t="str">
        <f>HYPERLINK("http://141.218.60.56/~jnz1568/getInfo.php?workbook=06_01.xlsx&amp;sheet=A0&amp;row=117&amp;col=17&amp;number=0&amp;sourceID=12","0")</f>
        <v>0</v>
      </c>
      <c r="R117" s="4" t="str">
        <f>HYPERLINK("http://141.218.60.56/~jnz1568/getInfo.php?workbook=06_01.xlsx&amp;sheet=A0&amp;row=117&amp;col=18&amp;number=&amp;sourceID=12","")</f>
        <v/>
      </c>
      <c r="S117" s="4" t="str">
        <f>HYPERLINK("http://141.218.60.56/~jnz1568/getInfo.php?workbook=06_01.xlsx&amp;sheet=A0&amp;row=117&amp;col=19&amp;number=0&amp;sourceID=12","0")</f>
        <v>0</v>
      </c>
      <c r="T117" s="4" t="str">
        <f>HYPERLINK("http://141.218.60.56/~jnz1568/getInfo.php?workbook=06_01.xlsx&amp;sheet=A0&amp;row=117&amp;col=20&amp;number=&amp;sourceID=12","")</f>
        <v/>
      </c>
      <c r="U117" s="4" t="str">
        <f>HYPERLINK("http://141.218.60.56/~jnz1568/getInfo.php?workbook=06_01.xlsx&amp;sheet=A0&amp;row=117&amp;col=21&amp;number=&amp;sourceID=13","")</f>
        <v/>
      </c>
      <c r="V117" s="4" t="str">
        <f>HYPERLINK("http://141.218.60.56/~jnz1568/getInfo.php?workbook=06_01.xlsx&amp;sheet=A0&amp;row=117&amp;col=22&amp;number=&amp;sourceID=13","")</f>
        <v/>
      </c>
      <c r="W117" s="4" t="str">
        <f>HYPERLINK("http://141.218.60.56/~jnz1568/getInfo.php?workbook=06_01.xlsx&amp;sheet=A0&amp;row=117&amp;col=23&amp;number=&amp;sourceID=13","")</f>
        <v/>
      </c>
      <c r="X117" s="4" t="str">
        <f>HYPERLINK("http://141.218.60.56/~jnz1568/getInfo.php?workbook=06_01.xlsx&amp;sheet=A0&amp;row=117&amp;col=24&amp;number=&amp;sourceID=13","")</f>
        <v/>
      </c>
      <c r="Y117" s="4" t="str">
        <f>HYPERLINK("http://141.218.60.56/~jnz1568/getInfo.php?workbook=06_01.xlsx&amp;sheet=A0&amp;row=117&amp;col=25&amp;number=&amp;sourceID=13","")</f>
        <v/>
      </c>
      <c r="Z117" s="4" t="str">
        <f>HYPERLINK("http://141.218.60.56/~jnz1568/getInfo.php?workbook=06_01.xlsx&amp;sheet=A0&amp;row=117&amp;col=26&amp;number=&amp;sourceID=13","")</f>
        <v/>
      </c>
    </row>
    <row r="118" spans="1:26">
      <c r="A118" s="3">
        <v>6</v>
      </c>
      <c r="B118" s="3">
        <v>1</v>
      </c>
      <c r="C118" s="3">
        <v>17</v>
      </c>
      <c r="D118" s="3">
        <v>1</v>
      </c>
      <c r="E118" s="3">
        <f>((1/(INDEX(E0!J$4:J$28,C118,1)-INDEX(E0!J$4:J$28,D118,1))))*100000000</f>
        <v>0</v>
      </c>
      <c r="F118" s="4" t="str">
        <f>HYPERLINK("http://141.218.60.56/~jnz1568/getInfo.php?workbook=06_01.xlsx&amp;sheet=A0&amp;row=118&amp;col=6&amp;number=&amp;sourceID=18","")</f>
        <v/>
      </c>
      <c r="G118" s="4" t="str">
        <f>HYPERLINK("http://141.218.60.56/~jnz1568/getInfo.php?workbook=06_01.xlsx&amp;sheet=A0&amp;row=118&amp;col=7&amp;number==&amp;sourceID=11","=")</f>
        <v>=</v>
      </c>
      <c r="H118" s="4" t="str">
        <f>HYPERLINK("http://141.218.60.56/~jnz1568/getInfo.php?workbook=06_01.xlsx&amp;sheet=A0&amp;row=118&amp;col=8&amp;number=44542000000&amp;sourceID=11","44542000000")</f>
        <v>44542000000</v>
      </c>
      <c r="I118" s="4" t="str">
        <f>HYPERLINK("http://141.218.60.56/~jnz1568/getInfo.php?workbook=06_01.xlsx&amp;sheet=A0&amp;row=118&amp;col=9&amp;number=&amp;sourceID=11","")</f>
        <v/>
      </c>
      <c r="J118" s="4" t="str">
        <f>HYPERLINK("http://141.218.60.56/~jnz1568/getInfo.php?workbook=06_01.xlsx&amp;sheet=A0&amp;row=118&amp;col=10&amp;number=&amp;sourceID=11","")</f>
        <v/>
      </c>
      <c r="K118" s="4" t="str">
        <f>HYPERLINK("http://141.218.60.56/~jnz1568/getInfo.php?workbook=06_01.xlsx&amp;sheet=A0&amp;row=118&amp;col=11&amp;number=&amp;sourceID=11","")</f>
        <v/>
      </c>
      <c r="L118" s="4" t="str">
        <f>HYPERLINK("http://141.218.60.56/~jnz1568/getInfo.php?workbook=06_01.xlsx&amp;sheet=A0&amp;row=118&amp;col=12&amp;number=&amp;sourceID=11","")</f>
        <v/>
      </c>
      <c r="M118" s="4" t="str">
        <f>HYPERLINK("http://141.218.60.56/~jnz1568/getInfo.php?workbook=06_01.xlsx&amp;sheet=A0&amp;row=118&amp;col=13&amp;number=&amp;sourceID=11","")</f>
        <v/>
      </c>
      <c r="N118" s="4" t="str">
        <f>HYPERLINK("http://141.218.60.56/~jnz1568/getInfo.php?workbook=06_01.xlsx&amp;sheet=A0&amp;row=118&amp;col=14&amp;number=44544000000&amp;sourceID=12","44544000000")</f>
        <v>44544000000</v>
      </c>
      <c r="O118" s="4" t="str">
        <f>HYPERLINK("http://141.218.60.56/~jnz1568/getInfo.php?workbook=06_01.xlsx&amp;sheet=A0&amp;row=118&amp;col=15&amp;number=44544000000&amp;sourceID=12","44544000000")</f>
        <v>44544000000</v>
      </c>
      <c r="P118" s="4" t="str">
        <f>HYPERLINK("http://141.218.60.56/~jnz1568/getInfo.php?workbook=06_01.xlsx&amp;sheet=A0&amp;row=118&amp;col=16&amp;number=&amp;sourceID=12","")</f>
        <v/>
      </c>
      <c r="Q118" s="4" t="str">
        <f>HYPERLINK("http://141.218.60.56/~jnz1568/getInfo.php?workbook=06_01.xlsx&amp;sheet=A0&amp;row=118&amp;col=17&amp;number=&amp;sourceID=12","")</f>
        <v/>
      </c>
      <c r="R118" s="4" t="str">
        <f>HYPERLINK("http://141.218.60.56/~jnz1568/getInfo.php?workbook=06_01.xlsx&amp;sheet=A0&amp;row=118&amp;col=18&amp;number=&amp;sourceID=12","")</f>
        <v/>
      </c>
      <c r="S118" s="4" t="str">
        <f>HYPERLINK("http://141.218.60.56/~jnz1568/getInfo.php?workbook=06_01.xlsx&amp;sheet=A0&amp;row=118&amp;col=19&amp;number=&amp;sourceID=12","")</f>
        <v/>
      </c>
      <c r="T118" s="4" t="str">
        <f>HYPERLINK("http://141.218.60.56/~jnz1568/getInfo.php?workbook=06_01.xlsx&amp;sheet=A0&amp;row=118&amp;col=20&amp;number=&amp;sourceID=12","")</f>
        <v/>
      </c>
      <c r="U118" s="4" t="str">
        <f>HYPERLINK("http://141.218.60.56/~jnz1568/getInfo.php?workbook=06_01.xlsx&amp;sheet=A0&amp;row=118&amp;col=21&amp;number=&amp;sourceID=13","")</f>
        <v/>
      </c>
      <c r="V118" s="4" t="str">
        <f>HYPERLINK("http://141.218.60.56/~jnz1568/getInfo.php?workbook=06_01.xlsx&amp;sheet=A0&amp;row=118&amp;col=22&amp;number=&amp;sourceID=13","")</f>
        <v/>
      </c>
      <c r="W118" s="4" t="str">
        <f>HYPERLINK("http://141.218.60.56/~jnz1568/getInfo.php?workbook=06_01.xlsx&amp;sheet=A0&amp;row=118&amp;col=23&amp;number=&amp;sourceID=13","")</f>
        <v/>
      </c>
      <c r="X118" s="4" t="str">
        <f>HYPERLINK("http://141.218.60.56/~jnz1568/getInfo.php?workbook=06_01.xlsx&amp;sheet=A0&amp;row=118&amp;col=24&amp;number=&amp;sourceID=13","")</f>
        <v/>
      </c>
      <c r="Y118" s="4" t="str">
        <f>HYPERLINK("http://141.218.60.56/~jnz1568/getInfo.php?workbook=06_01.xlsx&amp;sheet=A0&amp;row=118&amp;col=25&amp;number=&amp;sourceID=13","")</f>
        <v/>
      </c>
      <c r="Z118" s="4" t="str">
        <f>HYPERLINK("http://141.218.60.56/~jnz1568/getInfo.php?workbook=06_01.xlsx&amp;sheet=A0&amp;row=118&amp;col=26&amp;number=&amp;sourceID=13","")</f>
        <v/>
      </c>
    </row>
    <row r="119" spans="1:26">
      <c r="A119" s="3">
        <v>6</v>
      </c>
      <c r="B119" s="3">
        <v>1</v>
      </c>
      <c r="C119" s="3">
        <v>17</v>
      </c>
      <c r="D119" s="3">
        <v>2</v>
      </c>
      <c r="E119" s="3">
        <f>((1/(INDEX(E0!J$4:J$28,C119,1)-INDEX(E0!J$4:J$28,D119,1))))*100000000</f>
        <v>0</v>
      </c>
      <c r="F119" s="4" t="str">
        <f>HYPERLINK("http://141.218.60.56/~jnz1568/getInfo.php?workbook=06_01.xlsx&amp;sheet=A0&amp;row=119&amp;col=6&amp;number=&amp;sourceID=18","")</f>
        <v/>
      </c>
      <c r="G119" s="4" t="str">
        <f>HYPERLINK("http://141.218.60.56/~jnz1568/getInfo.php?workbook=06_01.xlsx&amp;sheet=A0&amp;row=119&amp;col=7&amp;number==&amp;sourceID=11","=")</f>
        <v>=</v>
      </c>
      <c r="H119" s="4" t="str">
        <f>HYPERLINK("http://141.218.60.56/~jnz1568/getInfo.php?workbook=06_01.xlsx&amp;sheet=A0&amp;row=119&amp;col=8&amp;number=&amp;sourceID=11","")</f>
        <v/>
      </c>
      <c r="I119" s="4" t="str">
        <f>HYPERLINK("http://141.218.60.56/~jnz1568/getInfo.php?workbook=06_01.xlsx&amp;sheet=A0&amp;row=119&amp;col=9&amp;number=&amp;sourceID=11","")</f>
        <v/>
      </c>
      <c r="J119" s="4" t="str">
        <f>HYPERLINK("http://141.218.60.56/~jnz1568/getInfo.php?workbook=06_01.xlsx&amp;sheet=A0&amp;row=119&amp;col=10&amp;number=&amp;sourceID=11","")</f>
        <v/>
      </c>
      <c r="K119" s="4" t="str">
        <f>HYPERLINK("http://141.218.60.56/~jnz1568/getInfo.php?workbook=06_01.xlsx&amp;sheet=A0&amp;row=119&amp;col=11&amp;number=0.014992&amp;sourceID=11","0.014992")</f>
        <v>0.014992</v>
      </c>
      <c r="L119" s="4" t="str">
        <f>HYPERLINK("http://141.218.60.56/~jnz1568/getInfo.php?workbook=06_01.xlsx&amp;sheet=A0&amp;row=119&amp;col=12&amp;number=&amp;sourceID=11","")</f>
        <v/>
      </c>
      <c r="M119" s="4" t="str">
        <f>HYPERLINK("http://141.218.60.56/~jnz1568/getInfo.php?workbook=06_01.xlsx&amp;sheet=A0&amp;row=119&amp;col=13&amp;number=&amp;sourceID=11","")</f>
        <v/>
      </c>
      <c r="N119" s="4" t="str">
        <f>HYPERLINK("http://141.218.60.56/~jnz1568/getInfo.php?workbook=06_01.xlsx&amp;sheet=A0&amp;row=119&amp;col=14&amp;number=0.014999&amp;sourceID=12","0.014999")</f>
        <v>0.014999</v>
      </c>
      <c r="O119" s="4" t="str">
        <f>HYPERLINK("http://141.218.60.56/~jnz1568/getInfo.php?workbook=06_01.xlsx&amp;sheet=A0&amp;row=119&amp;col=15&amp;number=&amp;sourceID=12","")</f>
        <v/>
      </c>
      <c r="P119" s="4" t="str">
        <f>HYPERLINK("http://141.218.60.56/~jnz1568/getInfo.php?workbook=06_01.xlsx&amp;sheet=A0&amp;row=119&amp;col=16&amp;number=&amp;sourceID=12","")</f>
        <v/>
      </c>
      <c r="Q119" s="4" t="str">
        <f>HYPERLINK("http://141.218.60.56/~jnz1568/getInfo.php?workbook=06_01.xlsx&amp;sheet=A0&amp;row=119&amp;col=17&amp;number=&amp;sourceID=12","")</f>
        <v/>
      </c>
      <c r="R119" s="4" t="str">
        <f>HYPERLINK("http://141.218.60.56/~jnz1568/getInfo.php?workbook=06_01.xlsx&amp;sheet=A0&amp;row=119&amp;col=18&amp;number=0.014999&amp;sourceID=12","0.014999")</f>
        <v>0.014999</v>
      </c>
      <c r="S119" s="4" t="str">
        <f>HYPERLINK("http://141.218.60.56/~jnz1568/getInfo.php?workbook=06_01.xlsx&amp;sheet=A0&amp;row=119&amp;col=19&amp;number=&amp;sourceID=12","")</f>
        <v/>
      </c>
      <c r="T119" s="4" t="str">
        <f>HYPERLINK("http://141.218.60.56/~jnz1568/getInfo.php?workbook=06_01.xlsx&amp;sheet=A0&amp;row=119&amp;col=20&amp;number=&amp;sourceID=12","")</f>
        <v/>
      </c>
      <c r="U119" s="4" t="str">
        <f>HYPERLINK("http://141.218.60.56/~jnz1568/getInfo.php?workbook=06_01.xlsx&amp;sheet=A0&amp;row=119&amp;col=21&amp;number=&amp;sourceID=13","")</f>
        <v/>
      </c>
      <c r="V119" s="4" t="str">
        <f>HYPERLINK("http://141.218.60.56/~jnz1568/getInfo.php?workbook=06_01.xlsx&amp;sheet=A0&amp;row=119&amp;col=22&amp;number=&amp;sourceID=13","")</f>
        <v/>
      </c>
      <c r="W119" s="4" t="str">
        <f>HYPERLINK("http://141.218.60.56/~jnz1568/getInfo.php?workbook=06_01.xlsx&amp;sheet=A0&amp;row=119&amp;col=23&amp;number=&amp;sourceID=13","")</f>
        <v/>
      </c>
      <c r="X119" s="4" t="str">
        <f>HYPERLINK("http://141.218.60.56/~jnz1568/getInfo.php?workbook=06_01.xlsx&amp;sheet=A0&amp;row=119&amp;col=24&amp;number=&amp;sourceID=13","")</f>
        <v/>
      </c>
      <c r="Y119" s="4" t="str">
        <f>HYPERLINK("http://141.218.60.56/~jnz1568/getInfo.php?workbook=06_01.xlsx&amp;sheet=A0&amp;row=119&amp;col=25&amp;number=&amp;sourceID=13","")</f>
        <v/>
      </c>
      <c r="Z119" s="4" t="str">
        <f>HYPERLINK("http://141.218.60.56/~jnz1568/getInfo.php?workbook=06_01.xlsx&amp;sheet=A0&amp;row=119&amp;col=26&amp;number=&amp;sourceID=13","")</f>
        <v/>
      </c>
    </row>
    <row r="120" spans="1:26">
      <c r="A120" s="3">
        <v>6</v>
      </c>
      <c r="B120" s="3">
        <v>1</v>
      </c>
      <c r="C120" s="3">
        <v>17</v>
      </c>
      <c r="D120" s="3">
        <v>3</v>
      </c>
      <c r="E120" s="3">
        <f>((1/(INDEX(E0!J$4:J$28,C120,1)-INDEX(E0!J$4:J$28,D120,1))))*100000000</f>
        <v>0</v>
      </c>
      <c r="F120" s="4" t="str">
        <f>HYPERLINK("http://141.218.60.56/~jnz1568/getInfo.php?workbook=06_01.xlsx&amp;sheet=A0&amp;row=120&amp;col=6&amp;number=&amp;sourceID=18","")</f>
        <v/>
      </c>
      <c r="G120" s="4" t="str">
        <f>HYPERLINK("http://141.218.60.56/~jnz1568/getInfo.php?workbook=06_01.xlsx&amp;sheet=A0&amp;row=120&amp;col=7&amp;number==&amp;sourceID=11","=")</f>
        <v>=</v>
      </c>
      <c r="H120" s="4" t="str">
        <f>HYPERLINK("http://141.218.60.56/~jnz1568/getInfo.php?workbook=06_01.xlsx&amp;sheet=A0&amp;row=120&amp;col=8&amp;number=6422000000&amp;sourceID=11","6422000000")</f>
        <v>6422000000</v>
      </c>
      <c r="I120" s="4" t="str">
        <f>HYPERLINK("http://141.218.60.56/~jnz1568/getInfo.php?workbook=06_01.xlsx&amp;sheet=A0&amp;row=120&amp;col=9&amp;number=&amp;sourceID=11","")</f>
        <v/>
      </c>
      <c r="J120" s="4" t="str">
        <f>HYPERLINK("http://141.218.60.56/~jnz1568/getInfo.php?workbook=06_01.xlsx&amp;sheet=A0&amp;row=120&amp;col=10&amp;number=&amp;sourceID=11","")</f>
        <v/>
      </c>
      <c r="K120" s="4" t="str">
        <f>HYPERLINK("http://141.218.60.56/~jnz1568/getInfo.php?workbook=06_01.xlsx&amp;sheet=A0&amp;row=120&amp;col=11&amp;number=&amp;sourceID=11","")</f>
        <v/>
      </c>
      <c r="L120" s="4" t="str">
        <f>HYPERLINK("http://141.218.60.56/~jnz1568/getInfo.php?workbook=06_01.xlsx&amp;sheet=A0&amp;row=120&amp;col=12&amp;number=&amp;sourceID=11","")</f>
        <v/>
      </c>
      <c r="M120" s="4" t="str">
        <f>HYPERLINK("http://141.218.60.56/~jnz1568/getInfo.php?workbook=06_01.xlsx&amp;sheet=A0&amp;row=120&amp;col=13&amp;number=&amp;sourceID=11","")</f>
        <v/>
      </c>
      <c r="N120" s="4" t="str">
        <f>HYPERLINK("http://141.218.60.56/~jnz1568/getInfo.php?workbook=06_01.xlsx&amp;sheet=A0&amp;row=120&amp;col=14&amp;number=6422300000&amp;sourceID=12","6422300000")</f>
        <v>6422300000</v>
      </c>
      <c r="O120" s="4" t="str">
        <f>HYPERLINK("http://141.218.60.56/~jnz1568/getInfo.php?workbook=06_01.xlsx&amp;sheet=A0&amp;row=120&amp;col=15&amp;number=6422300000&amp;sourceID=12","6422300000")</f>
        <v>6422300000</v>
      </c>
      <c r="P120" s="4" t="str">
        <f>HYPERLINK("http://141.218.60.56/~jnz1568/getInfo.php?workbook=06_01.xlsx&amp;sheet=A0&amp;row=120&amp;col=16&amp;number=&amp;sourceID=12","")</f>
        <v/>
      </c>
      <c r="Q120" s="4" t="str">
        <f>HYPERLINK("http://141.218.60.56/~jnz1568/getInfo.php?workbook=06_01.xlsx&amp;sheet=A0&amp;row=120&amp;col=17&amp;number=&amp;sourceID=12","")</f>
        <v/>
      </c>
      <c r="R120" s="4" t="str">
        <f>HYPERLINK("http://141.218.60.56/~jnz1568/getInfo.php?workbook=06_01.xlsx&amp;sheet=A0&amp;row=120&amp;col=18&amp;number=&amp;sourceID=12","")</f>
        <v/>
      </c>
      <c r="S120" s="4" t="str">
        <f>HYPERLINK("http://141.218.60.56/~jnz1568/getInfo.php?workbook=06_01.xlsx&amp;sheet=A0&amp;row=120&amp;col=19&amp;number=&amp;sourceID=12","")</f>
        <v/>
      </c>
      <c r="T120" s="4" t="str">
        <f>HYPERLINK("http://141.218.60.56/~jnz1568/getInfo.php?workbook=06_01.xlsx&amp;sheet=A0&amp;row=120&amp;col=20&amp;number=&amp;sourceID=12","")</f>
        <v/>
      </c>
      <c r="U120" s="4" t="str">
        <f>HYPERLINK("http://141.218.60.56/~jnz1568/getInfo.php?workbook=06_01.xlsx&amp;sheet=A0&amp;row=120&amp;col=21&amp;number=&amp;sourceID=13","")</f>
        <v/>
      </c>
      <c r="V120" s="4" t="str">
        <f>HYPERLINK("http://141.218.60.56/~jnz1568/getInfo.php?workbook=06_01.xlsx&amp;sheet=A0&amp;row=120&amp;col=22&amp;number=&amp;sourceID=13","")</f>
        <v/>
      </c>
      <c r="W120" s="4" t="str">
        <f>HYPERLINK("http://141.218.60.56/~jnz1568/getInfo.php?workbook=06_01.xlsx&amp;sheet=A0&amp;row=120&amp;col=23&amp;number=&amp;sourceID=13","")</f>
        <v/>
      </c>
      <c r="X120" s="4" t="str">
        <f>HYPERLINK("http://141.218.60.56/~jnz1568/getInfo.php?workbook=06_01.xlsx&amp;sheet=A0&amp;row=120&amp;col=24&amp;number=&amp;sourceID=13","")</f>
        <v/>
      </c>
      <c r="Y120" s="4" t="str">
        <f>HYPERLINK("http://141.218.60.56/~jnz1568/getInfo.php?workbook=06_01.xlsx&amp;sheet=A0&amp;row=120&amp;col=25&amp;number=&amp;sourceID=13","")</f>
        <v/>
      </c>
      <c r="Z120" s="4" t="str">
        <f>HYPERLINK("http://141.218.60.56/~jnz1568/getInfo.php?workbook=06_01.xlsx&amp;sheet=A0&amp;row=120&amp;col=26&amp;number=&amp;sourceID=13","")</f>
        <v/>
      </c>
    </row>
    <row r="121" spans="1:26">
      <c r="A121" s="3">
        <v>6</v>
      </c>
      <c r="B121" s="3">
        <v>1</v>
      </c>
      <c r="C121" s="3">
        <v>17</v>
      </c>
      <c r="D121" s="3">
        <v>4</v>
      </c>
      <c r="E121" s="3">
        <f>((1/(INDEX(E0!J$4:J$28,C121,1)-INDEX(E0!J$4:J$28,D121,1))))*100000000</f>
        <v>0</v>
      </c>
      <c r="F121" s="4" t="str">
        <f>HYPERLINK("http://141.218.60.56/~jnz1568/getInfo.php?workbook=06_01.xlsx&amp;sheet=A0&amp;row=121&amp;col=6&amp;number=&amp;sourceID=18","")</f>
        <v/>
      </c>
      <c r="G121" s="4" t="str">
        <f>HYPERLINK("http://141.218.60.56/~jnz1568/getInfo.php?workbook=06_01.xlsx&amp;sheet=A0&amp;row=121&amp;col=7&amp;number==&amp;sourceID=11","=")</f>
        <v>=</v>
      </c>
      <c r="H121" s="4" t="str">
        <f>HYPERLINK("http://141.218.60.56/~jnz1568/getInfo.php?workbook=06_01.xlsx&amp;sheet=A0&amp;row=121&amp;col=8&amp;number=&amp;sourceID=11","")</f>
        <v/>
      </c>
      <c r="I121" s="4" t="str">
        <f>HYPERLINK("http://141.218.60.56/~jnz1568/getInfo.php?workbook=06_01.xlsx&amp;sheet=A0&amp;row=121&amp;col=9&amp;number=245700&amp;sourceID=11","245700")</f>
        <v>245700</v>
      </c>
      <c r="J121" s="4" t="str">
        <f>HYPERLINK("http://141.218.60.56/~jnz1568/getInfo.php?workbook=06_01.xlsx&amp;sheet=A0&amp;row=121&amp;col=10&amp;number=&amp;sourceID=11","")</f>
        <v/>
      </c>
      <c r="K121" s="4" t="str">
        <f>HYPERLINK("http://141.218.60.56/~jnz1568/getInfo.php?workbook=06_01.xlsx&amp;sheet=A0&amp;row=121&amp;col=11&amp;number=0.26358&amp;sourceID=11","0.26358")</f>
        <v>0.26358</v>
      </c>
      <c r="L121" s="4" t="str">
        <f>HYPERLINK("http://141.218.60.56/~jnz1568/getInfo.php?workbook=06_01.xlsx&amp;sheet=A0&amp;row=121&amp;col=12&amp;number=&amp;sourceID=11","")</f>
        <v/>
      </c>
      <c r="M121" s="4" t="str">
        <f>HYPERLINK("http://141.218.60.56/~jnz1568/getInfo.php?workbook=06_01.xlsx&amp;sheet=A0&amp;row=121&amp;col=13&amp;number=&amp;sourceID=11","")</f>
        <v/>
      </c>
      <c r="N121" s="4" t="str">
        <f>HYPERLINK("http://141.218.60.56/~jnz1568/getInfo.php?workbook=06_01.xlsx&amp;sheet=A0&amp;row=121&amp;col=14&amp;number=245710&amp;sourceID=12","245710")</f>
        <v>245710</v>
      </c>
      <c r="O121" s="4" t="str">
        <f>HYPERLINK("http://141.218.60.56/~jnz1568/getInfo.php?workbook=06_01.xlsx&amp;sheet=A0&amp;row=121&amp;col=15&amp;number=&amp;sourceID=12","")</f>
        <v/>
      </c>
      <c r="P121" s="4" t="str">
        <f>HYPERLINK("http://141.218.60.56/~jnz1568/getInfo.php?workbook=06_01.xlsx&amp;sheet=A0&amp;row=121&amp;col=16&amp;number=245710&amp;sourceID=12","245710")</f>
        <v>245710</v>
      </c>
      <c r="Q121" s="4" t="str">
        <f>HYPERLINK("http://141.218.60.56/~jnz1568/getInfo.php?workbook=06_01.xlsx&amp;sheet=A0&amp;row=121&amp;col=17&amp;number=&amp;sourceID=12","")</f>
        <v/>
      </c>
      <c r="R121" s="4" t="str">
        <f>HYPERLINK("http://141.218.60.56/~jnz1568/getInfo.php?workbook=06_01.xlsx&amp;sheet=A0&amp;row=121&amp;col=18&amp;number=0.26357&amp;sourceID=12","0.26357")</f>
        <v>0.26357</v>
      </c>
      <c r="S121" s="4" t="str">
        <f>HYPERLINK("http://141.218.60.56/~jnz1568/getInfo.php?workbook=06_01.xlsx&amp;sheet=A0&amp;row=121&amp;col=19&amp;number=&amp;sourceID=12","")</f>
        <v/>
      </c>
      <c r="T121" s="4" t="str">
        <f>HYPERLINK("http://141.218.60.56/~jnz1568/getInfo.php?workbook=06_01.xlsx&amp;sheet=A0&amp;row=121&amp;col=20&amp;number=&amp;sourceID=12","")</f>
        <v/>
      </c>
      <c r="U121" s="4" t="str">
        <f>HYPERLINK("http://141.218.60.56/~jnz1568/getInfo.php?workbook=06_01.xlsx&amp;sheet=A0&amp;row=121&amp;col=21&amp;number=&amp;sourceID=13","")</f>
        <v/>
      </c>
      <c r="V121" s="4" t="str">
        <f>HYPERLINK("http://141.218.60.56/~jnz1568/getInfo.php?workbook=06_01.xlsx&amp;sheet=A0&amp;row=121&amp;col=22&amp;number=&amp;sourceID=13","")</f>
        <v/>
      </c>
      <c r="W121" s="4" t="str">
        <f>HYPERLINK("http://141.218.60.56/~jnz1568/getInfo.php?workbook=06_01.xlsx&amp;sheet=A0&amp;row=121&amp;col=23&amp;number=&amp;sourceID=13","")</f>
        <v/>
      </c>
      <c r="X121" s="4" t="str">
        <f>HYPERLINK("http://141.218.60.56/~jnz1568/getInfo.php?workbook=06_01.xlsx&amp;sheet=A0&amp;row=121&amp;col=24&amp;number=&amp;sourceID=13","")</f>
        <v/>
      </c>
      <c r="Y121" s="4" t="str">
        <f>HYPERLINK("http://141.218.60.56/~jnz1568/getInfo.php?workbook=06_01.xlsx&amp;sheet=A0&amp;row=121&amp;col=25&amp;number=&amp;sourceID=13","")</f>
        <v/>
      </c>
      <c r="Z121" s="4" t="str">
        <f>HYPERLINK("http://141.218.60.56/~jnz1568/getInfo.php?workbook=06_01.xlsx&amp;sheet=A0&amp;row=121&amp;col=26&amp;number=&amp;sourceID=13","")</f>
        <v/>
      </c>
    </row>
    <row r="122" spans="1:26">
      <c r="A122" s="3">
        <v>6</v>
      </c>
      <c r="B122" s="3">
        <v>1</v>
      </c>
      <c r="C122" s="3">
        <v>17</v>
      </c>
      <c r="D122" s="3">
        <v>5</v>
      </c>
      <c r="E122" s="3">
        <f>((1/(INDEX(E0!J$4:J$28,C122,1)-INDEX(E0!J$4:J$28,D122,1))))*100000000</f>
        <v>0</v>
      </c>
      <c r="F122" s="4" t="str">
        <f>HYPERLINK("http://141.218.60.56/~jnz1568/getInfo.php?workbook=06_01.xlsx&amp;sheet=A0&amp;row=122&amp;col=6&amp;number=&amp;sourceID=18","")</f>
        <v/>
      </c>
      <c r="G122" s="4" t="str">
        <f>HYPERLINK("http://141.218.60.56/~jnz1568/getInfo.php?workbook=06_01.xlsx&amp;sheet=A0&amp;row=122&amp;col=7&amp;number==&amp;sourceID=11","=")</f>
        <v>=</v>
      </c>
      <c r="H122" s="4" t="str">
        <f>HYPERLINK("http://141.218.60.56/~jnz1568/getInfo.php?workbook=06_01.xlsx&amp;sheet=A0&amp;row=122&amp;col=8&amp;number=&amp;sourceID=11","")</f>
        <v/>
      </c>
      <c r="I122" s="4" t="str">
        <f>HYPERLINK("http://141.218.60.56/~jnz1568/getInfo.php?workbook=06_01.xlsx&amp;sheet=A0&amp;row=122&amp;col=9&amp;number=&amp;sourceID=11","")</f>
        <v/>
      </c>
      <c r="J122" s="4" t="str">
        <f>HYPERLINK("http://141.218.60.56/~jnz1568/getInfo.php?workbook=06_01.xlsx&amp;sheet=A0&amp;row=122&amp;col=10&amp;number=&amp;sourceID=11","")</f>
        <v/>
      </c>
      <c r="K122" s="4" t="str">
        <f>HYPERLINK("http://141.218.60.56/~jnz1568/getInfo.php?workbook=06_01.xlsx&amp;sheet=A0&amp;row=122&amp;col=11&amp;number=0.00046563&amp;sourceID=11","0.00046563")</f>
        <v>0.00046563</v>
      </c>
      <c r="L122" s="4" t="str">
        <f>HYPERLINK("http://141.218.60.56/~jnz1568/getInfo.php?workbook=06_01.xlsx&amp;sheet=A0&amp;row=122&amp;col=12&amp;number=&amp;sourceID=11","")</f>
        <v/>
      </c>
      <c r="M122" s="4" t="str">
        <f>HYPERLINK("http://141.218.60.56/~jnz1568/getInfo.php?workbook=06_01.xlsx&amp;sheet=A0&amp;row=122&amp;col=13&amp;number=&amp;sourceID=11","")</f>
        <v/>
      </c>
      <c r="N122" s="4" t="str">
        <f>HYPERLINK("http://141.218.60.56/~jnz1568/getInfo.php?workbook=06_01.xlsx&amp;sheet=A0&amp;row=122&amp;col=14&amp;number=0.00046564&amp;sourceID=12","0.00046564")</f>
        <v>0.00046564</v>
      </c>
      <c r="O122" s="4" t="str">
        <f>HYPERLINK("http://141.218.60.56/~jnz1568/getInfo.php?workbook=06_01.xlsx&amp;sheet=A0&amp;row=122&amp;col=15&amp;number=&amp;sourceID=12","")</f>
        <v/>
      </c>
      <c r="P122" s="4" t="str">
        <f>HYPERLINK("http://141.218.60.56/~jnz1568/getInfo.php?workbook=06_01.xlsx&amp;sheet=A0&amp;row=122&amp;col=16&amp;number=&amp;sourceID=12","")</f>
        <v/>
      </c>
      <c r="Q122" s="4" t="str">
        <f>HYPERLINK("http://141.218.60.56/~jnz1568/getInfo.php?workbook=06_01.xlsx&amp;sheet=A0&amp;row=122&amp;col=17&amp;number=&amp;sourceID=12","")</f>
        <v/>
      </c>
      <c r="R122" s="4" t="str">
        <f>HYPERLINK("http://141.218.60.56/~jnz1568/getInfo.php?workbook=06_01.xlsx&amp;sheet=A0&amp;row=122&amp;col=18&amp;number=0.00046564&amp;sourceID=12","0.00046564")</f>
        <v>0.00046564</v>
      </c>
      <c r="S122" s="4" t="str">
        <f>HYPERLINK("http://141.218.60.56/~jnz1568/getInfo.php?workbook=06_01.xlsx&amp;sheet=A0&amp;row=122&amp;col=19&amp;number=&amp;sourceID=12","")</f>
        <v/>
      </c>
      <c r="T122" s="4" t="str">
        <f>HYPERLINK("http://141.218.60.56/~jnz1568/getInfo.php?workbook=06_01.xlsx&amp;sheet=A0&amp;row=122&amp;col=20&amp;number=&amp;sourceID=12","")</f>
        <v/>
      </c>
      <c r="U122" s="4" t="str">
        <f>HYPERLINK("http://141.218.60.56/~jnz1568/getInfo.php?workbook=06_01.xlsx&amp;sheet=A0&amp;row=122&amp;col=21&amp;number=&amp;sourceID=13","")</f>
        <v/>
      </c>
      <c r="V122" s="4" t="str">
        <f>HYPERLINK("http://141.218.60.56/~jnz1568/getInfo.php?workbook=06_01.xlsx&amp;sheet=A0&amp;row=122&amp;col=22&amp;number=&amp;sourceID=13","")</f>
        <v/>
      </c>
      <c r="W122" s="4" t="str">
        <f>HYPERLINK("http://141.218.60.56/~jnz1568/getInfo.php?workbook=06_01.xlsx&amp;sheet=A0&amp;row=122&amp;col=23&amp;number=&amp;sourceID=13","")</f>
        <v/>
      </c>
      <c r="X122" s="4" t="str">
        <f>HYPERLINK("http://141.218.60.56/~jnz1568/getInfo.php?workbook=06_01.xlsx&amp;sheet=A0&amp;row=122&amp;col=24&amp;number=&amp;sourceID=13","")</f>
        <v/>
      </c>
      <c r="Y122" s="4" t="str">
        <f>HYPERLINK("http://141.218.60.56/~jnz1568/getInfo.php?workbook=06_01.xlsx&amp;sheet=A0&amp;row=122&amp;col=25&amp;number=&amp;sourceID=13","")</f>
        <v/>
      </c>
      <c r="Z122" s="4" t="str">
        <f>HYPERLINK("http://141.218.60.56/~jnz1568/getInfo.php?workbook=06_01.xlsx&amp;sheet=A0&amp;row=122&amp;col=26&amp;number=&amp;sourceID=13","")</f>
        <v/>
      </c>
    </row>
    <row r="123" spans="1:26">
      <c r="A123" s="3">
        <v>6</v>
      </c>
      <c r="B123" s="3">
        <v>1</v>
      </c>
      <c r="C123" s="3">
        <v>17</v>
      </c>
      <c r="D123" s="3">
        <v>6</v>
      </c>
      <c r="E123" s="3">
        <f>((1/(INDEX(E0!J$4:J$28,C123,1)-INDEX(E0!J$4:J$28,D123,1))))*100000000</f>
        <v>0</v>
      </c>
      <c r="F123" s="4" t="str">
        <f>HYPERLINK("http://141.218.60.56/~jnz1568/getInfo.php?workbook=06_01.xlsx&amp;sheet=A0&amp;row=123&amp;col=6&amp;number=&amp;sourceID=18","")</f>
        <v/>
      </c>
      <c r="G123" s="4" t="str">
        <f>HYPERLINK("http://141.218.60.56/~jnz1568/getInfo.php?workbook=06_01.xlsx&amp;sheet=A0&amp;row=123&amp;col=7&amp;number==&amp;sourceID=11","=")</f>
        <v>=</v>
      </c>
      <c r="H123" s="4" t="str">
        <f>HYPERLINK("http://141.218.60.56/~jnz1568/getInfo.php?workbook=06_01.xlsx&amp;sheet=A0&amp;row=123&amp;col=8&amp;number=2125600000&amp;sourceID=11","2125600000")</f>
        <v>2125600000</v>
      </c>
      <c r="I123" s="4" t="str">
        <f>HYPERLINK("http://141.218.60.56/~jnz1568/getInfo.php?workbook=06_01.xlsx&amp;sheet=A0&amp;row=123&amp;col=9&amp;number=&amp;sourceID=11","")</f>
        <v/>
      </c>
      <c r="J123" s="4" t="str">
        <f>HYPERLINK("http://141.218.60.56/~jnz1568/getInfo.php?workbook=06_01.xlsx&amp;sheet=A0&amp;row=123&amp;col=10&amp;number=&amp;sourceID=11","")</f>
        <v/>
      </c>
      <c r="K123" s="4" t="str">
        <f>HYPERLINK("http://141.218.60.56/~jnz1568/getInfo.php?workbook=06_01.xlsx&amp;sheet=A0&amp;row=123&amp;col=11&amp;number=&amp;sourceID=11","")</f>
        <v/>
      </c>
      <c r="L123" s="4" t="str">
        <f>HYPERLINK("http://141.218.60.56/~jnz1568/getInfo.php?workbook=06_01.xlsx&amp;sheet=A0&amp;row=123&amp;col=12&amp;number=&amp;sourceID=11","")</f>
        <v/>
      </c>
      <c r="M123" s="4" t="str">
        <f>HYPERLINK("http://141.218.60.56/~jnz1568/getInfo.php?workbook=06_01.xlsx&amp;sheet=A0&amp;row=123&amp;col=13&amp;number=&amp;sourceID=11","")</f>
        <v/>
      </c>
      <c r="N123" s="4" t="str">
        <f>HYPERLINK("http://141.218.60.56/~jnz1568/getInfo.php?workbook=06_01.xlsx&amp;sheet=A0&amp;row=123&amp;col=14&amp;number=2125700000&amp;sourceID=12","2125700000")</f>
        <v>2125700000</v>
      </c>
      <c r="O123" s="4" t="str">
        <f>HYPERLINK("http://141.218.60.56/~jnz1568/getInfo.php?workbook=06_01.xlsx&amp;sheet=A0&amp;row=123&amp;col=15&amp;number=2125700000&amp;sourceID=12","2125700000")</f>
        <v>2125700000</v>
      </c>
      <c r="P123" s="4" t="str">
        <f>HYPERLINK("http://141.218.60.56/~jnz1568/getInfo.php?workbook=06_01.xlsx&amp;sheet=A0&amp;row=123&amp;col=16&amp;number=&amp;sourceID=12","")</f>
        <v/>
      </c>
      <c r="Q123" s="4" t="str">
        <f>HYPERLINK("http://141.218.60.56/~jnz1568/getInfo.php?workbook=06_01.xlsx&amp;sheet=A0&amp;row=123&amp;col=17&amp;number=&amp;sourceID=12","")</f>
        <v/>
      </c>
      <c r="R123" s="4" t="str">
        <f>HYPERLINK("http://141.218.60.56/~jnz1568/getInfo.php?workbook=06_01.xlsx&amp;sheet=A0&amp;row=123&amp;col=18&amp;number=&amp;sourceID=12","")</f>
        <v/>
      </c>
      <c r="S123" s="4" t="str">
        <f>HYPERLINK("http://141.218.60.56/~jnz1568/getInfo.php?workbook=06_01.xlsx&amp;sheet=A0&amp;row=123&amp;col=19&amp;number=&amp;sourceID=12","")</f>
        <v/>
      </c>
      <c r="T123" s="4" t="str">
        <f>HYPERLINK("http://141.218.60.56/~jnz1568/getInfo.php?workbook=06_01.xlsx&amp;sheet=A0&amp;row=123&amp;col=20&amp;number=&amp;sourceID=12","")</f>
        <v/>
      </c>
      <c r="U123" s="4" t="str">
        <f>HYPERLINK("http://141.218.60.56/~jnz1568/getInfo.php?workbook=06_01.xlsx&amp;sheet=A0&amp;row=123&amp;col=21&amp;number=&amp;sourceID=13","")</f>
        <v/>
      </c>
      <c r="V123" s="4" t="str">
        <f>HYPERLINK("http://141.218.60.56/~jnz1568/getInfo.php?workbook=06_01.xlsx&amp;sheet=A0&amp;row=123&amp;col=22&amp;number=&amp;sourceID=13","")</f>
        <v/>
      </c>
      <c r="W123" s="4" t="str">
        <f>HYPERLINK("http://141.218.60.56/~jnz1568/getInfo.php?workbook=06_01.xlsx&amp;sheet=A0&amp;row=123&amp;col=23&amp;number=&amp;sourceID=13","")</f>
        <v/>
      </c>
      <c r="X123" s="4" t="str">
        <f>HYPERLINK("http://141.218.60.56/~jnz1568/getInfo.php?workbook=06_01.xlsx&amp;sheet=A0&amp;row=123&amp;col=24&amp;number=&amp;sourceID=13","")</f>
        <v/>
      </c>
      <c r="Y123" s="4" t="str">
        <f>HYPERLINK("http://141.218.60.56/~jnz1568/getInfo.php?workbook=06_01.xlsx&amp;sheet=A0&amp;row=123&amp;col=25&amp;number=&amp;sourceID=13","")</f>
        <v/>
      </c>
      <c r="Z123" s="4" t="str">
        <f>HYPERLINK("http://141.218.60.56/~jnz1568/getInfo.php?workbook=06_01.xlsx&amp;sheet=A0&amp;row=123&amp;col=26&amp;number=&amp;sourceID=13","")</f>
        <v/>
      </c>
    </row>
    <row r="124" spans="1:26">
      <c r="A124" s="3">
        <v>6</v>
      </c>
      <c r="B124" s="3">
        <v>1</v>
      </c>
      <c r="C124" s="3">
        <v>17</v>
      </c>
      <c r="D124" s="3">
        <v>7</v>
      </c>
      <c r="E124" s="3">
        <f>((1/(INDEX(E0!J$4:J$28,C124,1)-INDEX(E0!J$4:J$28,D124,1))))*100000000</f>
        <v>0</v>
      </c>
      <c r="F124" s="4" t="str">
        <f>HYPERLINK("http://141.218.60.56/~jnz1568/getInfo.php?workbook=06_01.xlsx&amp;sheet=A0&amp;row=124&amp;col=6&amp;number=&amp;sourceID=18","")</f>
        <v/>
      </c>
      <c r="G124" s="4" t="str">
        <f>HYPERLINK("http://141.218.60.56/~jnz1568/getInfo.php?workbook=06_01.xlsx&amp;sheet=A0&amp;row=124&amp;col=7&amp;number==&amp;sourceID=11","=")</f>
        <v>=</v>
      </c>
      <c r="H124" s="4" t="str">
        <f>HYPERLINK("http://141.218.60.56/~jnz1568/getInfo.php?workbook=06_01.xlsx&amp;sheet=A0&amp;row=124&amp;col=8&amp;number=195020000&amp;sourceID=11","195020000")</f>
        <v>195020000</v>
      </c>
      <c r="I124" s="4" t="str">
        <f>HYPERLINK("http://141.218.60.56/~jnz1568/getInfo.php?workbook=06_01.xlsx&amp;sheet=A0&amp;row=124&amp;col=9&amp;number=&amp;sourceID=11","")</f>
        <v/>
      </c>
      <c r="J124" s="4" t="str">
        <f>HYPERLINK("http://141.218.60.56/~jnz1568/getInfo.php?workbook=06_01.xlsx&amp;sheet=A0&amp;row=124&amp;col=10&amp;number=&amp;sourceID=11","")</f>
        <v/>
      </c>
      <c r="K124" s="4" t="str">
        <f>HYPERLINK("http://141.218.60.56/~jnz1568/getInfo.php?workbook=06_01.xlsx&amp;sheet=A0&amp;row=124&amp;col=11&amp;number=&amp;sourceID=11","")</f>
        <v/>
      </c>
      <c r="L124" s="4" t="str">
        <f>HYPERLINK("http://141.218.60.56/~jnz1568/getInfo.php?workbook=06_01.xlsx&amp;sheet=A0&amp;row=124&amp;col=12&amp;number=0.0067983&amp;sourceID=11","0.0067983")</f>
        <v>0.0067983</v>
      </c>
      <c r="M124" s="4" t="str">
        <f>HYPERLINK("http://141.218.60.56/~jnz1568/getInfo.php?workbook=06_01.xlsx&amp;sheet=A0&amp;row=124&amp;col=13&amp;number=&amp;sourceID=11","")</f>
        <v/>
      </c>
      <c r="N124" s="4" t="str">
        <f>HYPERLINK("http://141.218.60.56/~jnz1568/getInfo.php?workbook=06_01.xlsx&amp;sheet=A0&amp;row=124&amp;col=14&amp;number=195030000&amp;sourceID=12","195030000")</f>
        <v>195030000</v>
      </c>
      <c r="O124" s="4" t="str">
        <f>HYPERLINK("http://141.218.60.56/~jnz1568/getInfo.php?workbook=06_01.xlsx&amp;sheet=A0&amp;row=124&amp;col=15&amp;number=195030000&amp;sourceID=12","195030000")</f>
        <v>195030000</v>
      </c>
      <c r="P124" s="4" t="str">
        <f>HYPERLINK("http://141.218.60.56/~jnz1568/getInfo.php?workbook=06_01.xlsx&amp;sheet=A0&amp;row=124&amp;col=16&amp;number=&amp;sourceID=12","")</f>
        <v/>
      </c>
      <c r="Q124" s="4" t="str">
        <f>HYPERLINK("http://141.218.60.56/~jnz1568/getInfo.php?workbook=06_01.xlsx&amp;sheet=A0&amp;row=124&amp;col=17&amp;number=&amp;sourceID=12","")</f>
        <v/>
      </c>
      <c r="R124" s="4" t="str">
        <f>HYPERLINK("http://141.218.60.56/~jnz1568/getInfo.php?workbook=06_01.xlsx&amp;sheet=A0&amp;row=124&amp;col=18&amp;number=&amp;sourceID=12","")</f>
        <v/>
      </c>
      <c r="S124" s="4" t="str">
        <f>HYPERLINK("http://141.218.60.56/~jnz1568/getInfo.php?workbook=06_01.xlsx&amp;sheet=A0&amp;row=124&amp;col=19&amp;number=0.0067986&amp;sourceID=12","0.0067986")</f>
        <v>0.0067986</v>
      </c>
      <c r="T124" s="4" t="str">
        <f>HYPERLINK("http://141.218.60.56/~jnz1568/getInfo.php?workbook=06_01.xlsx&amp;sheet=A0&amp;row=124&amp;col=20&amp;number=&amp;sourceID=12","")</f>
        <v/>
      </c>
      <c r="U124" s="4" t="str">
        <f>HYPERLINK("http://141.218.60.56/~jnz1568/getInfo.php?workbook=06_01.xlsx&amp;sheet=A0&amp;row=124&amp;col=21&amp;number=&amp;sourceID=13","")</f>
        <v/>
      </c>
      <c r="V124" s="4" t="str">
        <f>HYPERLINK("http://141.218.60.56/~jnz1568/getInfo.php?workbook=06_01.xlsx&amp;sheet=A0&amp;row=124&amp;col=22&amp;number=&amp;sourceID=13","")</f>
        <v/>
      </c>
      <c r="W124" s="4" t="str">
        <f>HYPERLINK("http://141.218.60.56/~jnz1568/getInfo.php?workbook=06_01.xlsx&amp;sheet=A0&amp;row=124&amp;col=23&amp;number=&amp;sourceID=13","")</f>
        <v/>
      </c>
      <c r="X124" s="4" t="str">
        <f>HYPERLINK("http://141.218.60.56/~jnz1568/getInfo.php?workbook=06_01.xlsx&amp;sheet=A0&amp;row=124&amp;col=24&amp;number=&amp;sourceID=13","")</f>
        <v/>
      </c>
      <c r="Y124" s="4" t="str">
        <f>HYPERLINK("http://141.218.60.56/~jnz1568/getInfo.php?workbook=06_01.xlsx&amp;sheet=A0&amp;row=124&amp;col=25&amp;number=&amp;sourceID=13","")</f>
        <v/>
      </c>
      <c r="Z124" s="4" t="str">
        <f>HYPERLINK("http://141.218.60.56/~jnz1568/getInfo.php?workbook=06_01.xlsx&amp;sheet=A0&amp;row=124&amp;col=26&amp;number=&amp;sourceID=13","")</f>
        <v/>
      </c>
    </row>
    <row r="125" spans="1:26">
      <c r="A125" s="3">
        <v>6</v>
      </c>
      <c r="B125" s="3">
        <v>1</v>
      </c>
      <c r="C125" s="3">
        <v>17</v>
      </c>
      <c r="D125" s="3">
        <v>8</v>
      </c>
      <c r="E125" s="3">
        <f>((1/(INDEX(E0!J$4:J$28,C125,1)-INDEX(E0!J$4:J$28,D125,1))))*100000000</f>
        <v>0</v>
      </c>
      <c r="F125" s="4" t="str">
        <f>HYPERLINK("http://141.218.60.56/~jnz1568/getInfo.php?workbook=06_01.xlsx&amp;sheet=A0&amp;row=125&amp;col=6&amp;number=&amp;sourceID=18","")</f>
        <v/>
      </c>
      <c r="G125" s="4" t="str">
        <f>HYPERLINK("http://141.218.60.56/~jnz1568/getInfo.php?workbook=06_01.xlsx&amp;sheet=A0&amp;row=125&amp;col=7&amp;number==&amp;sourceID=11","=")</f>
        <v>=</v>
      </c>
      <c r="H125" s="4" t="str">
        <f>HYPERLINK("http://141.218.60.56/~jnz1568/getInfo.php?workbook=06_01.xlsx&amp;sheet=A0&amp;row=125&amp;col=8&amp;number=&amp;sourceID=11","")</f>
        <v/>
      </c>
      <c r="I125" s="4" t="str">
        <f>HYPERLINK("http://141.218.60.56/~jnz1568/getInfo.php?workbook=06_01.xlsx&amp;sheet=A0&amp;row=125&amp;col=9&amp;number=66630&amp;sourceID=11","66630")</f>
        <v>66630</v>
      </c>
      <c r="J125" s="4" t="str">
        <f>HYPERLINK("http://141.218.60.56/~jnz1568/getInfo.php?workbook=06_01.xlsx&amp;sheet=A0&amp;row=125&amp;col=10&amp;number=&amp;sourceID=11","")</f>
        <v/>
      </c>
      <c r="K125" s="4" t="str">
        <f>HYPERLINK("http://141.218.60.56/~jnz1568/getInfo.php?workbook=06_01.xlsx&amp;sheet=A0&amp;row=125&amp;col=11&amp;number=0.025123&amp;sourceID=11","0.025123")</f>
        <v>0.025123</v>
      </c>
      <c r="L125" s="4" t="str">
        <f>HYPERLINK("http://141.218.60.56/~jnz1568/getInfo.php?workbook=06_01.xlsx&amp;sheet=A0&amp;row=125&amp;col=12&amp;number=&amp;sourceID=11","")</f>
        <v/>
      </c>
      <c r="M125" s="4" t="str">
        <f>HYPERLINK("http://141.218.60.56/~jnz1568/getInfo.php?workbook=06_01.xlsx&amp;sheet=A0&amp;row=125&amp;col=13&amp;number=&amp;sourceID=11","")</f>
        <v/>
      </c>
      <c r="N125" s="4" t="str">
        <f>HYPERLINK("http://141.218.60.56/~jnz1568/getInfo.php?workbook=06_01.xlsx&amp;sheet=A0&amp;row=125&amp;col=14&amp;number=66633&amp;sourceID=12","66633")</f>
        <v>66633</v>
      </c>
      <c r="O125" s="4" t="str">
        <f>HYPERLINK("http://141.218.60.56/~jnz1568/getInfo.php?workbook=06_01.xlsx&amp;sheet=A0&amp;row=125&amp;col=15&amp;number=&amp;sourceID=12","")</f>
        <v/>
      </c>
      <c r="P125" s="4" t="str">
        <f>HYPERLINK("http://141.218.60.56/~jnz1568/getInfo.php?workbook=06_01.xlsx&amp;sheet=A0&amp;row=125&amp;col=16&amp;number=66633&amp;sourceID=12","66633")</f>
        <v>66633</v>
      </c>
      <c r="Q125" s="4" t="str">
        <f>HYPERLINK("http://141.218.60.56/~jnz1568/getInfo.php?workbook=06_01.xlsx&amp;sheet=A0&amp;row=125&amp;col=17&amp;number=&amp;sourceID=12","")</f>
        <v/>
      </c>
      <c r="R125" s="4" t="str">
        <f>HYPERLINK("http://141.218.60.56/~jnz1568/getInfo.php?workbook=06_01.xlsx&amp;sheet=A0&amp;row=125&amp;col=18&amp;number=0.025125&amp;sourceID=12","0.025125")</f>
        <v>0.025125</v>
      </c>
      <c r="S125" s="4" t="str">
        <f>HYPERLINK("http://141.218.60.56/~jnz1568/getInfo.php?workbook=06_01.xlsx&amp;sheet=A0&amp;row=125&amp;col=19&amp;number=&amp;sourceID=12","")</f>
        <v/>
      </c>
      <c r="T125" s="4" t="str">
        <f>HYPERLINK("http://141.218.60.56/~jnz1568/getInfo.php?workbook=06_01.xlsx&amp;sheet=A0&amp;row=125&amp;col=20&amp;number=&amp;sourceID=12","")</f>
        <v/>
      </c>
      <c r="U125" s="4" t="str">
        <f>HYPERLINK("http://141.218.60.56/~jnz1568/getInfo.php?workbook=06_01.xlsx&amp;sheet=A0&amp;row=125&amp;col=21&amp;number=&amp;sourceID=13","")</f>
        <v/>
      </c>
      <c r="V125" s="4" t="str">
        <f>HYPERLINK("http://141.218.60.56/~jnz1568/getInfo.php?workbook=06_01.xlsx&amp;sheet=A0&amp;row=125&amp;col=22&amp;number=&amp;sourceID=13","")</f>
        <v/>
      </c>
      <c r="W125" s="4" t="str">
        <f>HYPERLINK("http://141.218.60.56/~jnz1568/getInfo.php?workbook=06_01.xlsx&amp;sheet=A0&amp;row=125&amp;col=23&amp;number=&amp;sourceID=13","")</f>
        <v/>
      </c>
      <c r="X125" s="4" t="str">
        <f>HYPERLINK("http://141.218.60.56/~jnz1568/getInfo.php?workbook=06_01.xlsx&amp;sheet=A0&amp;row=125&amp;col=24&amp;number=&amp;sourceID=13","")</f>
        <v/>
      </c>
      <c r="Y125" s="4" t="str">
        <f>HYPERLINK("http://141.218.60.56/~jnz1568/getInfo.php?workbook=06_01.xlsx&amp;sheet=A0&amp;row=125&amp;col=25&amp;number=&amp;sourceID=13","")</f>
        <v/>
      </c>
      <c r="Z125" s="4" t="str">
        <f>HYPERLINK("http://141.218.60.56/~jnz1568/getInfo.php?workbook=06_01.xlsx&amp;sheet=A0&amp;row=125&amp;col=26&amp;number=&amp;sourceID=13","")</f>
        <v/>
      </c>
    </row>
    <row r="126" spans="1:26">
      <c r="A126" s="3">
        <v>6</v>
      </c>
      <c r="B126" s="3">
        <v>1</v>
      </c>
      <c r="C126" s="3">
        <v>17</v>
      </c>
      <c r="D126" s="3">
        <v>9</v>
      </c>
      <c r="E126" s="3">
        <f>((1/(INDEX(E0!J$4:J$28,C126,1)-INDEX(E0!J$4:J$28,D126,1))))*100000000</f>
        <v>0</v>
      </c>
      <c r="F126" s="4" t="str">
        <f>HYPERLINK("http://141.218.60.56/~jnz1568/getInfo.php?workbook=06_01.xlsx&amp;sheet=A0&amp;row=126&amp;col=6&amp;number=&amp;sourceID=18","")</f>
        <v/>
      </c>
      <c r="G126" s="4" t="str">
        <f>HYPERLINK("http://141.218.60.56/~jnz1568/getInfo.php?workbook=06_01.xlsx&amp;sheet=A0&amp;row=126&amp;col=7&amp;number==&amp;sourceID=11","=")</f>
        <v>=</v>
      </c>
      <c r="H126" s="4" t="str">
        <f>HYPERLINK("http://141.218.60.56/~jnz1568/getInfo.php?workbook=06_01.xlsx&amp;sheet=A0&amp;row=126&amp;col=8&amp;number=&amp;sourceID=11","")</f>
        <v/>
      </c>
      <c r="I126" s="4" t="str">
        <f>HYPERLINK("http://141.218.60.56/~jnz1568/getInfo.php?workbook=06_01.xlsx&amp;sheet=A0&amp;row=126&amp;col=9&amp;number=&amp;sourceID=11","")</f>
        <v/>
      </c>
      <c r="J126" s="4" t="str">
        <f>HYPERLINK("http://141.218.60.56/~jnz1568/getInfo.php?workbook=06_01.xlsx&amp;sheet=A0&amp;row=126&amp;col=10&amp;number=0.37923&amp;sourceID=11","0.37923")</f>
        <v>0.37923</v>
      </c>
      <c r="K126" s="4" t="str">
        <f>HYPERLINK("http://141.218.60.56/~jnz1568/getInfo.php?workbook=06_01.xlsx&amp;sheet=A0&amp;row=126&amp;col=11&amp;number=&amp;sourceID=11","")</f>
        <v/>
      </c>
      <c r="L126" s="4" t="str">
        <f>HYPERLINK("http://141.218.60.56/~jnz1568/getInfo.php?workbook=06_01.xlsx&amp;sheet=A0&amp;row=126&amp;col=12&amp;number=0.072605&amp;sourceID=11","0.072605")</f>
        <v>0.072605</v>
      </c>
      <c r="M126" s="4" t="str">
        <f>HYPERLINK("http://141.218.60.56/~jnz1568/getInfo.php?workbook=06_01.xlsx&amp;sheet=A0&amp;row=126&amp;col=13&amp;number=&amp;sourceID=11","")</f>
        <v/>
      </c>
      <c r="N126" s="4" t="str">
        <f>HYPERLINK("http://141.218.60.56/~jnz1568/getInfo.php?workbook=06_01.xlsx&amp;sheet=A0&amp;row=126&amp;col=14&amp;number=0.45186&amp;sourceID=12","0.45186")</f>
        <v>0.45186</v>
      </c>
      <c r="O126" s="4" t="str">
        <f>HYPERLINK("http://141.218.60.56/~jnz1568/getInfo.php?workbook=06_01.xlsx&amp;sheet=A0&amp;row=126&amp;col=15&amp;number=&amp;sourceID=12","")</f>
        <v/>
      </c>
      <c r="P126" s="4" t="str">
        <f>HYPERLINK("http://141.218.60.56/~jnz1568/getInfo.php?workbook=06_01.xlsx&amp;sheet=A0&amp;row=126&amp;col=16&amp;number=&amp;sourceID=12","")</f>
        <v/>
      </c>
      <c r="Q126" s="4" t="str">
        <f>HYPERLINK("http://141.218.60.56/~jnz1568/getInfo.php?workbook=06_01.xlsx&amp;sheet=A0&amp;row=126&amp;col=17&amp;number=0.37925&amp;sourceID=12","0.37925")</f>
        <v>0.37925</v>
      </c>
      <c r="R126" s="4" t="str">
        <f>HYPERLINK("http://141.218.60.56/~jnz1568/getInfo.php?workbook=06_01.xlsx&amp;sheet=A0&amp;row=126&amp;col=18&amp;number=&amp;sourceID=12","")</f>
        <v/>
      </c>
      <c r="S126" s="4" t="str">
        <f>HYPERLINK("http://141.218.60.56/~jnz1568/getInfo.php?workbook=06_01.xlsx&amp;sheet=A0&amp;row=126&amp;col=19&amp;number=0.072608&amp;sourceID=12","0.072608")</f>
        <v>0.072608</v>
      </c>
      <c r="T126" s="4" t="str">
        <f>HYPERLINK("http://141.218.60.56/~jnz1568/getInfo.php?workbook=06_01.xlsx&amp;sheet=A0&amp;row=126&amp;col=20&amp;number=&amp;sourceID=12","")</f>
        <v/>
      </c>
      <c r="U126" s="4" t="str">
        <f>HYPERLINK("http://141.218.60.56/~jnz1568/getInfo.php?workbook=06_01.xlsx&amp;sheet=A0&amp;row=126&amp;col=21&amp;number=&amp;sourceID=13","")</f>
        <v/>
      </c>
      <c r="V126" s="4" t="str">
        <f>HYPERLINK("http://141.218.60.56/~jnz1568/getInfo.php?workbook=06_01.xlsx&amp;sheet=A0&amp;row=126&amp;col=22&amp;number=&amp;sourceID=13","")</f>
        <v/>
      </c>
      <c r="W126" s="4" t="str">
        <f>HYPERLINK("http://141.218.60.56/~jnz1568/getInfo.php?workbook=06_01.xlsx&amp;sheet=A0&amp;row=126&amp;col=23&amp;number=&amp;sourceID=13","")</f>
        <v/>
      </c>
      <c r="X126" s="4" t="str">
        <f>HYPERLINK("http://141.218.60.56/~jnz1568/getInfo.php?workbook=06_01.xlsx&amp;sheet=A0&amp;row=126&amp;col=24&amp;number=&amp;sourceID=13","")</f>
        <v/>
      </c>
      <c r="Y126" s="4" t="str">
        <f>HYPERLINK("http://141.218.60.56/~jnz1568/getInfo.php?workbook=06_01.xlsx&amp;sheet=A0&amp;row=126&amp;col=25&amp;number=&amp;sourceID=13","")</f>
        <v/>
      </c>
      <c r="Z126" s="4" t="str">
        <f>HYPERLINK("http://141.218.60.56/~jnz1568/getInfo.php?workbook=06_01.xlsx&amp;sheet=A0&amp;row=126&amp;col=26&amp;number=&amp;sourceID=13","")</f>
        <v/>
      </c>
    </row>
    <row r="127" spans="1:26">
      <c r="A127" s="3">
        <v>6</v>
      </c>
      <c r="B127" s="3">
        <v>1</v>
      </c>
      <c r="C127" s="3">
        <v>17</v>
      </c>
      <c r="D127" s="3">
        <v>10</v>
      </c>
      <c r="E127" s="3">
        <f>((1/(INDEX(E0!J$4:J$28,C127,1)-INDEX(E0!J$4:J$28,D127,1))))*100000000</f>
        <v>0</v>
      </c>
      <c r="F127" s="4" t="str">
        <f>HYPERLINK("http://141.218.60.56/~jnz1568/getInfo.php?workbook=06_01.xlsx&amp;sheet=A0&amp;row=127&amp;col=6&amp;number=&amp;sourceID=18","")</f>
        <v/>
      </c>
      <c r="G127" s="4" t="str">
        <f>HYPERLINK("http://141.218.60.56/~jnz1568/getInfo.php?workbook=06_01.xlsx&amp;sheet=A0&amp;row=127&amp;col=7&amp;number==&amp;sourceID=11","=")</f>
        <v>=</v>
      </c>
      <c r="H127" s="4" t="str">
        <f>HYPERLINK("http://141.218.60.56/~jnz1568/getInfo.php?workbook=06_01.xlsx&amp;sheet=A0&amp;row=127&amp;col=8&amp;number=&amp;sourceID=11","")</f>
        <v/>
      </c>
      <c r="I127" s="4" t="str">
        <f>HYPERLINK("http://141.218.60.56/~jnz1568/getInfo.php?workbook=06_01.xlsx&amp;sheet=A0&amp;row=127&amp;col=9&amp;number=&amp;sourceID=11","")</f>
        <v/>
      </c>
      <c r="J127" s="4" t="str">
        <f>HYPERLINK("http://141.218.60.56/~jnz1568/getInfo.php?workbook=06_01.xlsx&amp;sheet=A0&amp;row=127&amp;col=10&amp;number=&amp;sourceID=11","")</f>
        <v/>
      </c>
      <c r="K127" s="4" t="str">
        <f>HYPERLINK("http://141.218.60.56/~jnz1568/getInfo.php?workbook=06_01.xlsx&amp;sheet=A0&amp;row=127&amp;col=11&amp;number=1.4822e-05&amp;sourceID=11","1.4822e-05")</f>
        <v>1.4822e-05</v>
      </c>
      <c r="L127" s="4" t="str">
        <f>HYPERLINK("http://141.218.60.56/~jnz1568/getInfo.php?workbook=06_01.xlsx&amp;sheet=A0&amp;row=127&amp;col=12&amp;number=&amp;sourceID=11","")</f>
        <v/>
      </c>
      <c r="M127" s="4" t="str">
        <f>HYPERLINK("http://141.218.60.56/~jnz1568/getInfo.php?workbook=06_01.xlsx&amp;sheet=A0&amp;row=127&amp;col=13&amp;number=&amp;sourceID=11","")</f>
        <v/>
      </c>
      <c r="N127" s="4" t="str">
        <f>HYPERLINK("http://141.218.60.56/~jnz1568/getInfo.php?workbook=06_01.xlsx&amp;sheet=A0&amp;row=127&amp;col=14&amp;number=1.4822e-05&amp;sourceID=12","1.4822e-05")</f>
        <v>1.4822e-05</v>
      </c>
      <c r="O127" s="4" t="str">
        <f>HYPERLINK("http://141.218.60.56/~jnz1568/getInfo.php?workbook=06_01.xlsx&amp;sheet=A0&amp;row=127&amp;col=15&amp;number=&amp;sourceID=12","")</f>
        <v/>
      </c>
      <c r="P127" s="4" t="str">
        <f>HYPERLINK("http://141.218.60.56/~jnz1568/getInfo.php?workbook=06_01.xlsx&amp;sheet=A0&amp;row=127&amp;col=16&amp;number=&amp;sourceID=12","")</f>
        <v/>
      </c>
      <c r="Q127" s="4" t="str">
        <f>HYPERLINK("http://141.218.60.56/~jnz1568/getInfo.php?workbook=06_01.xlsx&amp;sheet=A0&amp;row=127&amp;col=17&amp;number=&amp;sourceID=12","")</f>
        <v/>
      </c>
      <c r="R127" s="4" t="str">
        <f>HYPERLINK("http://141.218.60.56/~jnz1568/getInfo.php?workbook=06_01.xlsx&amp;sheet=A0&amp;row=127&amp;col=18&amp;number=1.4822e-05&amp;sourceID=12","1.4822e-05")</f>
        <v>1.4822e-05</v>
      </c>
      <c r="S127" s="4" t="str">
        <f>HYPERLINK("http://141.218.60.56/~jnz1568/getInfo.php?workbook=06_01.xlsx&amp;sheet=A0&amp;row=127&amp;col=19&amp;number=&amp;sourceID=12","")</f>
        <v/>
      </c>
      <c r="T127" s="4" t="str">
        <f>HYPERLINK("http://141.218.60.56/~jnz1568/getInfo.php?workbook=06_01.xlsx&amp;sheet=A0&amp;row=127&amp;col=20&amp;number=&amp;sourceID=12","")</f>
        <v/>
      </c>
      <c r="U127" s="4" t="str">
        <f>HYPERLINK("http://141.218.60.56/~jnz1568/getInfo.php?workbook=06_01.xlsx&amp;sheet=A0&amp;row=127&amp;col=21&amp;number=&amp;sourceID=13","")</f>
        <v/>
      </c>
      <c r="V127" s="4" t="str">
        <f>HYPERLINK("http://141.218.60.56/~jnz1568/getInfo.php?workbook=06_01.xlsx&amp;sheet=A0&amp;row=127&amp;col=22&amp;number=&amp;sourceID=13","")</f>
        <v/>
      </c>
      <c r="W127" s="4" t="str">
        <f>HYPERLINK("http://141.218.60.56/~jnz1568/getInfo.php?workbook=06_01.xlsx&amp;sheet=A0&amp;row=127&amp;col=23&amp;number=&amp;sourceID=13","")</f>
        <v/>
      </c>
      <c r="X127" s="4" t="str">
        <f>HYPERLINK("http://141.218.60.56/~jnz1568/getInfo.php?workbook=06_01.xlsx&amp;sheet=A0&amp;row=127&amp;col=24&amp;number=&amp;sourceID=13","")</f>
        <v/>
      </c>
      <c r="Y127" s="4" t="str">
        <f>HYPERLINK("http://141.218.60.56/~jnz1568/getInfo.php?workbook=06_01.xlsx&amp;sheet=A0&amp;row=127&amp;col=25&amp;number=&amp;sourceID=13","")</f>
        <v/>
      </c>
      <c r="Z127" s="4" t="str">
        <f>HYPERLINK("http://141.218.60.56/~jnz1568/getInfo.php?workbook=06_01.xlsx&amp;sheet=A0&amp;row=127&amp;col=26&amp;number=&amp;sourceID=13","")</f>
        <v/>
      </c>
    </row>
    <row r="128" spans="1:26">
      <c r="A128" s="3">
        <v>6</v>
      </c>
      <c r="B128" s="3">
        <v>1</v>
      </c>
      <c r="C128" s="3">
        <v>17</v>
      </c>
      <c r="D128" s="3">
        <v>11</v>
      </c>
      <c r="E128" s="3">
        <f>((1/(INDEX(E0!J$4:J$28,C128,1)-INDEX(E0!J$4:J$28,D128,1))))*100000000</f>
        <v>0</v>
      </c>
      <c r="F128" s="4" t="str">
        <f>HYPERLINK("http://141.218.60.56/~jnz1568/getInfo.php?workbook=06_01.xlsx&amp;sheet=A0&amp;row=128&amp;col=6&amp;number=&amp;sourceID=18","")</f>
        <v/>
      </c>
      <c r="G128" s="4" t="str">
        <f>HYPERLINK("http://141.218.60.56/~jnz1568/getInfo.php?workbook=06_01.xlsx&amp;sheet=A0&amp;row=128&amp;col=7&amp;number==&amp;sourceID=11","=")</f>
        <v>=</v>
      </c>
      <c r="H128" s="4" t="str">
        <f>HYPERLINK("http://141.218.60.56/~jnz1568/getInfo.php?workbook=06_01.xlsx&amp;sheet=A0&amp;row=128&amp;col=8&amp;number=956770000&amp;sourceID=11","956770000")</f>
        <v>956770000</v>
      </c>
      <c r="I128" s="4" t="str">
        <f>HYPERLINK("http://141.218.60.56/~jnz1568/getInfo.php?workbook=06_01.xlsx&amp;sheet=A0&amp;row=128&amp;col=9&amp;number=&amp;sourceID=11","")</f>
        <v/>
      </c>
      <c r="J128" s="4" t="str">
        <f>HYPERLINK("http://141.218.60.56/~jnz1568/getInfo.php?workbook=06_01.xlsx&amp;sheet=A0&amp;row=128&amp;col=10&amp;number=&amp;sourceID=11","")</f>
        <v/>
      </c>
      <c r="K128" s="4" t="str">
        <f>HYPERLINK("http://141.218.60.56/~jnz1568/getInfo.php?workbook=06_01.xlsx&amp;sheet=A0&amp;row=128&amp;col=11&amp;number=&amp;sourceID=11","")</f>
        <v/>
      </c>
      <c r="L128" s="4" t="str">
        <f>HYPERLINK("http://141.218.60.56/~jnz1568/getInfo.php?workbook=06_01.xlsx&amp;sheet=A0&amp;row=128&amp;col=12&amp;number=&amp;sourceID=11","")</f>
        <v/>
      </c>
      <c r="M128" s="4" t="str">
        <f>HYPERLINK("http://141.218.60.56/~jnz1568/getInfo.php?workbook=06_01.xlsx&amp;sheet=A0&amp;row=128&amp;col=13&amp;number=&amp;sourceID=11","")</f>
        <v/>
      </c>
      <c r="N128" s="4" t="str">
        <f>HYPERLINK("http://141.218.60.56/~jnz1568/getInfo.php?workbook=06_01.xlsx&amp;sheet=A0&amp;row=128&amp;col=14&amp;number=956810000&amp;sourceID=12","956810000")</f>
        <v>956810000</v>
      </c>
      <c r="O128" s="4" t="str">
        <f>HYPERLINK("http://141.218.60.56/~jnz1568/getInfo.php?workbook=06_01.xlsx&amp;sheet=A0&amp;row=128&amp;col=15&amp;number=956810000&amp;sourceID=12","956810000")</f>
        <v>956810000</v>
      </c>
      <c r="P128" s="4" t="str">
        <f>HYPERLINK("http://141.218.60.56/~jnz1568/getInfo.php?workbook=06_01.xlsx&amp;sheet=A0&amp;row=128&amp;col=16&amp;number=&amp;sourceID=12","")</f>
        <v/>
      </c>
      <c r="Q128" s="4" t="str">
        <f>HYPERLINK("http://141.218.60.56/~jnz1568/getInfo.php?workbook=06_01.xlsx&amp;sheet=A0&amp;row=128&amp;col=17&amp;number=&amp;sourceID=12","")</f>
        <v/>
      </c>
      <c r="R128" s="4" t="str">
        <f>HYPERLINK("http://141.218.60.56/~jnz1568/getInfo.php?workbook=06_01.xlsx&amp;sheet=A0&amp;row=128&amp;col=18&amp;number=&amp;sourceID=12","")</f>
        <v/>
      </c>
      <c r="S128" s="4" t="str">
        <f>HYPERLINK("http://141.218.60.56/~jnz1568/getInfo.php?workbook=06_01.xlsx&amp;sheet=A0&amp;row=128&amp;col=19&amp;number=&amp;sourceID=12","")</f>
        <v/>
      </c>
      <c r="T128" s="4" t="str">
        <f>HYPERLINK("http://141.218.60.56/~jnz1568/getInfo.php?workbook=06_01.xlsx&amp;sheet=A0&amp;row=128&amp;col=20&amp;number=&amp;sourceID=12","")</f>
        <v/>
      </c>
      <c r="U128" s="4" t="str">
        <f>HYPERLINK("http://141.218.60.56/~jnz1568/getInfo.php?workbook=06_01.xlsx&amp;sheet=A0&amp;row=128&amp;col=21&amp;number=&amp;sourceID=13","")</f>
        <v/>
      </c>
      <c r="V128" s="4" t="str">
        <f>HYPERLINK("http://141.218.60.56/~jnz1568/getInfo.php?workbook=06_01.xlsx&amp;sheet=A0&amp;row=128&amp;col=22&amp;number=&amp;sourceID=13","")</f>
        <v/>
      </c>
      <c r="W128" s="4" t="str">
        <f>HYPERLINK("http://141.218.60.56/~jnz1568/getInfo.php?workbook=06_01.xlsx&amp;sheet=A0&amp;row=128&amp;col=23&amp;number=&amp;sourceID=13","")</f>
        <v/>
      </c>
      <c r="X128" s="4" t="str">
        <f>HYPERLINK("http://141.218.60.56/~jnz1568/getInfo.php?workbook=06_01.xlsx&amp;sheet=A0&amp;row=128&amp;col=24&amp;number=&amp;sourceID=13","")</f>
        <v/>
      </c>
      <c r="Y128" s="4" t="str">
        <f>HYPERLINK("http://141.218.60.56/~jnz1568/getInfo.php?workbook=06_01.xlsx&amp;sheet=A0&amp;row=128&amp;col=25&amp;number=&amp;sourceID=13","")</f>
        <v/>
      </c>
      <c r="Z128" s="4" t="str">
        <f>HYPERLINK("http://141.218.60.56/~jnz1568/getInfo.php?workbook=06_01.xlsx&amp;sheet=A0&amp;row=128&amp;col=26&amp;number=&amp;sourceID=13","")</f>
        <v/>
      </c>
    </row>
    <row r="129" spans="1:26">
      <c r="A129" s="3">
        <v>6</v>
      </c>
      <c r="B129" s="3">
        <v>1</v>
      </c>
      <c r="C129" s="3">
        <v>17</v>
      </c>
      <c r="D129" s="3">
        <v>12</v>
      </c>
      <c r="E129" s="3">
        <f>((1/(INDEX(E0!J$4:J$28,C129,1)-INDEX(E0!J$4:J$28,D129,1))))*100000000</f>
        <v>0</v>
      </c>
      <c r="F129" s="4" t="str">
        <f>HYPERLINK("http://141.218.60.56/~jnz1568/getInfo.php?workbook=06_01.xlsx&amp;sheet=A0&amp;row=129&amp;col=6&amp;number=&amp;sourceID=18","")</f>
        <v/>
      </c>
      <c r="G129" s="4" t="str">
        <f>HYPERLINK("http://141.218.60.56/~jnz1568/getInfo.php?workbook=06_01.xlsx&amp;sheet=A0&amp;row=129&amp;col=7&amp;number==&amp;sourceID=11","=")</f>
        <v>=</v>
      </c>
      <c r="H129" s="4" t="str">
        <f>HYPERLINK("http://141.218.60.56/~jnz1568/getInfo.php?workbook=06_01.xlsx&amp;sheet=A0&amp;row=129&amp;col=8&amp;number=245630000&amp;sourceID=11","245630000")</f>
        <v>245630000</v>
      </c>
      <c r="I129" s="4" t="str">
        <f>HYPERLINK("http://141.218.60.56/~jnz1568/getInfo.php?workbook=06_01.xlsx&amp;sheet=A0&amp;row=129&amp;col=9&amp;number=&amp;sourceID=11","")</f>
        <v/>
      </c>
      <c r="J129" s="4" t="str">
        <f>HYPERLINK("http://141.218.60.56/~jnz1568/getInfo.php?workbook=06_01.xlsx&amp;sheet=A0&amp;row=129&amp;col=10&amp;number=&amp;sourceID=11","")</f>
        <v/>
      </c>
      <c r="K129" s="4" t="str">
        <f>HYPERLINK("http://141.218.60.56/~jnz1568/getInfo.php?workbook=06_01.xlsx&amp;sheet=A0&amp;row=129&amp;col=11&amp;number=&amp;sourceID=11","")</f>
        <v/>
      </c>
      <c r="L129" s="4" t="str">
        <f>HYPERLINK("http://141.218.60.56/~jnz1568/getInfo.php?workbook=06_01.xlsx&amp;sheet=A0&amp;row=129&amp;col=12&amp;number=0.00085668&amp;sourceID=11","0.00085668")</f>
        <v>0.00085668</v>
      </c>
      <c r="M129" s="4" t="str">
        <f>HYPERLINK("http://141.218.60.56/~jnz1568/getInfo.php?workbook=06_01.xlsx&amp;sheet=A0&amp;row=129&amp;col=13&amp;number=&amp;sourceID=11","")</f>
        <v/>
      </c>
      <c r="N129" s="4" t="str">
        <f>HYPERLINK("http://141.218.60.56/~jnz1568/getInfo.php?workbook=06_01.xlsx&amp;sheet=A0&amp;row=129&amp;col=14&amp;number=245640000&amp;sourceID=12","245640000")</f>
        <v>245640000</v>
      </c>
      <c r="O129" s="4" t="str">
        <f>HYPERLINK("http://141.218.60.56/~jnz1568/getInfo.php?workbook=06_01.xlsx&amp;sheet=A0&amp;row=129&amp;col=15&amp;number=245640000&amp;sourceID=12","245640000")</f>
        <v>245640000</v>
      </c>
      <c r="P129" s="4" t="str">
        <f>HYPERLINK("http://141.218.60.56/~jnz1568/getInfo.php?workbook=06_01.xlsx&amp;sheet=A0&amp;row=129&amp;col=16&amp;number=&amp;sourceID=12","")</f>
        <v/>
      </c>
      <c r="Q129" s="4" t="str">
        <f>HYPERLINK("http://141.218.60.56/~jnz1568/getInfo.php?workbook=06_01.xlsx&amp;sheet=A0&amp;row=129&amp;col=17&amp;number=&amp;sourceID=12","")</f>
        <v/>
      </c>
      <c r="R129" s="4" t="str">
        <f>HYPERLINK("http://141.218.60.56/~jnz1568/getInfo.php?workbook=06_01.xlsx&amp;sheet=A0&amp;row=129&amp;col=18&amp;number=&amp;sourceID=12","")</f>
        <v/>
      </c>
      <c r="S129" s="4" t="str">
        <f>HYPERLINK("http://141.218.60.56/~jnz1568/getInfo.php?workbook=06_01.xlsx&amp;sheet=A0&amp;row=129&amp;col=19&amp;number=0.00085672&amp;sourceID=12","0.00085672")</f>
        <v>0.00085672</v>
      </c>
      <c r="T129" s="4" t="str">
        <f>HYPERLINK("http://141.218.60.56/~jnz1568/getInfo.php?workbook=06_01.xlsx&amp;sheet=A0&amp;row=129&amp;col=20&amp;number=&amp;sourceID=12","")</f>
        <v/>
      </c>
      <c r="U129" s="4" t="str">
        <f>HYPERLINK("http://141.218.60.56/~jnz1568/getInfo.php?workbook=06_01.xlsx&amp;sheet=A0&amp;row=129&amp;col=21&amp;number=&amp;sourceID=13","")</f>
        <v/>
      </c>
      <c r="V129" s="4" t="str">
        <f>HYPERLINK("http://141.218.60.56/~jnz1568/getInfo.php?workbook=06_01.xlsx&amp;sheet=A0&amp;row=129&amp;col=22&amp;number=&amp;sourceID=13","")</f>
        <v/>
      </c>
      <c r="W129" s="4" t="str">
        <f>HYPERLINK("http://141.218.60.56/~jnz1568/getInfo.php?workbook=06_01.xlsx&amp;sheet=A0&amp;row=129&amp;col=23&amp;number=&amp;sourceID=13","")</f>
        <v/>
      </c>
      <c r="X129" s="4" t="str">
        <f>HYPERLINK("http://141.218.60.56/~jnz1568/getInfo.php?workbook=06_01.xlsx&amp;sheet=A0&amp;row=129&amp;col=24&amp;number=&amp;sourceID=13","")</f>
        <v/>
      </c>
      <c r="Y129" s="4" t="str">
        <f>HYPERLINK("http://141.218.60.56/~jnz1568/getInfo.php?workbook=06_01.xlsx&amp;sheet=A0&amp;row=129&amp;col=25&amp;number=&amp;sourceID=13","")</f>
        <v/>
      </c>
      <c r="Z129" s="4" t="str">
        <f>HYPERLINK("http://141.218.60.56/~jnz1568/getInfo.php?workbook=06_01.xlsx&amp;sheet=A0&amp;row=129&amp;col=26&amp;number=&amp;sourceID=13","")</f>
        <v/>
      </c>
    </row>
    <row r="130" spans="1:26">
      <c r="A130" s="3">
        <v>6</v>
      </c>
      <c r="B130" s="3">
        <v>1</v>
      </c>
      <c r="C130" s="3">
        <v>17</v>
      </c>
      <c r="D130" s="3">
        <v>13</v>
      </c>
      <c r="E130" s="3">
        <f>((1/(INDEX(E0!J$4:J$28,C130,1)-INDEX(E0!J$4:J$28,D130,1))))*100000000</f>
        <v>0</v>
      </c>
      <c r="F130" s="4" t="str">
        <f>HYPERLINK("http://141.218.60.56/~jnz1568/getInfo.php?workbook=06_01.xlsx&amp;sheet=A0&amp;row=130&amp;col=6&amp;number=&amp;sourceID=18","")</f>
        <v/>
      </c>
      <c r="G130" s="4" t="str">
        <f>HYPERLINK("http://141.218.60.56/~jnz1568/getInfo.php?workbook=06_01.xlsx&amp;sheet=A0&amp;row=130&amp;col=7&amp;number==&amp;sourceID=11","=")</f>
        <v>=</v>
      </c>
      <c r="H130" s="4" t="str">
        <f>HYPERLINK("http://141.218.60.56/~jnz1568/getInfo.php?workbook=06_01.xlsx&amp;sheet=A0&amp;row=130&amp;col=8&amp;number=&amp;sourceID=11","")</f>
        <v/>
      </c>
      <c r="I130" s="4" t="str">
        <f>HYPERLINK("http://141.218.60.56/~jnz1568/getInfo.php?workbook=06_01.xlsx&amp;sheet=A0&amp;row=130&amp;col=9&amp;number=21210&amp;sourceID=11","21210")</f>
        <v>21210</v>
      </c>
      <c r="J130" s="4" t="str">
        <f>HYPERLINK("http://141.218.60.56/~jnz1568/getInfo.php?workbook=06_01.xlsx&amp;sheet=A0&amp;row=130&amp;col=10&amp;number=&amp;sourceID=11","")</f>
        <v/>
      </c>
      <c r="K130" s="4" t="str">
        <f>HYPERLINK("http://141.218.60.56/~jnz1568/getInfo.php?workbook=06_01.xlsx&amp;sheet=A0&amp;row=130&amp;col=11&amp;number=0.0031237&amp;sourceID=11","0.0031237")</f>
        <v>0.0031237</v>
      </c>
      <c r="L130" s="4" t="str">
        <f>HYPERLINK("http://141.218.60.56/~jnz1568/getInfo.php?workbook=06_01.xlsx&amp;sheet=A0&amp;row=130&amp;col=12&amp;number=&amp;sourceID=11","")</f>
        <v/>
      </c>
      <c r="M130" s="4" t="str">
        <f>HYPERLINK("http://141.218.60.56/~jnz1568/getInfo.php?workbook=06_01.xlsx&amp;sheet=A0&amp;row=130&amp;col=13&amp;number=&amp;sourceID=11","")</f>
        <v/>
      </c>
      <c r="N130" s="4" t="str">
        <f>HYPERLINK("http://141.218.60.56/~jnz1568/getInfo.php?workbook=06_01.xlsx&amp;sheet=A0&amp;row=130&amp;col=14&amp;number=21211&amp;sourceID=12","21211")</f>
        <v>21211</v>
      </c>
      <c r="O130" s="4" t="str">
        <f>HYPERLINK("http://141.218.60.56/~jnz1568/getInfo.php?workbook=06_01.xlsx&amp;sheet=A0&amp;row=130&amp;col=15&amp;number=&amp;sourceID=12","")</f>
        <v/>
      </c>
      <c r="P130" s="4" t="str">
        <f>HYPERLINK("http://141.218.60.56/~jnz1568/getInfo.php?workbook=06_01.xlsx&amp;sheet=A0&amp;row=130&amp;col=16&amp;number=21211&amp;sourceID=12","21211")</f>
        <v>21211</v>
      </c>
      <c r="Q130" s="4" t="str">
        <f>HYPERLINK("http://141.218.60.56/~jnz1568/getInfo.php?workbook=06_01.xlsx&amp;sheet=A0&amp;row=130&amp;col=17&amp;number=&amp;sourceID=12","")</f>
        <v/>
      </c>
      <c r="R130" s="4" t="str">
        <f>HYPERLINK("http://141.218.60.56/~jnz1568/getInfo.php?workbook=06_01.xlsx&amp;sheet=A0&amp;row=130&amp;col=18&amp;number=0.003124&amp;sourceID=12","0.003124")</f>
        <v>0.003124</v>
      </c>
      <c r="S130" s="4" t="str">
        <f>HYPERLINK("http://141.218.60.56/~jnz1568/getInfo.php?workbook=06_01.xlsx&amp;sheet=A0&amp;row=130&amp;col=19&amp;number=&amp;sourceID=12","")</f>
        <v/>
      </c>
      <c r="T130" s="4" t="str">
        <f>HYPERLINK("http://141.218.60.56/~jnz1568/getInfo.php?workbook=06_01.xlsx&amp;sheet=A0&amp;row=130&amp;col=20&amp;number=&amp;sourceID=12","")</f>
        <v/>
      </c>
      <c r="U130" s="4" t="str">
        <f>HYPERLINK("http://141.218.60.56/~jnz1568/getInfo.php?workbook=06_01.xlsx&amp;sheet=A0&amp;row=130&amp;col=21&amp;number=&amp;sourceID=13","")</f>
        <v/>
      </c>
      <c r="V130" s="4" t="str">
        <f>HYPERLINK("http://141.218.60.56/~jnz1568/getInfo.php?workbook=06_01.xlsx&amp;sheet=A0&amp;row=130&amp;col=22&amp;number=&amp;sourceID=13","")</f>
        <v/>
      </c>
      <c r="W130" s="4" t="str">
        <f>HYPERLINK("http://141.218.60.56/~jnz1568/getInfo.php?workbook=06_01.xlsx&amp;sheet=A0&amp;row=130&amp;col=23&amp;number=&amp;sourceID=13","")</f>
        <v/>
      </c>
      <c r="X130" s="4" t="str">
        <f>HYPERLINK("http://141.218.60.56/~jnz1568/getInfo.php?workbook=06_01.xlsx&amp;sheet=A0&amp;row=130&amp;col=24&amp;number=&amp;sourceID=13","")</f>
        <v/>
      </c>
      <c r="Y130" s="4" t="str">
        <f>HYPERLINK("http://141.218.60.56/~jnz1568/getInfo.php?workbook=06_01.xlsx&amp;sheet=A0&amp;row=130&amp;col=25&amp;number=&amp;sourceID=13","")</f>
        <v/>
      </c>
      <c r="Z130" s="4" t="str">
        <f>HYPERLINK("http://141.218.60.56/~jnz1568/getInfo.php?workbook=06_01.xlsx&amp;sheet=A0&amp;row=130&amp;col=26&amp;number=&amp;sourceID=13","")</f>
        <v/>
      </c>
    </row>
    <row r="131" spans="1:26">
      <c r="A131" s="3">
        <v>6</v>
      </c>
      <c r="B131" s="3">
        <v>1</v>
      </c>
      <c r="C131" s="3">
        <v>17</v>
      </c>
      <c r="D131" s="3">
        <v>14</v>
      </c>
      <c r="E131" s="3">
        <f>((1/(INDEX(E0!J$4:J$28,C131,1)-INDEX(E0!J$4:J$28,D131,1))))*100000000</f>
        <v>0</v>
      </c>
      <c r="F131" s="4" t="str">
        <f>HYPERLINK("http://141.218.60.56/~jnz1568/getInfo.php?workbook=06_01.xlsx&amp;sheet=A0&amp;row=131&amp;col=6&amp;number=&amp;sourceID=18","")</f>
        <v/>
      </c>
      <c r="G131" s="4" t="str">
        <f>HYPERLINK("http://141.218.60.56/~jnz1568/getInfo.php?workbook=06_01.xlsx&amp;sheet=A0&amp;row=131&amp;col=7&amp;number==&amp;sourceID=11","=")</f>
        <v>=</v>
      </c>
      <c r="H131" s="4" t="str">
        <f>HYPERLINK("http://141.218.60.56/~jnz1568/getInfo.php?workbook=06_01.xlsx&amp;sheet=A0&amp;row=131&amp;col=8&amp;number=&amp;sourceID=11","")</f>
        <v/>
      </c>
      <c r="I131" s="4" t="str">
        <f>HYPERLINK("http://141.218.60.56/~jnz1568/getInfo.php?workbook=06_01.xlsx&amp;sheet=A0&amp;row=131&amp;col=9&amp;number=2203.1&amp;sourceID=11","2203.1")</f>
        <v>2203.1</v>
      </c>
      <c r="J131" s="4" t="str">
        <f>HYPERLINK("http://141.218.60.56/~jnz1568/getInfo.php?workbook=06_01.xlsx&amp;sheet=A0&amp;row=131&amp;col=10&amp;number=&amp;sourceID=11","")</f>
        <v/>
      </c>
      <c r="K131" s="4" t="str">
        <f>HYPERLINK("http://141.218.60.56/~jnz1568/getInfo.php?workbook=06_01.xlsx&amp;sheet=A0&amp;row=131&amp;col=11&amp;number=&amp;sourceID=11","")</f>
        <v/>
      </c>
      <c r="L131" s="4" t="str">
        <f>HYPERLINK("http://141.218.60.56/~jnz1568/getInfo.php?workbook=06_01.xlsx&amp;sheet=A0&amp;row=131&amp;col=12&amp;number=&amp;sourceID=11","")</f>
        <v/>
      </c>
      <c r="M131" s="4" t="str">
        <f>HYPERLINK("http://141.218.60.56/~jnz1568/getInfo.php?workbook=06_01.xlsx&amp;sheet=A0&amp;row=131&amp;col=13&amp;number=4.6436e-09&amp;sourceID=11","4.6436e-09")</f>
        <v>4.6436e-09</v>
      </c>
      <c r="N131" s="4" t="str">
        <f>HYPERLINK("http://141.218.60.56/~jnz1568/getInfo.php?workbook=06_01.xlsx&amp;sheet=A0&amp;row=131&amp;col=14&amp;number=2203.2&amp;sourceID=12","2203.2")</f>
        <v>2203.2</v>
      </c>
      <c r="O131" s="4" t="str">
        <f>HYPERLINK("http://141.218.60.56/~jnz1568/getInfo.php?workbook=06_01.xlsx&amp;sheet=A0&amp;row=131&amp;col=15&amp;number=&amp;sourceID=12","")</f>
        <v/>
      </c>
      <c r="P131" s="4" t="str">
        <f>HYPERLINK("http://141.218.60.56/~jnz1568/getInfo.php?workbook=06_01.xlsx&amp;sheet=A0&amp;row=131&amp;col=16&amp;number=2203.2&amp;sourceID=12","2203.2")</f>
        <v>2203.2</v>
      </c>
      <c r="Q131" s="4" t="str">
        <f>HYPERLINK("http://141.218.60.56/~jnz1568/getInfo.php?workbook=06_01.xlsx&amp;sheet=A0&amp;row=131&amp;col=17&amp;number=&amp;sourceID=12","")</f>
        <v/>
      </c>
      <c r="R131" s="4" t="str">
        <f>HYPERLINK("http://141.218.60.56/~jnz1568/getInfo.php?workbook=06_01.xlsx&amp;sheet=A0&amp;row=131&amp;col=18&amp;number=&amp;sourceID=12","")</f>
        <v/>
      </c>
      <c r="S131" s="4" t="str">
        <f>HYPERLINK("http://141.218.60.56/~jnz1568/getInfo.php?workbook=06_01.xlsx&amp;sheet=A0&amp;row=131&amp;col=19&amp;number=&amp;sourceID=12","")</f>
        <v/>
      </c>
      <c r="T131" s="4" t="str">
        <f>HYPERLINK("http://141.218.60.56/~jnz1568/getInfo.php?workbook=06_01.xlsx&amp;sheet=A0&amp;row=131&amp;col=20&amp;number=4.6438e-09&amp;sourceID=12","4.6438e-09")</f>
        <v>4.6438e-09</v>
      </c>
      <c r="U131" s="4" t="str">
        <f>HYPERLINK("http://141.218.60.56/~jnz1568/getInfo.php?workbook=06_01.xlsx&amp;sheet=A0&amp;row=131&amp;col=21&amp;number=&amp;sourceID=13","")</f>
        <v/>
      </c>
      <c r="V131" s="4" t="str">
        <f>HYPERLINK("http://141.218.60.56/~jnz1568/getInfo.php?workbook=06_01.xlsx&amp;sheet=A0&amp;row=131&amp;col=22&amp;number=&amp;sourceID=13","")</f>
        <v/>
      </c>
      <c r="W131" s="4" t="str">
        <f>HYPERLINK("http://141.218.60.56/~jnz1568/getInfo.php?workbook=06_01.xlsx&amp;sheet=A0&amp;row=131&amp;col=23&amp;number=&amp;sourceID=13","")</f>
        <v/>
      </c>
      <c r="X131" s="4" t="str">
        <f>HYPERLINK("http://141.218.60.56/~jnz1568/getInfo.php?workbook=06_01.xlsx&amp;sheet=A0&amp;row=131&amp;col=24&amp;number=&amp;sourceID=13","")</f>
        <v/>
      </c>
      <c r="Y131" s="4" t="str">
        <f>HYPERLINK("http://141.218.60.56/~jnz1568/getInfo.php?workbook=06_01.xlsx&amp;sheet=A0&amp;row=131&amp;col=25&amp;number=&amp;sourceID=13","")</f>
        <v/>
      </c>
      <c r="Z131" s="4" t="str">
        <f>HYPERLINK("http://141.218.60.56/~jnz1568/getInfo.php?workbook=06_01.xlsx&amp;sheet=A0&amp;row=131&amp;col=26&amp;number=&amp;sourceID=13","")</f>
        <v/>
      </c>
    </row>
    <row r="132" spans="1:26">
      <c r="A132" s="3">
        <v>6</v>
      </c>
      <c r="B132" s="3">
        <v>1</v>
      </c>
      <c r="C132" s="3">
        <v>17</v>
      </c>
      <c r="D132" s="3">
        <v>15</v>
      </c>
      <c r="E132" s="3">
        <f>((1/(INDEX(E0!J$4:J$28,C132,1)-INDEX(E0!J$4:J$28,D132,1))))*100000000</f>
        <v>0</v>
      </c>
      <c r="F132" s="4" t="str">
        <f>HYPERLINK("http://141.218.60.56/~jnz1568/getInfo.php?workbook=06_01.xlsx&amp;sheet=A0&amp;row=132&amp;col=6&amp;number=&amp;sourceID=18","")</f>
        <v/>
      </c>
      <c r="G132" s="4" t="str">
        <f>HYPERLINK("http://141.218.60.56/~jnz1568/getInfo.php?workbook=06_01.xlsx&amp;sheet=A0&amp;row=132&amp;col=7&amp;number==&amp;sourceID=11","=")</f>
        <v>=</v>
      </c>
      <c r="H132" s="4" t="str">
        <f>HYPERLINK("http://141.218.60.56/~jnz1568/getInfo.php?workbook=06_01.xlsx&amp;sheet=A0&amp;row=132&amp;col=8&amp;number=&amp;sourceID=11","")</f>
        <v/>
      </c>
      <c r="I132" s="4" t="str">
        <f>HYPERLINK("http://141.218.60.56/~jnz1568/getInfo.php?workbook=06_01.xlsx&amp;sheet=A0&amp;row=132&amp;col=9&amp;number=&amp;sourceID=11","")</f>
        <v/>
      </c>
      <c r="J132" s="4" t="str">
        <f>HYPERLINK("http://141.218.60.56/~jnz1568/getInfo.php?workbook=06_01.xlsx&amp;sheet=A0&amp;row=132&amp;col=10&amp;number=0.12916&amp;sourceID=11","0.12916")</f>
        <v>0.12916</v>
      </c>
      <c r="K132" s="4" t="str">
        <f>HYPERLINK("http://141.218.60.56/~jnz1568/getInfo.php?workbook=06_01.xlsx&amp;sheet=A0&amp;row=132&amp;col=11&amp;number=&amp;sourceID=11","")</f>
        <v/>
      </c>
      <c r="L132" s="4" t="str">
        <f>HYPERLINK("http://141.218.60.56/~jnz1568/getInfo.php?workbook=06_01.xlsx&amp;sheet=A0&amp;row=132&amp;col=12&amp;number=0.0091472&amp;sourceID=11","0.0091472")</f>
        <v>0.0091472</v>
      </c>
      <c r="M132" s="4" t="str">
        <f>HYPERLINK("http://141.218.60.56/~jnz1568/getInfo.php?workbook=06_01.xlsx&amp;sheet=A0&amp;row=132&amp;col=13&amp;number=&amp;sourceID=11","")</f>
        <v/>
      </c>
      <c r="N132" s="4" t="str">
        <f>HYPERLINK("http://141.218.60.56/~jnz1568/getInfo.php?workbook=06_01.xlsx&amp;sheet=A0&amp;row=132&amp;col=14&amp;number=0.13832&amp;sourceID=12","0.13832")</f>
        <v>0.13832</v>
      </c>
      <c r="O132" s="4" t="str">
        <f>HYPERLINK("http://141.218.60.56/~jnz1568/getInfo.php?workbook=06_01.xlsx&amp;sheet=A0&amp;row=132&amp;col=15&amp;number=&amp;sourceID=12","")</f>
        <v/>
      </c>
      <c r="P132" s="4" t="str">
        <f>HYPERLINK("http://141.218.60.56/~jnz1568/getInfo.php?workbook=06_01.xlsx&amp;sheet=A0&amp;row=132&amp;col=16&amp;number=&amp;sourceID=12","")</f>
        <v/>
      </c>
      <c r="Q132" s="4" t="str">
        <f>HYPERLINK("http://141.218.60.56/~jnz1568/getInfo.php?workbook=06_01.xlsx&amp;sheet=A0&amp;row=132&amp;col=17&amp;number=0.12917&amp;sourceID=12","0.12917")</f>
        <v>0.12917</v>
      </c>
      <c r="R132" s="4" t="str">
        <f>HYPERLINK("http://141.218.60.56/~jnz1568/getInfo.php?workbook=06_01.xlsx&amp;sheet=A0&amp;row=132&amp;col=18&amp;number=&amp;sourceID=12","")</f>
        <v/>
      </c>
      <c r="S132" s="4" t="str">
        <f>HYPERLINK("http://141.218.60.56/~jnz1568/getInfo.php?workbook=06_01.xlsx&amp;sheet=A0&amp;row=132&amp;col=19&amp;number=0.0091476&amp;sourceID=12","0.0091476")</f>
        <v>0.0091476</v>
      </c>
      <c r="T132" s="4" t="str">
        <f>HYPERLINK("http://141.218.60.56/~jnz1568/getInfo.php?workbook=06_01.xlsx&amp;sheet=A0&amp;row=132&amp;col=20&amp;number=&amp;sourceID=12","")</f>
        <v/>
      </c>
      <c r="U132" s="4" t="str">
        <f>HYPERLINK("http://141.218.60.56/~jnz1568/getInfo.php?workbook=06_01.xlsx&amp;sheet=A0&amp;row=132&amp;col=21&amp;number=&amp;sourceID=13","")</f>
        <v/>
      </c>
      <c r="V132" s="4" t="str">
        <f>HYPERLINK("http://141.218.60.56/~jnz1568/getInfo.php?workbook=06_01.xlsx&amp;sheet=A0&amp;row=132&amp;col=22&amp;number=&amp;sourceID=13","")</f>
        <v/>
      </c>
      <c r="W132" s="4" t="str">
        <f>HYPERLINK("http://141.218.60.56/~jnz1568/getInfo.php?workbook=06_01.xlsx&amp;sheet=A0&amp;row=132&amp;col=23&amp;number=&amp;sourceID=13","")</f>
        <v/>
      </c>
      <c r="X132" s="4" t="str">
        <f>HYPERLINK("http://141.218.60.56/~jnz1568/getInfo.php?workbook=06_01.xlsx&amp;sheet=A0&amp;row=132&amp;col=24&amp;number=&amp;sourceID=13","")</f>
        <v/>
      </c>
      <c r="Y132" s="4" t="str">
        <f>HYPERLINK("http://141.218.60.56/~jnz1568/getInfo.php?workbook=06_01.xlsx&amp;sheet=A0&amp;row=132&amp;col=25&amp;number=&amp;sourceID=13","")</f>
        <v/>
      </c>
      <c r="Z132" s="4" t="str">
        <f>HYPERLINK("http://141.218.60.56/~jnz1568/getInfo.php?workbook=06_01.xlsx&amp;sheet=A0&amp;row=132&amp;col=26&amp;number=&amp;sourceID=13","")</f>
        <v/>
      </c>
    </row>
    <row r="133" spans="1:26">
      <c r="A133" s="3">
        <v>6</v>
      </c>
      <c r="B133" s="3">
        <v>1</v>
      </c>
      <c r="C133" s="3">
        <v>17</v>
      </c>
      <c r="D133" s="3">
        <v>16</v>
      </c>
      <c r="E133" s="3">
        <f>((1/(INDEX(E0!J$4:J$28,C133,1)-INDEX(E0!J$4:J$28,D133,1))))*100000000</f>
        <v>0</v>
      </c>
      <c r="F133" s="4" t="str">
        <f>HYPERLINK("http://141.218.60.56/~jnz1568/getInfo.php?workbook=06_01.xlsx&amp;sheet=A0&amp;row=133&amp;col=6&amp;number=&amp;sourceID=18","")</f>
        <v/>
      </c>
      <c r="G133" s="4" t="str">
        <f>HYPERLINK("http://141.218.60.56/~jnz1568/getInfo.php?workbook=06_01.xlsx&amp;sheet=A0&amp;row=133&amp;col=7&amp;number==&amp;sourceID=11","=")</f>
        <v>=</v>
      </c>
      <c r="H133" s="4" t="str">
        <f>HYPERLINK("http://141.218.60.56/~jnz1568/getInfo.php?workbook=06_01.xlsx&amp;sheet=A0&amp;row=133&amp;col=8&amp;number=&amp;sourceID=11","")</f>
        <v/>
      </c>
      <c r="I133" s="4" t="str">
        <f>HYPERLINK("http://141.218.60.56/~jnz1568/getInfo.php?workbook=06_01.xlsx&amp;sheet=A0&amp;row=133&amp;col=9&amp;number=&amp;sourceID=11","")</f>
        <v/>
      </c>
      <c r="J133" s="4" t="str">
        <f>HYPERLINK("http://141.218.60.56/~jnz1568/getInfo.php?workbook=06_01.xlsx&amp;sheet=A0&amp;row=133&amp;col=10&amp;number=&amp;sourceID=11","")</f>
        <v/>
      </c>
      <c r="K133" s="4" t="str">
        <f>HYPERLINK("http://141.218.60.56/~jnz1568/getInfo.php?workbook=06_01.xlsx&amp;sheet=A0&amp;row=133&amp;col=11&amp;number=&amp;sourceID=11","")</f>
        <v/>
      </c>
      <c r="L133" s="4" t="str">
        <f>HYPERLINK("http://141.218.60.56/~jnz1568/getInfo.php?workbook=06_01.xlsx&amp;sheet=A0&amp;row=133&amp;col=12&amp;number=&amp;sourceID=11","")</f>
        <v/>
      </c>
      <c r="M133" s="4" t="str">
        <f>HYPERLINK("http://141.218.60.56/~jnz1568/getInfo.php?workbook=06_01.xlsx&amp;sheet=A0&amp;row=133&amp;col=13&amp;number=1.2538e-07&amp;sourceID=11","1.2538e-07")</f>
        <v>1.2538e-07</v>
      </c>
      <c r="N133" s="4" t="str">
        <f>HYPERLINK("http://141.218.60.56/~jnz1568/getInfo.php?workbook=06_01.xlsx&amp;sheet=A0&amp;row=133&amp;col=14&amp;number=1.2538e-07&amp;sourceID=12","1.2538e-07")</f>
        <v>1.2538e-07</v>
      </c>
      <c r="O133" s="4" t="str">
        <f>HYPERLINK("http://141.218.60.56/~jnz1568/getInfo.php?workbook=06_01.xlsx&amp;sheet=A0&amp;row=133&amp;col=15&amp;number=&amp;sourceID=12","")</f>
        <v/>
      </c>
      <c r="P133" s="4" t="str">
        <f>HYPERLINK("http://141.218.60.56/~jnz1568/getInfo.php?workbook=06_01.xlsx&amp;sheet=A0&amp;row=133&amp;col=16&amp;number=&amp;sourceID=12","")</f>
        <v/>
      </c>
      <c r="Q133" s="4" t="str">
        <f>HYPERLINK("http://141.218.60.56/~jnz1568/getInfo.php?workbook=06_01.xlsx&amp;sheet=A0&amp;row=133&amp;col=17&amp;number=&amp;sourceID=12","")</f>
        <v/>
      </c>
      <c r="R133" s="4" t="str">
        <f>HYPERLINK("http://141.218.60.56/~jnz1568/getInfo.php?workbook=06_01.xlsx&amp;sheet=A0&amp;row=133&amp;col=18&amp;number=&amp;sourceID=12","")</f>
        <v/>
      </c>
      <c r="S133" s="4" t="str">
        <f>HYPERLINK("http://141.218.60.56/~jnz1568/getInfo.php?workbook=06_01.xlsx&amp;sheet=A0&amp;row=133&amp;col=19&amp;number=&amp;sourceID=12","")</f>
        <v/>
      </c>
      <c r="T133" s="4" t="str">
        <f>HYPERLINK("http://141.218.60.56/~jnz1568/getInfo.php?workbook=06_01.xlsx&amp;sheet=A0&amp;row=133&amp;col=20&amp;number=1.2538e-07&amp;sourceID=12","1.2538e-07")</f>
        <v>1.2538e-07</v>
      </c>
      <c r="U133" s="4" t="str">
        <f>HYPERLINK("http://141.218.60.56/~jnz1568/getInfo.php?workbook=06_01.xlsx&amp;sheet=A0&amp;row=133&amp;col=21&amp;number=&amp;sourceID=13","")</f>
        <v/>
      </c>
      <c r="V133" s="4" t="str">
        <f>HYPERLINK("http://141.218.60.56/~jnz1568/getInfo.php?workbook=06_01.xlsx&amp;sheet=A0&amp;row=133&amp;col=22&amp;number=&amp;sourceID=13","")</f>
        <v/>
      </c>
      <c r="W133" s="4" t="str">
        <f>HYPERLINK("http://141.218.60.56/~jnz1568/getInfo.php?workbook=06_01.xlsx&amp;sheet=A0&amp;row=133&amp;col=23&amp;number=&amp;sourceID=13","")</f>
        <v/>
      </c>
      <c r="X133" s="4" t="str">
        <f>HYPERLINK("http://141.218.60.56/~jnz1568/getInfo.php?workbook=06_01.xlsx&amp;sheet=A0&amp;row=133&amp;col=24&amp;number=&amp;sourceID=13","")</f>
        <v/>
      </c>
      <c r="Y133" s="4" t="str">
        <f>HYPERLINK("http://141.218.60.56/~jnz1568/getInfo.php?workbook=06_01.xlsx&amp;sheet=A0&amp;row=133&amp;col=25&amp;number=&amp;sourceID=13","")</f>
        <v/>
      </c>
      <c r="Z133" s="4" t="str">
        <f>HYPERLINK("http://141.218.60.56/~jnz1568/getInfo.php?workbook=06_01.xlsx&amp;sheet=A0&amp;row=133&amp;col=26&amp;number=&amp;sourceID=13","")</f>
        <v/>
      </c>
    </row>
    <row r="134" spans="1:26">
      <c r="A134" s="3">
        <v>6</v>
      </c>
      <c r="B134" s="3">
        <v>1</v>
      </c>
      <c r="C134" s="3">
        <v>18</v>
      </c>
      <c r="D134" s="3">
        <v>1</v>
      </c>
      <c r="E134" s="3">
        <f>((1/(INDEX(E0!J$4:J$28,C134,1)-INDEX(E0!J$4:J$28,D134,1))))*100000000</f>
        <v>0</v>
      </c>
      <c r="F134" s="4" t="str">
        <f>HYPERLINK("http://141.218.60.56/~jnz1568/getInfo.php?workbook=06_01.xlsx&amp;sheet=A0&amp;row=134&amp;col=6&amp;number=&amp;sourceID=18","")</f>
        <v/>
      </c>
      <c r="G134" s="4" t="str">
        <f>HYPERLINK("http://141.218.60.56/~jnz1568/getInfo.php?workbook=06_01.xlsx&amp;sheet=A0&amp;row=134&amp;col=7&amp;number==SUM(H134:M134)&amp;sourceID=11","=SUM(H134:M134)")</f>
        <v>=SUM(H134:M134)</v>
      </c>
      <c r="H134" s="4" t="str">
        <f>HYPERLINK("http://141.218.60.56/~jnz1568/getInfo.php?workbook=06_01.xlsx&amp;sheet=A0&amp;row=134&amp;col=8&amp;number=&amp;sourceID=11","")</f>
        <v/>
      </c>
      <c r="I134" s="4" t="str">
        <f>HYPERLINK("http://141.218.60.56/~jnz1568/getInfo.php?workbook=06_01.xlsx&amp;sheet=A0&amp;row=134&amp;col=9&amp;number=&amp;sourceID=11","")</f>
        <v/>
      </c>
      <c r="J134" s="4" t="str">
        <f>HYPERLINK("http://141.218.60.56/~jnz1568/getInfo.php?workbook=06_01.xlsx&amp;sheet=A0&amp;row=134&amp;col=10&amp;number=&amp;sourceID=11","")</f>
        <v/>
      </c>
      <c r="K134" s="4" t="str">
        <f>HYPERLINK("http://141.218.60.56/~jnz1568/getInfo.php?workbook=06_01.xlsx&amp;sheet=A0&amp;row=134&amp;col=11&amp;number=17.392&amp;sourceID=11","17.392")</f>
        <v>17.392</v>
      </c>
      <c r="L134" s="4" t="str">
        <f>HYPERLINK("http://141.218.60.56/~jnz1568/getInfo.php?workbook=06_01.xlsx&amp;sheet=A0&amp;row=134&amp;col=12&amp;number=&amp;sourceID=11","")</f>
        <v/>
      </c>
      <c r="M134" s="4" t="str">
        <f>HYPERLINK("http://141.218.60.56/~jnz1568/getInfo.php?workbook=06_01.xlsx&amp;sheet=A0&amp;row=134&amp;col=13&amp;number=&amp;sourceID=11","")</f>
        <v/>
      </c>
      <c r="N134" s="4" t="str">
        <f>HYPERLINK("http://141.218.60.56/~jnz1568/getInfo.php?workbook=06_01.xlsx&amp;sheet=A0&amp;row=134&amp;col=14&amp;number=17.391&amp;sourceID=12","17.391")</f>
        <v>17.391</v>
      </c>
      <c r="O134" s="4" t="str">
        <f>HYPERLINK("http://141.218.60.56/~jnz1568/getInfo.php?workbook=06_01.xlsx&amp;sheet=A0&amp;row=134&amp;col=15&amp;number=&amp;sourceID=12","")</f>
        <v/>
      </c>
      <c r="P134" s="4" t="str">
        <f>HYPERLINK("http://141.218.60.56/~jnz1568/getInfo.php?workbook=06_01.xlsx&amp;sheet=A0&amp;row=134&amp;col=16&amp;number=&amp;sourceID=12","")</f>
        <v/>
      </c>
      <c r="Q134" s="4" t="str">
        <f>HYPERLINK("http://141.218.60.56/~jnz1568/getInfo.php?workbook=06_01.xlsx&amp;sheet=A0&amp;row=134&amp;col=17&amp;number=&amp;sourceID=12","")</f>
        <v/>
      </c>
      <c r="R134" s="4" t="str">
        <f>HYPERLINK("http://141.218.60.56/~jnz1568/getInfo.php?workbook=06_01.xlsx&amp;sheet=A0&amp;row=134&amp;col=18&amp;number=17.391&amp;sourceID=12","17.391")</f>
        <v>17.391</v>
      </c>
      <c r="S134" s="4" t="str">
        <f>HYPERLINK("http://141.218.60.56/~jnz1568/getInfo.php?workbook=06_01.xlsx&amp;sheet=A0&amp;row=134&amp;col=19&amp;number=&amp;sourceID=12","")</f>
        <v/>
      </c>
      <c r="T134" s="4" t="str">
        <f>HYPERLINK("http://141.218.60.56/~jnz1568/getInfo.php?workbook=06_01.xlsx&amp;sheet=A0&amp;row=134&amp;col=20&amp;number=&amp;sourceID=12","")</f>
        <v/>
      </c>
      <c r="U134" s="4" t="str">
        <f>HYPERLINK("http://141.218.60.56/~jnz1568/getInfo.php?workbook=06_01.xlsx&amp;sheet=A0&amp;row=134&amp;col=21&amp;number=&amp;sourceID=13","")</f>
        <v/>
      </c>
      <c r="V134" s="4" t="str">
        <f>HYPERLINK("http://141.218.60.56/~jnz1568/getInfo.php?workbook=06_01.xlsx&amp;sheet=A0&amp;row=134&amp;col=22&amp;number=&amp;sourceID=13","")</f>
        <v/>
      </c>
      <c r="W134" s="4" t="str">
        <f>HYPERLINK("http://141.218.60.56/~jnz1568/getInfo.php?workbook=06_01.xlsx&amp;sheet=A0&amp;row=134&amp;col=23&amp;number=&amp;sourceID=13","")</f>
        <v/>
      </c>
      <c r="X134" s="4" t="str">
        <f>HYPERLINK("http://141.218.60.56/~jnz1568/getInfo.php?workbook=06_01.xlsx&amp;sheet=A0&amp;row=134&amp;col=24&amp;number=&amp;sourceID=13","")</f>
        <v/>
      </c>
      <c r="Y134" s="4" t="str">
        <f>HYPERLINK("http://141.218.60.56/~jnz1568/getInfo.php?workbook=06_01.xlsx&amp;sheet=A0&amp;row=134&amp;col=25&amp;number=&amp;sourceID=13","")</f>
        <v/>
      </c>
      <c r="Z134" s="4" t="str">
        <f>HYPERLINK("http://141.218.60.56/~jnz1568/getInfo.php?workbook=06_01.xlsx&amp;sheet=A0&amp;row=134&amp;col=26&amp;number=&amp;sourceID=13","")</f>
        <v/>
      </c>
    </row>
    <row r="135" spans="1:26">
      <c r="A135" s="3">
        <v>6</v>
      </c>
      <c r="B135" s="3">
        <v>1</v>
      </c>
      <c r="C135" s="3">
        <v>18</v>
      </c>
      <c r="D135" s="3">
        <v>2</v>
      </c>
      <c r="E135" s="3">
        <f>((1/(INDEX(E0!J$4:J$28,C135,1)-INDEX(E0!J$4:J$28,D135,1))))*100000000</f>
        <v>0</v>
      </c>
      <c r="F135" s="4" t="str">
        <f>HYPERLINK("http://141.218.60.56/~jnz1568/getInfo.php?workbook=06_01.xlsx&amp;sheet=A0&amp;row=135&amp;col=6&amp;number=&amp;sourceID=18","")</f>
        <v/>
      </c>
      <c r="G135" s="4" t="str">
        <f>HYPERLINK("http://141.218.60.56/~jnz1568/getInfo.php?workbook=06_01.xlsx&amp;sheet=A0&amp;row=135&amp;col=7&amp;number==&amp;sourceID=11","=")</f>
        <v>=</v>
      </c>
      <c r="H135" s="4" t="str">
        <f>HYPERLINK("http://141.218.60.56/~jnz1568/getInfo.php?workbook=06_01.xlsx&amp;sheet=A0&amp;row=135&amp;col=8&amp;number=557590000&amp;sourceID=11","557590000")</f>
        <v>557590000</v>
      </c>
      <c r="I135" s="4" t="str">
        <f>HYPERLINK("http://141.218.60.56/~jnz1568/getInfo.php?workbook=06_01.xlsx&amp;sheet=A0&amp;row=135&amp;col=9&amp;number=&amp;sourceID=11","")</f>
        <v/>
      </c>
      <c r="J135" s="4" t="str">
        <f>HYPERLINK("http://141.218.60.56/~jnz1568/getInfo.php?workbook=06_01.xlsx&amp;sheet=A0&amp;row=135&amp;col=10&amp;number=&amp;sourceID=11","")</f>
        <v/>
      </c>
      <c r="K135" s="4" t="str">
        <f>HYPERLINK("http://141.218.60.56/~jnz1568/getInfo.php?workbook=06_01.xlsx&amp;sheet=A0&amp;row=135&amp;col=11&amp;number=&amp;sourceID=11","")</f>
        <v/>
      </c>
      <c r="L135" s="4" t="str">
        <f>HYPERLINK("http://141.218.60.56/~jnz1568/getInfo.php?workbook=06_01.xlsx&amp;sheet=A0&amp;row=135&amp;col=12&amp;number=&amp;sourceID=11","")</f>
        <v/>
      </c>
      <c r="M135" s="4" t="str">
        <f>HYPERLINK("http://141.218.60.56/~jnz1568/getInfo.php?workbook=06_01.xlsx&amp;sheet=A0&amp;row=135&amp;col=13&amp;number=&amp;sourceID=11","")</f>
        <v/>
      </c>
      <c r="N135" s="4" t="str">
        <f>HYPERLINK("http://141.218.60.56/~jnz1568/getInfo.php?workbook=06_01.xlsx&amp;sheet=A0&amp;row=135&amp;col=14&amp;number=557610000&amp;sourceID=12","557610000")</f>
        <v>557610000</v>
      </c>
      <c r="O135" s="4" t="str">
        <f>HYPERLINK("http://141.218.60.56/~jnz1568/getInfo.php?workbook=06_01.xlsx&amp;sheet=A0&amp;row=135&amp;col=15&amp;number=557610000&amp;sourceID=12","557610000")</f>
        <v>557610000</v>
      </c>
      <c r="P135" s="4" t="str">
        <f>HYPERLINK("http://141.218.60.56/~jnz1568/getInfo.php?workbook=06_01.xlsx&amp;sheet=A0&amp;row=135&amp;col=16&amp;number=&amp;sourceID=12","")</f>
        <v/>
      </c>
      <c r="Q135" s="4" t="str">
        <f>HYPERLINK("http://141.218.60.56/~jnz1568/getInfo.php?workbook=06_01.xlsx&amp;sheet=A0&amp;row=135&amp;col=17&amp;number=&amp;sourceID=12","")</f>
        <v/>
      </c>
      <c r="R135" s="4" t="str">
        <f>HYPERLINK("http://141.218.60.56/~jnz1568/getInfo.php?workbook=06_01.xlsx&amp;sheet=A0&amp;row=135&amp;col=18&amp;number=&amp;sourceID=12","")</f>
        <v/>
      </c>
      <c r="S135" s="4" t="str">
        <f>HYPERLINK("http://141.218.60.56/~jnz1568/getInfo.php?workbook=06_01.xlsx&amp;sheet=A0&amp;row=135&amp;col=19&amp;number=&amp;sourceID=12","")</f>
        <v/>
      </c>
      <c r="T135" s="4" t="str">
        <f>HYPERLINK("http://141.218.60.56/~jnz1568/getInfo.php?workbook=06_01.xlsx&amp;sheet=A0&amp;row=135&amp;col=20&amp;number=&amp;sourceID=12","")</f>
        <v/>
      </c>
      <c r="U135" s="4" t="str">
        <f>HYPERLINK("http://141.218.60.56/~jnz1568/getInfo.php?workbook=06_01.xlsx&amp;sheet=A0&amp;row=135&amp;col=21&amp;number=&amp;sourceID=13","")</f>
        <v/>
      </c>
      <c r="V135" s="4" t="str">
        <f>HYPERLINK("http://141.218.60.56/~jnz1568/getInfo.php?workbook=06_01.xlsx&amp;sheet=A0&amp;row=135&amp;col=22&amp;number=&amp;sourceID=13","")</f>
        <v/>
      </c>
      <c r="W135" s="4" t="str">
        <f>HYPERLINK("http://141.218.60.56/~jnz1568/getInfo.php?workbook=06_01.xlsx&amp;sheet=A0&amp;row=135&amp;col=23&amp;number=&amp;sourceID=13","")</f>
        <v/>
      </c>
      <c r="X135" s="4" t="str">
        <f>HYPERLINK("http://141.218.60.56/~jnz1568/getInfo.php?workbook=06_01.xlsx&amp;sheet=A0&amp;row=135&amp;col=24&amp;number=&amp;sourceID=13","")</f>
        <v/>
      </c>
      <c r="Y135" s="4" t="str">
        <f>HYPERLINK("http://141.218.60.56/~jnz1568/getInfo.php?workbook=06_01.xlsx&amp;sheet=A0&amp;row=135&amp;col=25&amp;number=&amp;sourceID=13","")</f>
        <v/>
      </c>
      <c r="Z135" s="4" t="str">
        <f>HYPERLINK("http://141.218.60.56/~jnz1568/getInfo.php?workbook=06_01.xlsx&amp;sheet=A0&amp;row=135&amp;col=26&amp;number=&amp;sourceID=13","")</f>
        <v/>
      </c>
    </row>
    <row r="136" spans="1:26">
      <c r="A136" s="3">
        <v>6</v>
      </c>
      <c r="B136" s="3">
        <v>1</v>
      </c>
      <c r="C136" s="3">
        <v>18</v>
      </c>
      <c r="D136" s="3">
        <v>3</v>
      </c>
      <c r="E136" s="3">
        <f>((1/(INDEX(E0!J$4:J$28,C136,1)-INDEX(E0!J$4:J$28,D136,1))))*100000000</f>
        <v>0</v>
      </c>
      <c r="F136" s="4" t="str">
        <f>HYPERLINK("http://141.218.60.56/~jnz1568/getInfo.php?workbook=06_01.xlsx&amp;sheet=A0&amp;row=136&amp;col=6&amp;number=&amp;sourceID=18","")</f>
        <v/>
      </c>
      <c r="G136" s="4" t="str">
        <f>HYPERLINK("http://141.218.60.56/~jnz1568/getInfo.php?workbook=06_01.xlsx&amp;sheet=A0&amp;row=136&amp;col=7&amp;number==&amp;sourceID=11","=")</f>
        <v>=</v>
      </c>
      <c r="H136" s="4" t="str">
        <f>HYPERLINK("http://141.218.60.56/~jnz1568/getInfo.php?workbook=06_01.xlsx&amp;sheet=A0&amp;row=136&amp;col=8&amp;number=&amp;sourceID=11","")</f>
        <v/>
      </c>
      <c r="I136" s="4" t="str">
        <f>HYPERLINK("http://141.218.60.56/~jnz1568/getInfo.php?workbook=06_01.xlsx&amp;sheet=A0&amp;row=136&amp;col=9&amp;number=&amp;sourceID=11","")</f>
        <v/>
      </c>
      <c r="J136" s="4" t="str">
        <f>HYPERLINK("http://141.218.60.56/~jnz1568/getInfo.php?workbook=06_01.xlsx&amp;sheet=A0&amp;row=136&amp;col=10&amp;number=&amp;sourceID=11","")</f>
        <v/>
      </c>
      <c r="K136" s="4" t="str">
        <f>HYPERLINK("http://141.218.60.56/~jnz1568/getInfo.php?workbook=06_01.xlsx&amp;sheet=A0&amp;row=136&amp;col=11&amp;number=0.065597&amp;sourceID=11","0.065597")</f>
        <v>0.065597</v>
      </c>
      <c r="L136" s="4" t="str">
        <f>HYPERLINK("http://141.218.60.56/~jnz1568/getInfo.php?workbook=06_01.xlsx&amp;sheet=A0&amp;row=136&amp;col=12&amp;number=&amp;sourceID=11","")</f>
        <v/>
      </c>
      <c r="M136" s="4" t="str">
        <f>HYPERLINK("http://141.218.60.56/~jnz1568/getInfo.php?workbook=06_01.xlsx&amp;sheet=A0&amp;row=136&amp;col=13&amp;number=&amp;sourceID=11","")</f>
        <v/>
      </c>
      <c r="N136" s="4" t="str">
        <f>HYPERLINK("http://141.218.60.56/~jnz1568/getInfo.php?workbook=06_01.xlsx&amp;sheet=A0&amp;row=136&amp;col=14&amp;number=0.065573&amp;sourceID=12","0.065573")</f>
        <v>0.065573</v>
      </c>
      <c r="O136" s="4" t="str">
        <f>HYPERLINK("http://141.218.60.56/~jnz1568/getInfo.php?workbook=06_01.xlsx&amp;sheet=A0&amp;row=136&amp;col=15&amp;number=&amp;sourceID=12","")</f>
        <v/>
      </c>
      <c r="P136" s="4" t="str">
        <f>HYPERLINK("http://141.218.60.56/~jnz1568/getInfo.php?workbook=06_01.xlsx&amp;sheet=A0&amp;row=136&amp;col=16&amp;number=&amp;sourceID=12","")</f>
        <v/>
      </c>
      <c r="Q136" s="4" t="str">
        <f>HYPERLINK("http://141.218.60.56/~jnz1568/getInfo.php?workbook=06_01.xlsx&amp;sheet=A0&amp;row=136&amp;col=17&amp;number=&amp;sourceID=12","")</f>
        <v/>
      </c>
      <c r="R136" s="4" t="str">
        <f>HYPERLINK("http://141.218.60.56/~jnz1568/getInfo.php?workbook=06_01.xlsx&amp;sheet=A0&amp;row=136&amp;col=18&amp;number=0.065573&amp;sourceID=12","0.065573")</f>
        <v>0.065573</v>
      </c>
      <c r="S136" s="4" t="str">
        <f>HYPERLINK("http://141.218.60.56/~jnz1568/getInfo.php?workbook=06_01.xlsx&amp;sheet=A0&amp;row=136&amp;col=19&amp;number=&amp;sourceID=12","")</f>
        <v/>
      </c>
      <c r="T136" s="4" t="str">
        <f>HYPERLINK("http://141.218.60.56/~jnz1568/getInfo.php?workbook=06_01.xlsx&amp;sheet=A0&amp;row=136&amp;col=20&amp;number=&amp;sourceID=12","")</f>
        <v/>
      </c>
      <c r="U136" s="4" t="str">
        <f>HYPERLINK("http://141.218.60.56/~jnz1568/getInfo.php?workbook=06_01.xlsx&amp;sheet=A0&amp;row=136&amp;col=21&amp;number=&amp;sourceID=13","")</f>
        <v/>
      </c>
      <c r="V136" s="4" t="str">
        <f>HYPERLINK("http://141.218.60.56/~jnz1568/getInfo.php?workbook=06_01.xlsx&amp;sheet=A0&amp;row=136&amp;col=22&amp;number=&amp;sourceID=13","")</f>
        <v/>
      </c>
      <c r="W136" s="4" t="str">
        <f>HYPERLINK("http://141.218.60.56/~jnz1568/getInfo.php?workbook=06_01.xlsx&amp;sheet=A0&amp;row=136&amp;col=23&amp;number=&amp;sourceID=13","")</f>
        <v/>
      </c>
      <c r="X136" s="4" t="str">
        <f>HYPERLINK("http://141.218.60.56/~jnz1568/getInfo.php?workbook=06_01.xlsx&amp;sheet=A0&amp;row=136&amp;col=24&amp;number=&amp;sourceID=13","")</f>
        <v/>
      </c>
      <c r="Y136" s="4" t="str">
        <f>HYPERLINK("http://141.218.60.56/~jnz1568/getInfo.php?workbook=06_01.xlsx&amp;sheet=A0&amp;row=136&amp;col=25&amp;number=&amp;sourceID=13","")</f>
        <v/>
      </c>
      <c r="Z136" s="4" t="str">
        <f>HYPERLINK("http://141.218.60.56/~jnz1568/getInfo.php?workbook=06_01.xlsx&amp;sheet=A0&amp;row=136&amp;col=26&amp;number=&amp;sourceID=13","")</f>
        <v/>
      </c>
    </row>
    <row r="137" spans="1:26">
      <c r="A137" s="3">
        <v>6</v>
      </c>
      <c r="B137" s="3">
        <v>1</v>
      </c>
      <c r="C137" s="3">
        <v>18</v>
      </c>
      <c r="D137" s="3">
        <v>4</v>
      </c>
      <c r="E137" s="3">
        <f>((1/(INDEX(E0!J$4:J$28,C137,1)-INDEX(E0!J$4:J$28,D137,1))))*100000000</f>
        <v>0</v>
      </c>
      <c r="F137" s="4" t="str">
        <f>HYPERLINK("http://141.218.60.56/~jnz1568/getInfo.php?workbook=06_01.xlsx&amp;sheet=A0&amp;row=137&amp;col=6&amp;number=&amp;sourceID=18","")</f>
        <v/>
      </c>
      <c r="G137" s="4" t="str">
        <f>HYPERLINK("http://141.218.60.56/~jnz1568/getInfo.php?workbook=06_01.xlsx&amp;sheet=A0&amp;row=137&amp;col=7&amp;number==&amp;sourceID=11","=")</f>
        <v>=</v>
      </c>
      <c r="H137" s="4" t="str">
        <f>HYPERLINK("http://141.218.60.56/~jnz1568/getInfo.php?workbook=06_01.xlsx&amp;sheet=A0&amp;row=137&amp;col=8&amp;number=1119300000&amp;sourceID=11","1119300000")</f>
        <v>1119300000</v>
      </c>
      <c r="I137" s="4" t="str">
        <f>HYPERLINK("http://141.218.60.56/~jnz1568/getInfo.php?workbook=06_01.xlsx&amp;sheet=A0&amp;row=137&amp;col=9&amp;number=&amp;sourceID=11","")</f>
        <v/>
      </c>
      <c r="J137" s="4" t="str">
        <f>HYPERLINK("http://141.218.60.56/~jnz1568/getInfo.php?workbook=06_01.xlsx&amp;sheet=A0&amp;row=137&amp;col=10&amp;number=&amp;sourceID=11","")</f>
        <v/>
      </c>
      <c r="K137" s="4" t="str">
        <f>HYPERLINK("http://141.218.60.56/~jnz1568/getInfo.php?workbook=06_01.xlsx&amp;sheet=A0&amp;row=137&amp;col=11&amp;number=&amp;sourceID=11","")</f>
        <v/>
      </c>
      <c r="L137" s="4" t="str">
        <f>HYPERLINK("http://141.218.60.56/~jnz1568/getInfo.php?workbook=06_01.xlsx&amp;sheet=A0&amp;row=137&amp;col=12&amp;number=8.5082&amp;sourceID=11","8.5082")</f>
        <v>8.5082</v>
      </c>
      <c r="M137" s="4" t="str">
        <f>HYPERLINK("http://141.218.60.56/~jnz1568/getInfo.php?workbook=06_01.xlsx&amp;sheet=A0&amp;row=137&amp;col=13&amp;number=&amp;sourceID=11","")</f>
        <v/>
      </c>
      <c r="N137" s="4" t="str">
        <f>HYPERLINK("http://141.218.60.56/~jnz1568/getInfo.php?workbook=06_01.xlsx&amp;sheet=A0&amp;row=137&amp;col=14&amp;number=1119300000&amp;sourceID=12","1119300000")</f>
        <v>1119300000</v>
      </c>
      <c r="O137" s="4" t="str">
        <f>HYPERLINK("http://141.218.60.56/~jnz1568/getInfo.php?workbook=06_01.xlsx&amp;sheet=A0&amp;row=137&amp;col=15&amp;number=1119300000&amp;sourceID=12","1119300000")</f>
        <v>1119300000</v>
      </c>
      <c r="P137" s="4" t="str">
        <f>HYPERLINK("http://141.218.60.56/~jnz1568/getInfo.php?workbook=06_01.xlsx&amp;sheet=A0&amp;row=137&amp;col=16&amp;number=&amp;sourceID=12","")</f>
        <v/>
      </c>
      <c r="Q137" s="4" t="str">
        <f>HYPERLINK("http://141.218.60.56/~jnz1568/getInfo.php?workbook=06_01.xlsx&amp;sheet=A0&amp;row=137&amp;col=17&amp;number=&amp;sourceID=12","")</f>
        <v/>
      </c>
      <c r="R137" s="4" t="str">
        <f>HYPERLINK("http://141.218.60.56/~jnz1568/getInfo.php?workbook=06_01.xlsx&amp;sheet=A0&amp;row=137&amp;col=18&amp;number=&amp;sourceID=12","")</f>
        <v/>
      </c>
      <c r="S137" s="4" t="str">
        <f>HYPERLINK("http://141.218.60.56/~jnz1568/getInfo.php?workbook=06_01.xlsx&amp;sheet=A0&amp;row=137&amp;col=19&amp;number=8.5086&amp;sourceID=12","8.5086")</f>
        <v>8.5086</v>
      </c>
      <c r="T137" s="4" t="str">
        <f>HYPERLINK("http://141.218.60.56/~jnz1568/getInfo.php?workbook=06_01.xlsx&amp;sheet=A0&amp;row=137&amp;col=20&amp;number=&amp;sourceID=12","")</f>
        <v/>
      </c>
      <c r="U137" s="4" t="str">
        <f>HYPERLINK("http://141.218.60.56/~jnz1568/getInfo.php?workbook=06_01.xlsx&amp;sheet=A0&amp;row=137&amp;col=21&amp;number=&amp;sourceID=13","")</f>
        <v/>
      </c>
      <c r="V137" s="4" t="str">
        <f>HYPERLINK("http://141.218.60.56/~jnz1568/getInfo.php?workbook=06_01.xlsx&amp;sheet=A0&amp;row=137&amp;col=22&amp;number=&amp;sourceID=13","")</f>
        <v/>
      </c>
      <c r="W137" s="4" t="str">
        <f>HYPERLINK("http://141.218.60.56/~jnz1568/getInfo.php?workbook=06_01.xlsx&amp;sheet=A0&amp;row=137&amp;col=23&amp;number=&amp;sourceID=13","")</f>
        <v/>
      </c>
      <c r="X137" s="4" t="str">
        <f>HYPERLINK("http://141.218.60.56/~jnz1568/getInfo.php?workbook=06_01.xlsx&amp;sheet=A0&amp;row=137&amp;col=24&amp;number=&amp;sourceID=13","")</f>
        <v/>
      </c>
      <c r="Y137" s="4" t="str">
        <f>HYPERLINK("http://141.218.60.56/~jnz1568/getInfo.php?workbook=06_01.xlsx&amp;sheet=A0&amp;row=137&amp;col=25&amp;number=&amp;sourceID=13","")</f>
        <v/>
      </c>
      <c r="Z137" s="4" t="str">
        <f>HYPERLINK("http://141.218.60.56/~jnz1568/getInfo.php?workbook=06_01.xlsx&amp;sheet=A0&amp;row=137&amp;col=26&amp;number=&amp;sourceID=13","")</f>
        <v/>
      </c>
    </row>
    <row r="138" spans="1:26">
      <c r="A138" s="3">
        <v>6</v>
      </c>
      <c r="B138" s="3">
        <v>1</v>
      </c>
      <c r="C138" s="3">
        <v>18</v>
      </c>
      <c r="D138" s="3">
        <v>5</v>
      </c>
      <c r="E138" s="3">
        <f>((1/(INDEX(E0!J$4:J$28,C138,1)-INDEX(E0!J$4:J$28,D138,1))))*100000000</f>
        <v>0</v>
      </c>
      <c r="F138" s="4" t="str">
        <f>HYPERLINK("http://141.218.60.56/~jnz1568/getInfo.php?workbook=06_01.xlsx&amp;sheet=A0&amp;row=138&amp;col=6&amp;number=&amp;sourceID=18","")</f>
        <v/>
      </c>
      <c r="G138" s="4" t="str">
        <f>HYPERLINK("http://141.218.60.56/~jnz1568/getInfo.php?workbook=06_01.xlsx&amp;sheet=A0&amp;row=138&amp;col=7&amp;number==&amp;sourceID=11","=")</f>
        <v>=</v>
      </c>
      <c r="H138" s="4" t="str">
        <f>HYPERLINK("http://141.218.60.56/~jnz1568/getInfo.php?workbook=06_01.xlsx&amp;sheet=A0&amp;row=138&amp;col=8&amp;number=391380000&amp;sourceID=11","391380000")</f>
        <v>391380000</v>
      </c>
      <c r="I138" s="4" t="str">
        <f>HYPERLINK("http://141.218.60.56/~jnz1568/getInfo.php?workbook=06_01.xlsx&amp;sheet=A0&amp;row=138&amp;col=9&amp;number=&amp;sourceID=11","")</f>
        <v/>
      </c>
      <c r="J138" s="4" t="str">
        <f>HYPERLINK("http://141.218.60.56/~jnz1568/getInfo.php?workbook=06_01.xlsx&amp;sheet=A0&amp;row=138&amp;col=10&amp;number=&amp;sourceID=11","")</f>
        <v/>
      </c>
      <c r="K138" s="4" t="str">
        <f>HYPERLINK("http://141.218.60.56/~jnz1568/getInfo.php?workbook=06_01.xlsx&amp;sheet=A0&amp;row=138&amp;col=11&amp;number=&amp;sourceID=11","")</f>
        <v/>
      </c>
      <c r="L138" s="4" t="str">
        <f>HYPERLINK("http://141.218.60.56/~jnz1568/getInfo.php?workbook=06_01.xlsx&amp;sheet=A0&amp;row=138&amp;col=12&amp;number=&amp;sourceID=11","")</f>
        <v/>
      </c>
      <c r="M138" s="4" t="str">
        <f>HYPERLINK("http://141.218.60.56/~jnz1568/getInfo.php?workbook=06_01.xlsx&amp;sheet=A0&amp;row=138&amp;col=13&amp;number=&amp;sourceID=11","")</f>
        <v/>
      </c>
      <c r="N138" s="4" t="str">
        <f>HYPERLINK("http://141.218.60.56/~jnz1568/getInfo.php?workbook=06_01.xlsx&amp;sheet=A0&amp;row=138&amp;col=14&amp;number=391400000&amp;sourceID=12","391400000")</f>
        <v>391400000</v>
      </c>
      <c r="O138" s="4" t="str">
        <f>HYPERLINK("http://141.218.60.56/~jnz1568/getInfo.php?workbook=06_01.xlsx&amp;sheet=A0&amp;row=138&amp;col=15&amp;number=391400000&amp;sourceID=12","391400000")</f>
        <v>391400000</v>
      </c>
      <c r="P138" s="4" t="str">
        <f>HYPERLINK("http://141.218.60.56/~jnz1568/getInfo.php?workbook=06_01.xlsx&amp;sheet=A0&amp;row=138&amp;col=16&amp;number=&amp;sourceID=12","")</f>
        <v/>
      </c>
      <c r="Q138" s="4" t="str">
        <f>HYPERLINK("http://141.218.60.56/~jnz1568/getInfo.php?workbook=06_01.xlsx&amp;sheet=A0&amp;row=138&amp;col=17&amp;number=&amp;sourceID=12","")</f>
        <v/>
      </c>
      <c r="R138" s="4" t="str">
        <f>HYPERLINK("http://141.218.60.56/~jnz1568/getInfo.php?workbook=06_01.xlsx&amp;sheet=A0&amp;row=138&amp;col=18&amp;number=&amp;sourceID=12","")</f>
        <v/>
      </c>
      <c r="S138" s="4" t="str">
        <f>HYPERLINK("http://141.218.60.56/~jnz1568/getInfo.php?workbook=06_01.xlsx&amp;sheet=A0&amp;row=138&amp;col=19&amp;number=&amp;sourceID=12","")</f>
        <v/>
      </c>
      <c r="T138" s="4" t="str">
        <f>HYPERLINK("http://141.218.60.56/~jnz1568/getInfo.php?workbook=06_01.xlsx&amp;sheet=A0&amp;row=138&amp;col=20&amp;number=&amp;sourceID=12","")</f>
        <v/>
      </c>
      <c r="U138" s="4" t="str">
        <f>HYPERLINK("http://141.218.60.56/~jnz1568/getInfo.php?workbook=06_01.xlsx&amp;sheet=A0&amp;row=138&amp;col=21&amp;number=&amp;sourceID=13","")</f>
        <v/>
      </c>
      <c r="V138" s="4" t="str">
        <f>HYPERLINK("http://141.218.60.56/~jnz1568/getInfo.php?workbook=06_01.xlsx&amp;sheet=A0&amp;row=138&amp;col=22&amp;number=&amp;sourceID=13","")</f>
        <v/>
      </c>
      <c r="W138" s="4" t="str">
        <f>HYPERLINK("http://141.218.60.56/~jnz1568/getInfo.php?workbook=06_01.xlsx&amp;sheet=A0&amp;row=138&amp;col=23&amp;number=&amp;sourceID=13","")</f>
        <v/>
      </c>
      <c r="X138" s="4" t="str">
        <f>HYPERLINK("http://141.218.60.56/~jnz1568/getInfo.php?workbook=06_01.xlsx&amp;sheet=A0&amp;row=138&amp;col=24&amp;number=&amp;sourceID=13","")</f>
        <v/>
      </c>
      <c r="Y138" s="4" t="str">
        <f>HYPERLINK("http://141.218.60.56/~jnz1568/getInfo.php?workbook=06_01.xlsx&amp;sheet=A0&amp;row=138&amp;col=25&amp;number=&amp;sourceID=13","")</f>
        <v/>
      </c>
      <c r="Z138" s="4" t="str">
        <f>HYPERLINK("http://141.218.60.56/~jnz1568/getInfo.php?workbook=06_01.xlsx&amp;sheet=A0&amp;row=138&amp;col=26&amp;number=&amp;sourceID=13","")</f>
        <v/>
      </c>
    </row>
    <row r="139" spans="1:26">
      <c r="A139" s="3">
        <v>6</v>
      </c>
      <c r="B139" s="3">
        <v>1</v>
      </c>
      <c r="C139" s="3">
        <v>18</v>
      </c>
      <c r="D139" s="3">
        <v>6</v>
      </c>
      <c r="E139" s="3">
        <f>((1/(INDEX(E0!J$4:J$28,C139,1)-INDEX(E0!J$4:J$28,D139,1))))*100000000</f>
        <v>0</v>
      </c>
      <c r="F139" s="4" t="str">
        <f>HYPERLINK("http://141.218.60.56/~jnz1568/getInfo.php?workbook=06_01.xlsx&amp;sheet=A0&amp;row=139&amp;col=6&amp;number=&amp;sourceID=18","")</f>
        <v/>
      </c>
      <c r="G139" s="4" t="str">
        <f>HYPERLINK("http://141.218.60.56/~jnz1568/getInfo.php?workbook=06_01.xlsx&amp;sheet=A0&amp;row=139&amp;col=7&amp;number==&amp;sourceID=11","=")</f>
        <v>=</v>
      </c>
      <c r="H139" s="4" t="str">
        <f>HYPERLINK("http://141.218.60.56/~jnz1568/getInfo.php?workbook=06_01.xlsx&amp;sheet=A0&amp;row=139&amp;col=8&amp;number=&amp;sourceID=11","")</f>
        <v/>
      </c>
      <c r="I139" s="4" t="str">
        <f>HYPERLINK("http://141.218.60.56/~jnz1568/getInfo.php?workbook=06_01.xlsx&amp;sheet=A0&amp;row=139&amp;col=9&amp;number=&amp;sourceID=11","")</f>
        <v/>
      </c>
      <c r="J139" s="4" t="str">
        <f>HYPERLINK("http://141.218.60.56/~jnz1568/getInfo.php?workbook=06_01.xlsx&amp;sheet=A0&amp;row=139&amp;col=10&amp;number=&amp;sourceID=11","")</f>
        <v/>
      </c>
      <c r="K139" s="4" t="str">
        <f>HYPERLINK("http://141.218.60.56/~jnz1568/getInfo.php?workbook=06_01.xlsx&amp;sheet=A0&amp;row=139&amp;col=11&amp;number=0.0015683&amp;sourceID=11","0.0015683")</f>
        <v>0.0015683</v>
      </c>
      <c r="L139" s="4" t="str">
        <f>HYPERLINK("http://141.218.60.56/~jnz1568/getInfo.php?workbook=06_01.xlsx&amp;sheet=A0&amp;row=139&amp;col=12&amp;number=&amp;sourceID=11","")</f>
        <v/>
      </c>
      <c r="M139" s="4" t="str">
        <f>HYPERLINK("http://141.218.60.56/~jnz1568/getInfo.php?workbook=06_01.xlsx&amp;sheet=A0&amp;row=139&amp;col=13&amp;number=&amp;sourceID=11","")</f>
        <v/>
      </c>
      <c r="N139" s="4" t="str">
        <f>HYPERLINK("http://141.218.60.56/~jnz1568/getInfo.php?workbook=06_01.xlsx&amp;sheet=A0&amp;row=139&amp;col=14&amp;number=0.0015684&amp;sourceID=12","0.0015684")</f>
        <v>0.0015684</v>
      </c>
      <c r="O139" s="4" t="str">
        <f>HYPERLINK("http://141.218.60.56/~jnz1568/getInfo.php?workbook=06_01.xlsx&amp;sheet=A0&amp;row=139&amp;col=15&amp;number=&amp;sourceID=12","")</f>
        <v/>
      </c>
      <c r="P139" s="4" t="str">
        <f>HYPERLINK("http://141.218.60.56/~jnz1568/getInfo.php?workbook=06_01.xlsx&amp;sheet=A0&amp;row=139&amp;col=16&amp;number=&amp;sourceID=12","")</f>
        <v/>
      </c>
      <c r="Q139" s="4" t="str">
        <f>HYPERLINK("http://141.218.60.56/~jnz1568/getInfo.php?workbook=06_01.xlsx&amp;sheet=A0&amp;row=139&amp;col=17&amp;number=&amp;sourceID=12","")</f>
        <v/>
      </c>
      <c r="R139" s="4" t="str">
        <f>HYPERLINK("http://141.218.60.56/~jnz1568/getInfo.php?workbook=06_01.xlsx&amp;sheet=A0&amp;row=139&amp;col=18&amp;number=0.0015684&amp;sourceID=12","0.0015684")</f>
        <v>0.0015684</v>
      </c>
      <c r="S139" s="4" t="str">
        <f>HYPERLINK("http://141.218.60.56/~jnz1568/getInfo.php?workbook=06_01.xlsx&amp;sheet=A0&amp;row=139&amp;col=19&amp;number=&amp;sourceID=12","")</f>
        <v/>
      </c>
      <c r="T139" s="4" t="str">
        <f>HYPERLINK("http://141.218.60.56/~jnz1568/getInfo.php?workbook=06_01.xlsx&amp;sheet=A0&amp;row=139&amp;col=20&amp;number=&amp;sourceID=12","")</f>
        <v/>
      </c>
      <c r="U139" s="4" t="str">
        <f>HYPERLINK("http://141.218.60.56/~jnz1568/getInfo.php?workbook=06_01.xlsx&amp;sheet=A0&amp;row=139&amp;col=21&amp;number=&amp;sourceID=13","")</f>
        <v/>
      </c>
      <c r="V139" s="4" t="str">
        <f>HYPERLINK("http://141.218.60.56/~jnz1568/getInfo.php?workbook=06_01.xlsx&amp;sheet=A0&amp;row=139&amp;col=22&amp;number=&amp;sourceID=13","")</f>
        <v/>
      </c>
      <c r="W139" s="4" t="str">
        <f>HYPERLINK("http://141.218.60.56/~jnz1568/getInfo.php?workbook=06_01.xlsx&amp;sheet=A0&amp;row=139&amp;col=23&amp;number=&amp;sourceID=13","")</f>
        <v/>
      </c>
      <c r="X139" s="4" t="str">
        <f>HYPERLINK("http://141.218.60.56/~jnz1568/getInfo.php?workbook=06_01.xlsx&amp;sheet=A0&amp;row=139&amp;col=24&amp;number=&amp;sourceID=13","")</f>
        <v/>
      </c>
      <c r="Y139" s="4" t="str">
        <f>HYPERLINK("http://141.218.60.56/~jnz1568/getInfo.php?workbook=06_01.xlsx&amp;sheet=A0&amp;row=139&amp;col=25&amp;number=&amp;sourceID=13","")</f>
        <v/>
      </c>
      <c r="Z139" s="4" t="str">
        <f>HYPERLINK("http://141.218.60.56/~jnz1568/getInfo.php?workbook=06_01.xlsx&amp;sheet=A0&amp;row=139&amp;col=26&amp;number=&amp;sourceID=13","")</f>
        <v/>
      </c>
    </row>
    <row r="140" spans="1:26">
      <c r="A140" s="3">
        <v>6</v>
      </c>
      <c r="B140" s="3">
        <v>1</v>
      </c>
      <c r="C140" s="3">
        <v>18</v>
      </c>
      <c r="D140" s="3">
        <v>7</v>
      </c>
      <c r="E140" s="3">
        <f>((1/(INDEX(E0!J$4:J$28,C140,1)-INDEX(E0!J$4:J$28,D140,1))))*100000000</f>
        <v>0</v>
      </c>
      <c r="F140" s="4" t="str">
        <f>HYPERLINK("http://141.218.60.56/~jnz1568/getInfo.php?workbook=06_01.xlsx&amp;sheet=A0&amp;row=140&amp;col=6&amp;number=&amp;sourceID=18","")</f>
        <v/>
      </c>
      <c r="G140" s="4" t="str">
        <f>HYPERLINK("http://141.218.60.56/~jnz1568/getInfo.php?workbook=06_01.xlsx&amp;sheet=A0&amp;row=140&amp;col=7&amp;number==&amp;sourceID=11","=")</f>
        <v>=</v>
      </c>
      <c r="H140" s="4" t="str">
        <f>HYPERLINK("http://141.218.60.56/~jnz1568/getInfo.php?workbook=06_01.xlsx&amp;sheet=A0&amp;row=140&amp;col=8&amp;number=&amp;sourceID=11","")</f>
        <v/>
      </c>
      <c r="I140" s="4" t="str">
        <f>HYPERLINK("http://141.218.60.56/~jnz1568/getInfo.php?workbook=06_01.xlsx&amp;sheet=A0&amp;row=140&amp;col=9&amp;number=11943&amp;sourceID=11","11943")</f>
        <v>11943</v>
      </c>
      <c r="J140" s="4" t="str">
        <f>HYPERLINK("http://141.218.60.56/~jnz1568/getInfo.php?workbook=06_01.xlsx&amp;sheet=A0&amp;row=140&amp;col=10&amp;number=&amp;sourceID=11","")</f>
        <v/>
      </c>
      <c r="K140" s="4" t="str">
        <f>HYPERLINK("http://141.218.60.56/~jnz1568/getInfo.php?workbook=06_01.xlsx&amp;sheet=A0&amp;row=140&amp;col=11&amp;number=2.0575e-07&amp;sourceID=11","2.0575e-07")</f>
        <v>2.0575e-07</v>
      </c>
      <c r="L140" s="4" t="str">
        <f>HYPERLINK("http://141.218.60.56/~jnz1568/getInfo.php?workbook=06_01.xlsx&amp;sheet=A0&amp;row=140&amp;col=12&amp;number=&amp;sourceID=11","")</f>
        <v/>
      </c>
      <c r="M140" s="4" t="str">
        <f>HYPERLINK("http://141.218.60.56/~jnz1568/getInfo.php?workbook=06_01.xlsx&amp;sheet=A0&amp;row=140&amp;col=13&amp;number=&amp;sourceID=11","")</f>
        <v/>
      </c>
      <c r="N140" s="4" t="str">
        <f>HYPERLINK("http://141.218.60.56/~jnz1568/getInfo.php?workbook=06_01.xlsx&amp;sheet=A0&amp;row=140&amp;col=14&amp;number=11944&amp;sourceID=12","11944")</f>
        <v>11944</v>
      </c>
      <c r="O140" s="4" t="str">
        <f>HYPERLINK("http://141.218.60.56/~jnz1568/getInfo.php?workbook=06_01.xlsx&amp;sheet=A0&amp;row=140&amp;col=15&amp;number=&amp;sourceID=12","")</f>
        <v/>
      </c>
      <c r="P140" s="4" t="str">
        <f>HYPERLINK("http://141.218.60.56/~jnz1568/getInfo.php?workbook=06_01.xlsx&amp;sheet=A0&amp;row=140&amp;col=16&amp;number=11944&amp;sourceID=12","11944")</f>
        <v>11944</v>
      </c>
      <c r="Q140" s="4" t="str">
        <f>HYPERLINK("http://141.218.60.56/~jnz1568/getInfo.php?workbook=06_01.xlsx&amp;sheet=A0&amp;row=140&amp;col=17&amp;number=&amp;sourceID=12","")</f>
        <v/>
      </c>
      <c r="R140" s="4" t="str">
        <f>HYPERLINK("http://141.218.60.56/~jnz1568/getInfo.php?workbook=06_01.xlsx&amp;sheet=A0&amp;row=140&amp;col=18&amp;number=2.0362e-07&amp;sourceID=12","2.0362e-07")</f>
        <v>2.0362e-07</v>
      </c>
      <c r="S140" s="4" t="str">
        <f>HYPERLINK("http://141.218.60.56/~jnz1568/getInfo.php?workbook=06_01.xlsx&amp;sheet=A0&amp;row=140&amp;col=19&amp;number=&amp;sourceID=12","")</f>
        <v/>
      </c>
      <c r="T140" s="4" t="str">
        <f>HYPERLINK("http://141.218.60.56/~jnz1568/getInfo.php?workbook=06_01.xlsx&amp;sheet=A0&amp;row=140&amp;col=20&amp;number=&amp;sourceID=12","")</f>
        <v/>
      </c>
      <c r="U140" s="4" t="str">
        <f>HYPERLINK("http://141.218.60.56/~jnz1568/getInfo.php?workbook=06_01.xlsx&amp;sheet=A0&amp;row=140&amp;col=21&amp;number=&amp;sourceID=13","")</f>
        <v/>
      </c>
      <c r="V140" s="4" t="str">
        <f>HYPERLINK("http://141.218.60.56/~jnz1568/getInfo.php?workbook=06_01.xlsx&amp;sheet=A0&amp;row=140&amp;col=22&amp;number=&amp;sourceID=13","")</f>
        <v/>
      </c>
      <c r="W140" s="4" t="str">
        <f>HYPERLINK("http://141.218.60.56/~jnz1568/getInfo.php?workbook=06_01.xlsx&amp;sheet=A0&amp;row=140&amp;col=23&amp;number=&amp;sourceID=13","")</f>
        <v/>
      </c>
      <c r="X140" s="4" t="str">
        <f>HYPERLINK("http://141.218.60.56/~jnz1568/getInfo.php?workbook=06_01.xlsx&amp;sheet=A0&amp;row=140&amp;col=24&amp;number=&amp;sourceID=13","")</f>
        <v/>
      </c>
      <c r="Y140" s="4" t="str">
        <f>HYPERLINK("http://141.218.60.56/~jnz1568/getInfo.php?workbook=06_01.xlsx&amp;sheet=A0&amp;row=140&amp;col=25&amp;number=&amp;sourceID=13","")</f>
        <v/>
      </c>
      <c r="Z140" s="4" t="str">
        <f>HYPERLINK("http://141.218.60.56/~jnz1568/getInfo.php?workbook=06_01.xlsx&amp;sheet=A0&amp;row=140&amp;col=26&amp;number=&amp;sourceID=13","")</f>
        <v/>
      </c>
    </row>
    <row r="141" spans="1:26">
      <c r="A141" s="3">
        <v>6</v>
      </c>
      <c r="B141" s="3">
        <v>1</v>
      </c>
      <c r="C141" s="3">
        <v>18</v>
      </c>
      <c r="D141" s="3">
        <v>8</v>
      </c>
      <c r="E141" s="3">
        <f>((1/(INDEX(E0!J$4:J$28,C141,1)-INDEX(E0!J$4:J$28,D141,1))))*100000000</f>
        <v>0</v>
      </c>
      <c r="F141" s="4" t="str">
        <f>HYPERLINK("http://141.218.60.56/~jnz1568/getInfo.php?workbook=06_01.xlsx&amp;sheet=A0&amp;row=141&amp;col=6&amp;number=&amp;sourceID=18","")</f>
        <v/>
      </c>
      <c r="G141" s="4" t="str">
        <f>HYPERLINK("http://141.218.60.56/~jnz1568/getInfo.php?workbook=06_01.xlsx&amp;sheet=A0&amp;row=141&amp;col=7&amp;number==&amp;sourceID=11","=")</f>
        <v>=</v>
      </c>
      <c r="H141" s="4" t="str">
        <f>HYPERLINK("http://141.218.60.56/~jnz1568/getInfo.php?workbook=06_01.xlsx&amp;sheet=A0&amp;row=141&amp;col=8&amp;number=785380000&amp;sourceID=11","785380000")</f>
        <v>785380000</v>
      </c>
      <c r="I141" s="4" t="str">
        <f>HYPERLINK("http://141.218.60.56/~jnz1568/getInfo.php?workbook=06_01.xlsx&amp;sheet=A0&amp;row=141&amp;col=9&amp;number=&amp;sourceID=11","")</f>
        <v/>
      </c>
      <c r="J141" s="4" t="str">
        <f>HYPERLINK("http://141.218.60.56/~jnz1568/getInfo.php?workbook=06_01.xlsx&amp;sheet=A0&amp;row=141&amp;col=10&amp;number=&amp;sourceID=11","")</f>
        <v/>
      </c>
      <c r="K141" s="4" t="str">
        <f>HYPERLINK("http://141.218.60.56/~jnz1568/getInfo.php?workbook=06_01.xlsx&amp;sheet=A0&amp;row=141&amp;col=11&amp;number=&amp;sourceID=11","")</f>
        <v/>
      </c>
      <c r="L141" s="4" t="str">
        <f>HYPERLINK("http://141.218.60.56/~jnz1568/getInfo.php?workbook=06_01.xlsx&amp;sheet=A0&amp;row=141&amp;col=12&amp;number=0.68438&amp;sourceID=11","0.68438")</f>
        <v>0.68438</v>
      </c>
      <c r="M141" s="4" t="str">
        <f>HYPERLINK("http://141.218.60.56/~jnz1568/getInfo.php?workbook=06_01.xlsx&amp;sheet=A0&amp;row=141&amp;col=13&amp;number=&amp;sourceID=11","")</f>
        <v/>
      </c>
      <c r="N141" s="4" t="str">
        <f>HYPERLINK("http://141.218.60.56/~jnz1568/getInfo.php?workbook=06_01.xlsx&amp;sheet=A0&amp;row=141&amp;col=14&amp;number=785420000&amp;sourceID=12","785420000")</f>
        <v>785420000</v>
      </c>
      <c r="O141" s="4" t="str">
        <f>HYPERLINK("http://141.218.60.56/~jnz1568/getInfo.php?workbook=06_01.xlsx&amp;sheet=A0&amp;row=141&amp;col=15&amp;number=785420000&amp;sourceID=12","785420000")</f>
        <v>785420000</v>
      </c>
      <c r="P141" s="4" t="str">
        <f>HYPERLINK("http://141.218.60.56/~jnz1568/getInfo.php?workbook=06_01.xlsx&amp;sheet=A0&amp;row=141&amp;col=16&amp;number=&amp;sourceID=12","")</f>
        <v/>
      </c>
      <c r="Q141" s="4" t="str">
        <f>HYPERLINK("http://141.218.60.56/~jnz1568/getInfo.php?workbook=06_01.xlsx&amp;sheet=A0&amp;row=141&amp;col=17&amp;number=&amp;sourceID=12","")</f>
        <v/>
      </c>
      <c r="R141" s="4" t="str">
        <f>HYPERLINK("http://141.218.60.56/~jnz1568/getInfo.php?workbook=06_01.xlsx&amp;sheet=A0&amp;row=141&amp;col=18&amp;number=&amp;sourceID=12","")</f>
        <v/>
      </c>
      <c r="S141" s="4" t="str">
        <f>HYPERLINK("http://141.218.60.56/~jnz1568/getInfo.php?workbook=06_01.xlsx&amp;sheet=A0&amp;row=141&amp;col=19&amp;number=0.68441&amp;sourceID=12","0.68441")</f>
        <v>0.68441</v>
      </c>
      <c r="T141" s="4" t="str">
        <f>HYPERLINK("http://141.218.60.56/~jnz1568/getInfo.php?workbook=06_01.xlsx&amp;sheet=A0&amp;row=141&amp;col=20&amp;number=&amp;sourceID=12","")</f>
        <v/>
      </c>
      <c r="U141" s="4" t="str">
        <f>HYPERLINK("http://141.218.60.56/~jnz1568/getInfo.php?workbook=06_01.xlsx&amp;sheet=A0&amp;row=141&amp;col=21&amp;number=&amp;sourceID=13","")</f>
        <v/>
      </c>
      <c r="V141" s="4" t="str">
        <f>HYPERLINK("http://141.218.60.56/~jnz1568/getInfo.php?workbook=06_01.xlsx&amp;sheet=A0&amp;row=141&amp;col=22&amp;number=&amp;sourceID=13","")</f>
        <v/>
      </c>
      <c r="W141" s="4" t="str">
        <f>HYPERLINK("http://141.218.60.56/~jnz1568/getInfo.php?workbook=06_01.xlsx&amp;sheet=A0&amp;row=141&amp;col=23&amp;number=&amp;sourceID=13","")</f>
        <v/>
      </c>
      <c r="X141" s="4" t="str">
        <f>HYPERLINK("http://141.218.60.56/~jnz1568/getInfo.php?workbook=06_01.xlsx&amp;sheet=A0&amp;row=141&amp;col=24&amp;number=&amp;sourceID=13","")</f>
        <v/>
      </c>
      <c r="Y141" s="4" t="str">
        <f>HYPERLINK("http://141.218.60.56/~jnz1568/getInfo.php?workbook=06_01.xlsx&amp;sheet=A0&amp;row=141&amp;col=25&amp;number=&amp;sourceID=13","")</f>
        <v/>
      </c>
      <c r="Z141" s="4" t="str">
        <f>HYPERLINK("http://141.218.60.56/~jnz1568/getInfo.php?workbook=06_01.xlsx&amp;sheet=A0&amp;row=141&amp;col=26&amp;number=&amp;sourceID=13","")</f>
        <v/>
      </c>
    </row>
    <row r="142" spans="1:26">
      <c r="A142" s="3">
        <v>6</v>
      </c>
      <c r="B142" s="3">
        <v>1</v>
      </c>
      <c r="C142" s="3">
        <v>18</v>
      </c>
      <c r="D142" s="3">
        <v>9</v>
      </c>
      <c r="E142" s="3">
        <f>((1/(INDEX(E0!J$4:J$28,C142,1)-INDEX(E0!J$4:J$28,D142,1))))*100000000</f>
        <v>0</v>
      </c>
      <c r="F142" s="4" t="str">
        <f>HYPERLINK("http://141.218.60.56/~jnz1568/getInfo.php?workbook=06_01.xlsx&amp;sheet=A0&amp;row=142&amp;col=6&amp;number=&amp;sourceID=18","")</f>
        <v/>
      </c>
      <c r="G142" s="4" t="str">
        <f>HYPERLINK("http://141.218.60.56/~jnz1568/getInfo.php?workbook=06_01.xlsx&amp;sheet=A0&amp;row=142&amp;col=7&amp;number==&amp;sourceID=11","=")</f>
        <v>=</v>
      </c>
      <c r="H142" s="4" t="str">
        <f>HYPERLINK("http://141.218.60.56/~jnz1568/getInfo.php?workbook=06_01.xlsx&amp;sheet=A0&amp;row=142&amp;col=8&amp;number=&amp;sourceID=11","")</f>
        <v/>
      </c>
      <c r="I142" s="4" t="str">
        <f>HYPERLINK("http://141.218.60.56/~jnz1568/getInfo.php?workbook=06_01.xlsx&amp;sheet=A0&amp;row=142&amp;col=9&amp;number=17918&amp;sourceID=11","17918")</f>
        <v>17918</v>
      </c>
      <c r="J142" s="4" t="str">
        <f>HYPERLINK("http://141.218.60.56/~jnz1568/getInfo.php?workbook=06_01.xlsx&amp;sheet=A0&amp;row=142&amp;col=10&amp;number=&amp;sourceID=11","")</f>
        <v/>
      </c>
      <c r="K142" s="4" t="str">
        <f>HYPERLINK("http://141.218.60.56/~jnz1568/getInfo.php?workbook=06_01.xlsx&amp;sheet=A0&amp;row=142&amp;col=11&amp;number=&amp;sourceID=11","")</f>
        <v/>
      </c>
      <c r="L142" s="4" t="str">
        <f>HYPERLINK("http://141.218.60.56/~jnz1568/getInfo.php?workbook=06_01.xlsx&amp;sheet=A0&amp;row=142&amp;col=12&amp;number=&amp;sourceID=11","")</f>
        <v/>
      </c>
      <c r="M142" s="4" t="str">
        <f>HYPERLINK("http://141.218.60.56/~jnz1568/getInfo.php?workbook=06_01.xlsx&amp;sheet=A0&amp;row=142&amp;col=13&amp;number=1.8496e-05&amp;sourceID=11","1.8496e-05")</f>
        <v>1.8496e-05</v>
      </c>
      <c r="N142" s="4" t="str">
        <f>HYPERLINK("http://141.218.60.56/~jnz1568/getInfo.php?workbook=06_01.xlsx&amp;sheet=A0&amp;row=142&amp;col=14&amp;number=17919&amp;sourceID=12","17919")</f>
        <v>17919</v>
      </c>
      <c r="O142" s="4" t="str">
        <f>HYPERLINK("http://141.218.60.56/~jnz1568/getInfo.php?workbook=06_01.xlsx&amp;sheet=A0&amp;row=142&amp;col=15&amp;number=&amp;sourceID=12","")</f>
        <v/>
      </c>
      <c r="P142" s="4" t="str">
        <f>HYPERLINK("http://141.218.60.56/~jnz1568/getInfo.php?workbook=06_01.xlsx&amp;sheet=A0&amp;row=142&amp;col=16&amp;number=17919&amp;sourceID=12","17919")</f>
        <v>17919</v>
      </c>
      <c r="Q142" s="4" t="str">
        <f>HYPERLINK("http://141.218.60.56/~jnz1568/getInfo.php?workbook=06_01.xlsx&amp;sheet=A0&amp;row=142&amp;col=17&amp;number=&amp;sourceID=12","")</f>
        <v/>
      </c>
      <c r="R142" s="4" t="str">
        <f>HYPERLINK("http://141.218.60.56/~jnz1568/getInfo.php?workbook=06_01.xlsx&amp;sheet=A0&amp;row=142&amp;col=18&amp;number=&amp;sourceID=12","")</f>
        <v/>
      </c>
      <c r="S142" s="4" t="str">
        <f>HYPERLINK("http://141.218.60.56/~jnz1568/getInfo.php?workbook=06_01.xlsx&amp;sheet=A0&amp;row=142&amp;col=19&amp;number=&amp;sourceID=12","")</f>
        <v/>
      </c>
      <c r="T142" s="4" t="str">
        <f>HYPERLINK("http://141.218.60.56/~jnz1568/getInfo.php?workbook=06_01.xlsx&amp;sheet=A0&amp;row=142&amp;col=20&amp;number=1.8497e-05&amp;sourceID=12","1.8497e-05")</f>
        <v>1.8497e-05</v>
      </c>
      <c r="U142" s="4" t="str">
        <f>HYPERLINK("http://141.218.60.56/~jnz1568/getInfo.php?workbook=06_01.xlsx&amp;sheet=A0&amp;row=142&amp;col=21&amp;number=&amp;sourceID=13","")</f>
        <v/>
      </c>
      <c r="V142" s="4" t="str">
        <f>HYPERLINK("http://141.218.60.56/~jnz1568/getInfo.php?workbook=06_01.xlsx&amp;sheet=A0&amp;row=142&amp;col=22&amp;number=&amp;sourceID=13","")</f>
        <v/>
      </c>
      <c r="W142" s="4" t="str">
        <f>HYPERLINK("http://141.218.60.56/~jnz1568/getInfo.php?workbook=06_01.xlsx&amp;sheet=A0&amp;row=142&amp;col=23&amp;number=&amp;sourceID=13","")</f>
        <v/>
      </c>
      <c r="X142" s="4" t="str">
        <f>HYPERLINK("http://141.218.60.56/~jnz1568/getInfo.php?workbook=06_01.xlsx&amp;sheet=A0&amp;row=142&amp;col=24&amp;number=&amp;sourceID=13","")</f>
        <v/>
      </c>
      <c r="Y142" s="4" t="str">
        <f>HYPERLINK("http://141.218.60.56/~jnz1568/getInfo.php?workbook=06_01.xlsx&amp;sheet=A0&amp;row=142&amp;col=25&amp;number=&amp;sourceID=13","")</f>
        <v/>
      </c>
      <c r="Z142" s="4" t="str">
        <f>HYPERLINK("http://141.218.60.56/~jnz1568/getInfo.php?workbook=06_01.xlsx&amp;sheet=A0&amp;row=142&amp;col=26&amp;number=&amp;sourceID=13","")</f>
        <v/>
      </c>
    </row>
    <row r="143" spans="1:26">
      <c r="A143" s="3">
        <v>6</v>
      </c>
      <c r="B143" s="3">
        <v>1</v>
      </c>
      <c r="C143" s="3">
        <v>18</v>
      </c>
      <c r="D143" s="3">
        <v>10</v>
      </c>
      <c r="E143" s="3">
        <f>((1/(INDEX(E0!J$4:J$28,C143,1)-INDEX(E0!J$4:J$28,D143,1))))*100000000</f>
        <v>0</v>
      </c>
      <c r="F143" s="4" t="str">
        <f>HYPERLINK("http://141.218.60.56/~jnz1568/getInfo.php?workbook=06_01.xlsx&amp;sheet=A0&amp;row=143&amp;col=6&amp;number=&amp;sourceID=18","")</f>
        <v/>
      </c>
      <c r="G143" s="4" t="str">
        <f>HYPERLINK("http://141.218.60.56/~jnz1568/getInfo.php?workbook=06_01.xlsx&amp;sheet=A0&amp;row=143&amp;col=7&amp;number==&amp;sourceID=11","=")</f>
        <v>=</v>
      </c>
      <c r="H143" s="4" t="str">
        <f>HYPERLINK("http://141.218.60.56/~jnz1568/getInfo.php?workbook=06_01.xlsx&amp;sheet=A0&amp;row=143&amp;col=8&amp;number=279040000&amp;sourceID=11","279040000")</f>
        <v>279040000</v>
      </c>
      <c r="I143" s="4" t="str">
        <f>HYPERLINK("http://141.218.60.56/~jnz1568/getInfo.php?workbook=06_01.xlsx&amp;sheet=A0&amp;row=143&amp;col=9&amp;number=&amp;sourceID=11","")</f>
        <v/>
      </c>
      <c r="J143" s="4" t="str">
        <f>HYPERLINK("http://141.218.60.56/~jnz1568/getInfo.php?workbook=06_01.xlsx&amp;sheet=A0&amp;row=143&amp;col=10&amp;number=&amp;sourceID=11","")</f>
        <v/>
      </c>
      <c r="K143" s="4" t="str">
        <f>HYPERLINK("http://141.218.60.56/~jnz1568/getInfo.php?workbook=06_01.xlsx&amp;sheet=A0&amp;row=143&amp;col=11&amp;number=&amp;sourceID=11","")</f>
        <v/>
      </c>
      <c r="L143" s="4" t="str">
        <f>HYPERLINK("http://141.218.60.56/~jnz1568/getInfo.php?workbook=06_01.xlsx&amp;sheet=A0&amp;row=143&amp;col=12&amp;number=&amp;sourceID=11","")</f>
        <v/>
      </c>
      <c r="M143" s="4" t="str">
        <f>HYPERLINK("http://141.218.60.56/~jnz1568/getInfo.php?workbook=06_01.xlsx&amp;sheet=A0&amp;row=143&amp;col=13&amp;number=&amp;sourceID=11","")</f>
        <v/>
      </c>
      <c r="N143" s="4" t="str">
        <f>HYPERLINK("http://141.218.60.56/~jnz1568/getInfo.php?workbook=06_01.xlsx&amp;sheet=A0&amp;row=143&amp;col=14&amp;number=279050000&amp;sourceID=12","279050000")</f>
        <v>279050000</v>
      </c>
      <c r="O143" s="4" t="str">
        <f>HYPERLINK("http://141.218.60.56/~jnz1568/getInfo.php?workbook=06_01.xlsx&amp;sheet=A0&amp;row=143&amp;col=15&amp;number=279050000&amp;sourceID=12","279050000")</f>
        <v>279050000</v>
      </c>
      <c r="P143" s="4" t="str">
        <f>HYPERLINK("http://141.218.60.56/~jnz1568/getInfo.php?workbook=06_01.xlsx&amp;sheet=A0&amp;row=143&amp;col=16&amp;number=&amp;sourceID=12","")</f>
        <v/>
      </c>
      <c r="Q143" s="4" t="str">
        <f>HYPERLINK("http://141.218.60.56/~jnz1568/getInfo.php?workbook=06_01.xlsx&amp;sheet=A0&amp;row=143&amp;col=17&amp;number=&amp;sourceID=12","")</f>
        <v/>
      </c>
      <c r="R143" s="4" t="str">
        <f>HYPERLINK("http://141.218.60.56/~jnz1568/getInfo.php?workbook=06_01.xlsx&amp;sheet=A0&amp;row=143&amp;col=18&amp;number=&amp;sourceID=12","")</f>
        <v/>
      </c>
      <c r="S143" s="4" t="str">
        <f>HYPERLINK("http://141.218.60.56/~jnz1568/getInfo.php?workbook=06_01.xlsx&amp;sheet=A0&amp;row=143&amp;col=19&amp;number=&amp;sourceID=12","")</f>
        <v/>
      </c>
      <c r="T143" s="4" t="str">
        <f>HYPERLINK("http://141.218.60.56/~jnz1568/getInfo.php?workbook=06_01.xlsx&amp;sheet=A0&amp;row=143&amp;col=20&amp;number=&amp;sourceID=12","")</f>
        <v/>
      </c>
      <c r="U143" s="4" t="str">
        <f>HYPERLINK("http://141.218.60.56/~jnz1568/getInfo.php?workbook=06_01.xlsx&amp;sheet=A0&amp;row=143&amp;col=21&amp;number=&amp;sourceID=13","")</f>
        <v/>
      </c>
      <c r="V143" s="4" t="str">
        <f>HYPERLINK("http://141.218.60.56/~jnz1568/getInfo.php?workbook=06_01.xlsx&amp;sheet=A0&amp;row=143&amp;col=22&amp;number=&amp;sourceID=13","")</f>
        <v/>
      </c>
      <c r="W143" s="4" t="str">
        <f>HYPERLINK("http://141.218.60.56/~jnz1568/getInfo.php?workbook=06_01.xlsx&amp;sheet=A0&amp;row=143&amp;col=23&amp;number=&amp;sourceID=13","")</f>
        <v/>
      </c>
      <c r="X143" s="4" t="str">
        <f>HYPERLINK("http://141.218.60.56/~jnz1568/getInfo.php?workbook=06_01.xlsx&amp;sheet=A0&amp;row=143&amp;col=24&amp;number=&amp;sourceID=13","")</f>
        <v/>
      </c>
      <c r="Y143" s="4" t="str">
        <f>HYPERLINK("http://141.218.60.56/~jnz1568/getInfo.php?workbook=06_01.xlsx&amp;sheet=A0&amp;row=143&amp;col=25&amp;number=&amp;sourceID=13","")</f>
        <v/>
      </c>
      <c r="Z143" s="4" t="str">
        <f>HYPERLINK("http://141.218.60.56/~jnz1568/getInfo.php?workbook=06_01.xlsx&amp;sheet=A0&amp;row=143&amp;col=26&amp;number=&amp;sourceID=13","")</f>
        <v/>
      </c>
    </row>
    <row r="144" spans="1:26">
      <c r="A144" s="3">
        <v>6</v>
      </c>
      <c r="B144" s="3">
        <v>1</v>
      </c>
      <c r="C144" s="3">
        <v>18</v>
      </c>
      <c r="D144" s="3">
        <v>11</v>
      </c>
      <c r="E144" s="3">
        <f>((1/(INDEX(E0!J$4:J$28,C144,1)-INDEX(E0!J$4:J$28,D144,1))))*100000000</f>
        <v>0</v>
      </c>
      <c r="F144" s="4" t="str">
        <f>HYPERLINK("http://141.218.60.56/~jnz1568/getInfo.php?workbook=06_01.xlsx&amp;sheet=A0&amp;row=144&amp;col=6&amp;number=&amp;sourceID=18","")</f>
        <v/>
      </c>
      <c r="G144" s="4" t="str">
        <f>HYPERLINK("http://141.218.60.56/~jnz1568/getInfo.php?workbook=06_01.xlsx&amp;sheet=A0&amp;row=144&amp;col=7&amp;number==&amp;sourceID=11","=")</f>
        <v>=</v>
      </c>
      <c r="H144" s="4" t="str">
        <f>HYPERLINK("http://141.218.60.56/~jnz1568/getInfo.php?workbook=06_01.xlsx&amp;sheet=A0&amp;row=144&amp;col=8&amp;number=&amp;sourceID=11","")</f>
        <v/>
      </c>
      <c r="I144" s="4" t="str">
        <f>HYPERLINK("http://141.218.60.56/~jnz1568/getInfo.php?workbook=06_01.xlsx&amp;sheet=A0&amp;row=144&amp;col=9&amp;number=&amp;sourceID=11","")</f>
        <v/>
      </c>
      <c r="J144" s="4" t="str">
        <f>HYPERLINK("http://141.218.60.56/~jnz1568/getInfo.php?workbook=06_01.xlsx&amp;sheet=A0&amp;row=144&amp;col=10&amp;number=&amp;sourceID=11","")</f>
        <v/>
      </c>
      <c r="K144" s="4" t="str">
        <f>HYPERLINK("http://141.218.60.56/~jnz1568/getInfo.php?workbook=06_01.xlsx&amp;sheet=A0&amp;row=144&amp;col=11&amp;number=4.4574e-05&amp;sourceID=11","4.4574e-05")</f>
        <v>4.4574e-05</v>
      </c>
      <c r="L144" s="4" t="str">
        <f>HYPERLINK("http://141.218.60.56/~jnz1568/getInfo.php?workbook=06_01.xlsx&amp;sheet=A0&amp;row=144&amp;col=12&amp;number=&amp;sourceID=11","")</f>
        <v/>
      </c>
      <c r="M144" s="4" t="str">
        <f>HYPERLINK("http://141.218.60.56/~jnz1568/getInfo.php?workbook=06_01.xlsx&amp;sheet=A0&amp;row=144&amp;col=13&amp;number=&amp;sourceID=11","")</f>
        <v/>
      </c>
      <c r="N144" s="4" t="str">
        <f>HYPERLINK("http://141.218.60.56/~jnz1568/getInfo.php?workbook=06_01.xlsx&amp;sheet=A0&amp;row=144&amp;col=14&amp;number=4.4576e-05&amp;sourceID=12","4.4576e-05")</f>
        <v>4.4576e-05</v>
      </c>
      <c r="O144" s="4" t="str">
        <f>HYPERLINK("http://141.218.60.56/~jnz1568/getInfo.php?workbook=06_01.xlsx&amp;sheet=A0&amp;row=144&amp;col=15&amp;number=&amp;sourceID=12","")</f>
        <v/>
      </c>
      <c r="P144" s="4" t="str">
        <f>HYPERLINK("http://141.218.60.56/~jnz1568/getInfo.php?workbook=06_01.xlsx&amp;sheet=A0&amp;row=144&amp;col=16&amp;number=&amp;sourceID=12","")</f>
        <v/>
      </c>
      <c r="Q144" s="4" t="str">
        <f>HYPERLINK("http://141.218.60.56/~jnz1568/getInfo.php?workbook=06_01.xlsx&amp;sheet=A0&amp;row=144&amp;col=17&amp;number=&amp;sourceID=12","")</f>
        <v/>
      </c>
      <c r="R144" s="4" t="str">
        <f>HYPERLINK("http://141.218.60.56/~jnz1568/getInfo.php?workbook=06_01.xlsx&amp;sheet=A0&amp;row=144&amp;col=18&amp;number=4.4576e-05&amp;sourceID=12","4.4576e-05")</f>
        <v>4.4576e-05</v>
      </c>
      <c r="S144" s="4" t="str">
        <f>HYPERLINK("http://141.218.60.56/~jnz1568/getInfo.php?workbook=06_01.xlsx&amp;sheet=A0&amp;row=144&amp;col=19&amp;number=&amp;sourceID=12","")</f>
        <v/>
      </c>
      <c r="T144" s="4" t="str">
        <f>HYPERLINK("http://141.218.60.56/~jnz1568/getInfo.php?workbook=06_01.xlsx&amp;sheet=A0&amp;row=144&amp;col=20&amp;number=&amp;sourceID=12","")</f>
        <v/>
      </c>
      <c r="U144" s="4" t="str">
        <f>HYPERLINK("http://141.218.60.56/~jnz1568/getInfo.php?workbook=06_01.xlsx&amp;sheet=A0&amp;row=144&amp;col=21&amp;number=&amp;sourceID=13","")</f>
        <v/>
      </c>
      <c r="V144" s="4" t="str">
        <f>HYPERLINK("http://141.218.60.56/~jnz1568/getInfo.php?workbook=06_01.xlsx&amp;sheet=A0&amp;row=144&amp;col=22&amp;number=&amp;sourceID=13","")</f>
        <v/>
      </c>
      <c r="W144" s="4" t="str">
        <f>HYPERLINK("http://141.218.60.56/~jnz1568/getInfo.php?workbook=06_01.xlsx&amp;sheet=A0&amp;row=144&amp;col=23&amp;number=&amp;sourceID=13","")</f>
        <v/>
      </c>
      <c r="X144" s="4" t="str">
        <f>HYPERLINK("http://141.218.60.56/~jnz1568/getInfo.php?workbook=06_01.xlsx&amp;sheet=A0&amp;row=144&amp;col=24&amp;number=&amp;sourceID=13","")</f>
        <v/>
      </c>
      <c r="Y144" s="4" t="str">
        <f>HYPERLINK("http://141.218.60.56/~jnz1568/getInfo.php?workbook=06_01.xlsx&amp;sheet=A0&amp;row=144&amp;col=25&amp;number=&amp;sourceID=13","")</f>
        <v/>
      </c>
      <c r="Z144" s="4" t="str">
        <f>HYPERLINK("http://141.218.60.56/~jnz1568/getInfo.php?workbook=06_01.xlsx&amp;sheet=A0&amp;row=144&amp;col=26&amp;number=&amp;sourceID=13","")</f>
        <v/>
      </c>
    </row>
    <row r="145" spans="1:26">
      <c r="A145" s="3">
        <v>6</v>
      </c>
      <c r="B145" s="3">
        <v>1</v>
      </c>
      <c r="C145" s="3">
        <v>18</v>
      </c>
      <c r="D145" s="3">
        <v>12</v>
      </c>
      <c r="E145" s="3">
        <f>((1/(INDEX(E0!J$4:J$28,C145,1)-INDEX(E0!J$4:J$28,D145,1))))*100000000</f>
        <v>0</v>
      </c>
      <c r="F145" s="4" t="str">
        <f>HYPERLINK("http://141.218.60.56/~jnz1568/getInfo.php?workbook=06_01.xlsx&amp;sheet=A0&amp;row=145&amp;col=6&amp;number=&amp;sourceID=18","")</f>
        <v/>
      </c>
      <c r="G145" s="4" t="str">
        <f>HYPERLINK("http://141.218.60.56/~jnz1568/getInfo.php?workbook=06_01.xlsx&amp;sheet=A0&amp;row=145&amp;col=7&amp;number==&amp;sourceID=11","=")</f>
        <v>=</v>
      </c>
      <c r="H145" s="4" t="str">
        <f>HYPERLINK("http://141.218.60.56/~jnz1568/getInfo.php?workbook=06_01.xlsx&amp;sheet=A0&amp;row=145&amp;col=8&amp;number=&amp;sourceID=11","")</f>
        <v/>
      </c>
      <c r="I145" s="4" t="str">
        <f>HYPERLINK("http://141.218.60.56/~jnz1568/getInfo.php?workbook=06_01.xlsx&amp;sheet=A0&amp;row=145&amp;col=9&amp;number=6072.2&amp;sourceID=11","6072.2")</f>
        <v>6072.2</v>
      </c>
      <c r="J145" s="4" t="str">
        <f>HYPERLINK("http://141.218.60.56/~jnz1568/getInfo.php?workbook=06_01.xlsx&amp;sheet=A0&amp;row=145&amp;col=10&amp;number=&amp;sourceID=11","")</f>
        <v/>
      </c>
      <c r="K145" s="4" t="str">
        <f>HYPERLINK("http://141.218.60.56/~jnz1568/getInfo.php?workbook=06_01.xlsx&amp;sheet=A0&amp;row=145&amp;col=11&amp;number=4.8058e-08&amp;sourceID=11","4.8058e-08")</f>
        <v>4.8058e-08</v>
      </c>
      <c r="L145" s="4" t="str">
        <f>HYPERLINK("http://141.218.60.56/~jnz1568/getInfo.php?workbook=06_01.xlsx&amp;sheet=A0&amp;row=145&amp;col=12&amp;number=&amp;sourceID=11","")</f>
        <v/>
      </c>
      <c r="M145" s="4" t="str">
        <f>HYPERLINK("http://141.218.60.56/~jnz1568/getInfo.php?workbook=06_01.xlsx&amp;sheet=A0&amp;row=145&amp;col=13&amp;number=&amp;sourceID=11","")</f>
        <v/>
      </c>
      <c r="N145" s="4" t="str">
        <f>HYPERLINK("http://141.218.60.56/~jnz1568/getInfo.php?workbook=06_01.xlsx&amp;sheet=A0&amp;row=145&amp;col=14&amp;number=6072.4&amp;sourceID=12","6072.4")</f>
        <v>6072.4</v>
      </c>
      <c r="O145" s="4" t="str">
        <f>HYPERLINK("http://141.218.60.56/~jnz1568/getInfo.php?workbook=06_01.xlsx&amp;sheet=A0&amp;row=145&amp;col=15&amp;number=&amp;sourceID=12","")</f>
        <v/>
      </c>
      <c r="P145" s="4" t="str">
        <f>HYPERLINK("http://141.218.60.56/~jnz1568/getInfo.php?workbook=06_01.xlsx&amp;sheet=A0&amp;row=145&amp;col=16&amp;number=6072.4&amp;sourceID=12","6072.4")</f>
        <v>6072.4</v>
      </c>
      <c r="Q145" s="4" t="str">
        <f>HYPERLINK("http://141.218.60.56/~jnz1568/getInfo.php?workbook=06_01.xlsx&amp;sheet=A0&amp;row=145&amp;col=17&amp;number=&amp;sourceID=12","")</f>
        <v/>
      </c>
      <c r="R145" s="4" t="str">
        <f>HYPERLINK("http://141.218.60.56/~jnz1568/getInfo.php?workbook=06_01.xlsx&amp;sheet=A0&amp;row=145&amp;col=18&amp;number=4.8062e-08&amp;sourceID=12","4.8062e-08")</f>
        <v>4.8062e-08</v>
      </c>
      <c r="S145" s="4" t="str">
        <f>HYPERLINK("http://141.218.60.56/~jnz1568/getInfo.php?workbook=06_01.xlsx&amp;sheet=A0&amp;row=145&amp;col=19&amp;number=&amp;sourceID=12","")</f>
        <v/>
      </c>
      <c r="T145" s="4" t="str">
        <f>HYPERLINK("http://141.218.60.56/~jnz1568/getInfo.php?workbook=06_01.xlsx&amp;sheet=A0&amp;row=145&amp;col=20&amp;number=&amp;sourceID=12","")</f>
        <v/>
      </c>
      <c r="U145" s="4" t="str">
        <f>HYPERLINK("http://141.218.60.56/~jnz1568/getInfo.php?workbook=06_01.xlsx&amp;sheet=A0&amp;row=145&amp;col=21&amp;number=&amp;sourceID=13","")</f>
        <v/>
      </c>
      <c r="V145" s="4" t="str">
        <f>HYPERLINK("http://141.218.60.56/~jnz1568/getInfo.php?workbook=06_01.xlsx&amp;sheet=A0&amp;row=145&amp;col=22&amp;number=&amp;sourceID=13","")</f>
        <v/>
      </c>
      <c r="W145" s="4" t="str">
        <f>HYPERLINK("http://141.218.60.56/~jnz1568/getInfo.php?workbook=06_01.xlsx&amp;sheet=A0&amp;row=145&amp;col=23&amp;number=&amp;sourceID=13","")</f>
        <v/>
      </c>
      <c r="X145" s="4" t="str">
        <f>HYPERLINK("http://141.218.60.56/~jnz1568/getInfo.php?workbook=06_01.xlsx&amp;sheet=A0&amp;row=145&amp;col=24&amp;number=&amp;sourceID=13","")</f>
        <v/>
      </c>
      <c r="Y145" s="4" t="str">
        <f>HYPERLINK("http://141.218.60.56/~jnz1568/getInfo.php?workbook=06_01.xlsx&amp;sheet=A0&amp;row=145&amp;col=25&amp;number=&amp;sourceID=13","")</f>
        <v/>
      </c>
      <c r="Z145" s="4" t="str">
        <f>HYPERLINK("http://141.218.60.56/~jnz1568/getInfo.php?workbook=06_01.xlsx&amp;sheet=A0&amp;row=145&amp;col=26&amp;number=&amp;sourceID=13","")</f>
        <v/>
      </c>
    </row>
    <row r="146" spans="1:26">
      <c r="A146" s="3">
        <v>6</v>
      </c>
      <c r="B146" s="3">
        <v>1</v>
      </c>
      <c r="C146" s="3">
        <v>18</v>
      </c>
      <c r="D146" s="3">
        <v>13</v>
      </c>
      <c r="E146" s="3">
        <f>((1/(INDEX(E0!J$4:J$28,C146,1)-INDEX(E0!J$4:J$28,D146,1))))*100000000</f>
        <v>0</v>
      </c>
      <c r="F146" s="4" t="str">
        <f>HYPERLINK("http://141.218.60.56/~jnz1568/getInfo.php?workbook=06_01.xlsx&amp;sheet=A0&amp;row=146&amp;col=6&amp;number=&amp;sourceID=18","")</f>
        <v/>
      </c>
      <c r="G146" s="4" t="str">
        <f>HYPERLINK("http://141.218.60.56/~jnz1568/getInfo.php?workbook=06_01.xlsx&amp;sheet=A0&amp;row=146&amp;col=7&amp;number==&amp;sourceID=11","=")</f>
        <v>=</v>
      </c>
      <c r="H146" s="4" t="str">
        <f>HYPERLINK("http://141.218.60.56/~jnz1568/getInfo.php?workbook=06_01.xlsx&amp;sheet=A0&amp;row=146&amp;col=8&amp;number=559990000&amp;sourceID=11","559990000")</f>
        <v>559990000</v>
      </c>
      <c r="I146" s="4" t="str">
        <f>HYPERLINK("http://141.218.60.56/~jnz1568/getInfo.php?workbook=06_01.xlsx&amp;sheet=A0&amp;row=146&amp;col=9&amp;number=&amp;sourceID=11","")</f>
        <v/>
      </c>
      <c r="J146" s="4" t="str">
        <f>HYPERLINK("http://141.218.60.56/~jnz1568/getInfo.php?workbook=06_01.xlsx&amp;sheet=A0&amp;row=146&amp;col=10&amp;number=&amp;sourceID=11","")</f>
        <v/>
      </c>
      <c r="K146" s="4" t="str">
        <f>HYPERLINK("http://141.218.60.56/~jnz1568/getInfo.php?workbook=06_01.xlsx&amp;sheet=A0&amp;row=146&amp;col=11&amp;number=&amp;sourceID=11","")</f>
        <v/>
      </c>
      <c r="L146" s="4" t="str">
        <f>HYPERLINK("http://141.218.60.56/~jnz1568/getInfo.php?workbook=06_01.xlsx&amp;sheet=A0&amp;row=146&amp;col=12&amp;number=0.048825&amp;sourceID=11","0.048825")</f>
        <v>0.048825</v>
      </c>
      <c r="M146" s="4" t="str">
        <f>HYPERLINK("http://141.218.60.56/~jnz1568/getInfo.php?workbook=06_01.xlsx&amp;sheet=A0&amp;row=146&amp;col=13&amp;number=&amp;sourceID=11","")</f>
        <v/>
      </c>
      <c r="N146" s="4" t="str">
        <f>HYPERLINK("http://141.218.60.56/~jnz1568/getInfo.php?workbook=06_01.xlsx&amp;sheet=A0&amp;row=146&amp;col=14&amp;number=560010000&amp;sourceID=12","560010000")</f>
        <v>560010000</v>
      </c>
      <c r="O146" s="4" t="str">
        <f>HYPERLINK("http://141.218.60.56/~jnz1568/getInfo.php?workbook=06_01.xlsx&amp;sheet=A0&amp;row=146&amp;col=15&amp;number=560010000&amp;sourceID=12","560010000")</f>
        <v>560010000</v>
      </c>
      <c r="P146" s="4" t="str">
        <f>HYPERLINK("http://141.218.60.56/~jnz1568/getInfo.php?workbook=06_01.xlsx&amp;sheet=A0&amp;row=146&amp;col=16&amp;number=&amp;sourceID=12","")</f>
        <v/>
      </c>
      <c r="Q146" s="4" t="str">
        <f>HYPERLINK("http://141.218.60.56/~jnz1568/getInfo.php?workbook=06_01.xlsx&amp;sheet=A0&amp;row=146&amp;col=17&amp;number=&amp;sourceID=12","")</f>
        <v/>
      </c>
      <c r="R146" s="4" t="str">
        <f>HYPERLINK("http://141.218.60.56/~jnz1568/getInfo.php?workbook=06_01.xlsx&amp;sheet=A0&amp;row=146&amp;col=18&amp;number=&amp;sourceID=12","")</f>
        <v/>
      </c>
      <c r="S146" s="4" t="str">
        <f>HYPERLINK("http://141.218.60.56/~jnz1568/getInfo.php?workbook=06_01.xlsx&amp;sheet=A0&amp;row=146&amp;col=19&amp;number=0.048828&amp;sourceID=12","0.048828")</f>
        <v>0.048828</v>
      </c>
      <c r="T146" s="4" t="str">
        <f>HYPERLINK("http://141.218.60.56/~jnz1568/getInfo.php?workbook=06_01.xlsx&amp;sheet=A0&amp;row=146&amp;col=20&amp;number=&amp;sourceID=12","")</f>
        <v/>
      </c>
      <c r="U146" s="4" t="str">
        <f>HYPERLINK("http://141.218.60.56/~jnz1568/getInfo.php?workbook=06_01.xlsx&amp;sheet=A0&amp;row=146&amp;col=21&amp;number=&amp;sourceID=13","")</f>
        <v/>
      </c>
      <c r="V146" s="4" t="str">
        <f>HYPERLINK("http://141.218.60.56/~jnz1568/getInfo.php?workbook=06_01.xlsx&amp;sheet=A0&amp;row=146&amp;col=22&amp;number=&amp;sourceID=13","")</f>
        <v/>
      </c>
      <c r="W146" s="4" t="str">
        <f>HYPERLINK("http://141.218.60.56/~jnz1568/getInfo.php?workbook=06_01.xlsx&amp;sheet=A0&amp;row=146&amp;col=23&amp;number=&amp;sourceID=13","")</f>
        <v/>
      </c>
      <c r="X146" s="4" t="str">
        <f>HYPERLINK("http://141.218.60.56/~jnz1568/getInfo.php?workbook=06_01.xlsx&amp;sheet=A0&amp;row=146&amp;col=24&amp;number=&amp;sourceID=13","")</f>
        <v/>
      </c>
      <c r="Y146" s="4" t="str">
        <f>HYPERLINK("http://141.218.60.56/~jnz1568/getInfo.php?workbook=06_01.xlsx&amp;sheet=A0&amp;row=146&amp;col=25&amp;number=&amp;sourceID=13","")</f>
        <v/>
      </c>
      <c r="Z146" s="4" t="str">
        <f>HYPERLINK("http://141.218.60.56/~jnz1568/getInfo.php?workbook=06_01.xlsx&amp;sheet=A0&amp;row=146&amp;col=26&amp;number=&amp;sourceID=13","")</f>
        <v/>
      </c>
    </row>
    <row r="147" spans="1:26">
      <c r="A147" s="3">
        <v>6</v>
      </c>
      <c r="B147" s="3">
        <v>1</v>
      </c>
      <c r="C147" s="3">
        <v>18</v>
      </c>
      <c r="D147" s="3">
        <v>14</v>
      </c>
      <c r="E147" s="3">
        <f>((1/(INDEX(E0!J$4:J$28,C147,1)-INDEX(E0!J$4:J$28,D147,1))))*100000000</f>
        <v>0</v>
      </c>
      <c r="F147" s="4" t="str">
        <f>HYPERLINK("http://141.218.60.56/~jnz1568/getInfo.php?workbook=06_01.xlsx&amp;sheet=A0&amp;row=147&amp;col=6&amp;number=&amp;sourceID=18","")</f>
        <v/>
      </c>
      <c r="G147" s="4" t="str">
        <f>HYPERLINK("http://141.218.60.56/~jnz1568/getInfo.php?workbook=06_01.xlsx&amp;sheet=A0&amp;row=147&amp;col=7&amp;number==&amp;sourceID=11","=")</f>
        <v>=</v>
      </c>
      <c r="H147" s="4" t="str">
        <f>HYPERLINK("http://141.218.60.56/~jnz1568/getInfo.php?workbook=06_01.xlsx&amp;sheet=A0&amp;row=147&amp;col=8&amp;number=&amp;sourceID=11","")</f>
        <v/>
      </c>
      <c r="I147" s="4" t="str">
        <f>HYPERLINK("http://141.218.60.56/~jnz1568/getInfo.php?workbook=06_01.xlsx&amp;sheet=A0&amp;row=147&amp;col=9&amp;number=&amp;sourceID=11","")</f>
        <v/>
      </c>
      <c r="J147" s="4" t="str">
        <f>HYPERLINK("http://141.218.60.56/~jnz1568/getInfo.php?workbook=06_01.xlsx&amp;sheet=A0&amp;row=147&amp;col=10&amp;number=0.022991&amp;sourceID=11","0.022991")</f>
        <v>0.022991</v>
      </c>
      <c r="K147" s="4" t="str">
        <f>HYPERLINK("http://141.218.60.56/~jnz1568/getInfo.php?workbook=06_01.xlsx&amp;sheet=A0&amp;row=147&amp;col=11&amp;number=&amp;sourceID=11","")</f>
        <v/>
      </c>
      <c r="L147" s="4" t="str">
        <f>HYPERLINK("http://141.218.60.56/~jnz1568/getInfo.php?workbook=06_01.xlsx&amp;sheet=A0&amp;row=147&amp;col=12&amp;number=2.2e-14&amp;sourceID=11","2.2e-14")</f>
        <v>2.2e-14</v>
      </c>
      <c r="M147" s="4" t="str">
        <f>HYPERLINK("http://141.218.60.56/~jnz1568/getInfo.php?workbook=06_01.xlsx&amp;sheet=A0&amp;row=147&amp;col=13&amp;number=&amp;sourceID=11","")</f>
        <v/>
      </c>
      <c r="N147" s="4" t="str">
        <f>HYPERLINK("http://141.218.60.56/~jnz1568/getInfo.php?workbook=06_01.xlsx&amp;sheet=A0&amp;row=147&amp;col=14&amp;number=0.022992&amp;sourceID=12","0.022992")</f>
        <v>0.022992</v>
      </c>
      <c r="O147" s="4" t="str">
        <f>HYPERLINK("http://141.218.60.56/~jnz1568/getInfo.php?workbook=06_01.xlsx&amp;sheet=A0&amp;row=147&amp;col=15&amp;number=&amp;sourceID=12","")</f>
        <v/>
      </c>
      <c r="P147" s="4" t="str">
        <f>HYPERLINK("http://141.218.60.56/~jnz1568/getInfo.php?workbook=06_01.xlsx&amp;sheet=A0&amp;row=147&amp;col=16&amp;number=&amp;sourceID=12","")</f>
        <v/>
      </c>
      <c r="Q147" s="4" t="str">
        <f>HYPERLINK("http://141.218.60.56/~jnz1568/getInfo.php?workbook=06_01.xlsx&amp;sheet=A0&amp;row=147&amp;col=17&amp;number=0.022992&amp;sourceID=12","0.022992")</f>
        <v>0.022992</v>
      </c>
      <c r="R147" s="4" t="str">
        <f>HYPERLINK("http://141.218.60.56/~jnz1568/getInfo.php?workbook=06_01.xlsx&amp;sheet=A0&amp;row=147&amp;col=18&amp;number=&amp;sourceID=12","")</f>
        <v/>
      </c>
      <c r="S147" s="4" t="str">
        <f>HYPERLINK("http://141.218.60.56/~jnz1568/getInfo.php?workbook=06_01.xlsx&amp;sheet=A0&amp;row=147&amp;col=19&amp;number=2.2e-14&amp;sourceID=12","2.2e-14")</f>
        <v>2.2e-14</v>
      </c>
      <c r="T147" s="4" t="str">
        <f>HYPERLINK("http://141.218.60.56/~jnz1568/getInfo.php?workbook=06_01.xlsx&amp;sheet=A0&amp;row=147&amp;col=20&amp;number=&amp;sourceID=12","")</f>
        <v/>
      </c>
      <c r="U147" s="4" t="str">
        <f>HYPERLINK("http://141.218.60.56/~jnz1568/getInfo.php?workbook=06_01.xlsx&amp;sheet=A0&amp;row=147&amp;col=21&amp;number=&amp;sourceID=13","")</f>
        <v/>
      </c>
      <c r="V147" s="4" t="str">
        <f>HYPERLINK("http://141.218.60.56/~jnz1568/getInfo.php?workbook=06_01.xlsx&amp;sheet=A0&amp;row=147&amp;col=22&amp;number=&amp;sourceID=13","")</f>
        <v/>
      </c>
      <c r="W147" s="4" t="str">
        <f>HYPERLINK("http://141.218.60.56/~jnz1568/getInfo.php?workbook=06_01.xlsx&amp;sheet=A0&amp;row=147&amp;col=23&amp;number=&amp;sourceID=13","")</f>
        <v/>
      </c>
      <c r="X147" s="4" t="str">
        <f>HYPERLINK("http://141.218.60.56/~jnz1568/getInfo.php?workbook=06_01.xlsx&amp;sheet=A0&amp;row=147&amp;col=24&amp;number=&amp;sourceID=13","")</f>
        <v/>
      </c>
      <c r="Y147" s="4" t="str">
        <f>HYPERLINK("http://141.218.60.56/~jnz1568/getInfo.php?workbook=06_01.xlsx&amp;sheet=A0&amp;row=147&amp;col=25&amp;number=&amp;sourceID=13","")</f>
        <v/>
      </c>
      <c r="Z147" s="4" t="str">
        <f>HYPERLINK("http://141.218.60.56/~jnz1568/getInfo.php?workbook=06_01.xlsx&amp;sheet=A0&amp;row=147&amp;col=26&amp;number=&amp;sourceID=13","")</f>
        <v/>
      </c>
    </row>
    <row r="148" spans="1:26">
      <c r="A148" s="3">
        <v>6</v>
      </c>
      <c r="B148" s="3">
        <v>1</v>
      </c>
      <c r="C148" s="3">
        <v>18</v>
      </c>
      <c r="D148" s="3">
        <v>15</v>
      </c>
      <c r="E148" s="3">
        <f>((1/(INDEX(E0!J$4:J$28,C148,1)-INDEX(E0!J$4:J$28,D148,1))))*100000000</f>
        <v>0</v>
      </c>
      <c r="F148" s="4" t="str">
        <f>HYPERLINK("http://141.218.60.56/~jnz1568/getInfo.php?workbook=06_01.xlsx&amp;sheet=A0&amp;row=148&amp;col=6&amp;number=&amp;sourceID=18","")</f>
        <v/>
      </c>
      <c r="G148" s="4" t="str">
        <f>HYPERLINK("http://141.218.60.56/~jnz1568/getInfo.php?workbook=06_01.xlsx&amp;sheet=A0&amp;row=148&amp;col=7&amp;number==&amp;sourceID=11","=")</f>
        <v>=</v>
      </c>
      <c r="H148" s="4" t="str">
        <f>HYPERLINK("http://141.218.60.56/~jnz1568/getInfo.php?workbook=06_01.xlsx&amp;sheet=A0&amp;row=148&amp;col=8&amp;number=&amp;sourceID=11","")</f>
        <v/>
      </c>
      <c r="I148" s="4" t="str">
        <f>HYPERLINK("http://141.218.60.56/~jnz1568/getInfo.php?workbook=06_01.xlsx&amp;sheet=A0&amp;row=148&amp;col=9&amp;number=9109.7&amp;sourceID=11","9109.7")</f>
        <v>9109.7</v>
      </c>
      <c r="J148" s="4" t="str">
        <f>HYPERLINK("http://141.218.60.56/~jnz1568/getInfo.php?workbook=06_01.xlsx&amp;sheet=A0&amp;row=148&amp;col=10&amp;number=&amp;sourceID=11","")</f>
        <v/>
      </c>
      <c r="K148" s="4" t="str">
        <f>HYPERLINK("http://141.218.60.56/~jnz1568/getInfo.php?workbook=06_01.xlsx&amp;sheet=A0&amp;row=148&amp;col=11&amp;number=&amp;sourceID=11","")</f>
        <v/>
      </c>
      <c r="L148" s="4" t="str">
        <f>HYPERLINK("http://141.218.60.56/~jnz1568/getInfo.php?workbook=06_01.xlsx&amp;sheet=A0&amp;row=148&amp;col=12&amp;number=&amp;sourceID=11","")</f>
        <v/>
      </c>
      <c r="M148" s="4" t="str">
        <f>HYPERLINK("http://141.218.60.56/~jnz1568/getInfo.php?workbook=06_01.xlsx&amp;sheet=A0&amp;row=148&amp;col=13&amp;number=9.4089e-07&amp;sourceID=11","9.4089e-07")</f>
        <v>9.4089e-07</v>
      </c>
      <c r="N148" s="4" t="str">
        <f>HYPERLINK("http://141.218.60.56/~jnz1568/getInfo.php?workbook=06_01.xlsx&amp;sheet=A0&amp;row=148&amp;col=14&amp;number=9110.1&amp;sourceID=12","9110.1")</f>
        <v>9110.1</v>
      </c>
      <c r="O148" s="4" t="str">
        <f>HYPERLINK("http://141.218.60.56/~jnz1568/getInfo.php?workbook=06_01.xlsx&amp;sheet=A0&amp;row=148&amp;col=15&amp;number=&amp;sourceID=12","")</f>
        <v/>
      </c>
      <c r="P148" s="4" t="str">
        <f>HYPERLINK("http://141.218.60.56/~jnz1568/getInfo.php?workbook=06_01.xlsx&amp;sheet=A0&amp;row=148&amp;col=16&amp;number=9110.1&amp;sourceID=12","9110.1")</f>
        <v>9110.1</v>
      </c>
      <c r="Q148" s="4" t="str">
        <f>HYPERLINK("http://141.218.60.56/~jnz1568/getInfo.php?workbook=06_01.xlsx&amp;sheet=A0&amp;row=148&amp;col=17&amp;number=&amp;sourceID=12","")</f>
        <v/>
      </c>
      <c r="R148" s="4" t="str">
        <f>HYPERLINK("http://141.218.60.56/~jnz1568/getInfo.php?workbook=06_01.xlsx&amp;sheet=A0&amp;row=148&amp;col=18&amp;number=&amp;sourceID=12","")</f>
        <v/>
      </c>
      <c r="S148" s="4" t="str">
        <f>HYPERLINK("http://141.218.60.56/~jnz1568/getInfo.php?workbook=06_01.xlsx&amp;sheet=A0&amp;row=148&amp;col=19&amp;number=&amp;sourceID=12","")</f>
        <v/>
      </c>
      <c r="T148" s="4" t="str">
        <f>HYPERLINK("http://141.218.60.56/~jnz1568/getInfo.php?workbook=06_01.xlsx&amp;sheet=A0&amp;row=148&amp;col=20&amp;number=9.4093e-07&amp;sourceID=12","9.4093e-07")</f>
        <v>9.4093e-07</v>
      </c>
      <c r="U148" s="4" t="str">
        <f>HYPERLINK("http://141.218.60.56/~jnz1568/getInfo.php?workbook=06_01.xlsx&amp;sheet=A0&amp;row=148&amp;col=21&amp;number=&amp;sourceID=13","")</f>
        <v/>
      </c>
      <c r="V148" s="4" t="str">
        <f>HYPERLINK("http://141.218.60.56/~jnz1568/getInfo.php?workbook=06_01.xlsx&amp;sheet=A0&amp;row=148&amp;col=22&amp;number=&amp;sourceID=13","")</f>
        <v/>
      </c>
      <c r="W148" s="4" t="str">
        <f>HYPERLINK("http://141.218.60.56/~jnz1568/getInfo.php?workbook=06_01.xlsx&amp;sheet=A0&amp;row=148&amp;col=23&amp;number=&amp;sourceID=13","")</f>
        <v/>
      </c>
      <c r="X148" s="4" t="str">
        <f>HYPERLINK("http://141.218.60.56/~jnz1568/getInfo.php?workbook=06_01.xlsx&amp;sheet=A0&amp;row=148&amp;col=24&amp;number=&amp;sourceID=13","")</f>
        <v/>
      </c>
      <c r="Y148" s="4" t="str">
        <f>HYPERLINK("http://141.218.60.56/~jnz1568/getInfo.php?workbook=06_01.xlsx&amp;sheet=A0&amp;row=148&amp;col=25&amp;number=&amp;sourceID=13","")</f>
        <v/>
      </c>
      <c r="Z148" s="4" t="str">
        <f>HYPERLINK("http://141.218.60.56/~jnz1568/getInfo.php?workbook=06_01.xlsx&amp;sheet=A0&amp;row=148&amp;col=26&amp;number=&amp;sourceID=13","")</f>
        <v/>
      </c>
    </row>
    <row r="149" spans="1:26">
      <c r="A149" s="3">
        <v>6</v>
      </c>
      <c r="B149" s="3">
        <v>1</v>
      </c>
      <c r="C149" s="3">
        <v>18</v>
      </c>
      <c r="D149" s="3">
        <v>16</v>
      </c>
      <c r="E149" s="3">
        <f>((1/(INDEX(E0!J$4:J$28,C149,1)-INDEX(E0!J$4:J$28,D149,1))))*100000000</f>
        <v>0</v>
      </c>
      <c r="F149" s="4" t="str">
        <f>HYPERLINK("http://141.218.60.56/~jnz1568/getInfo.php?workbook=06_01.xlsx&amp;sheet=A0&amp;row=149&amp;col=6&amp;number=&amp;sourceID=18","")</f>
        <v/>
      </c>
      <c r="G149" s="4" t="str">
        <f>HYPERLINK("http://141.218.60.56/~jnz1568/getInfo.php?workbook=06_01.xlsx&amp;sheet=A0&amp;row=149&amp;col=7&amp;number==&amp;sourceID=11","=")</f>
        <v>=</v>
      </c>
      <c r="H149" s="4" t="str">
        <f>HYPERLINK("http://141.218.60.56/~jnz1568/getInfo.php?workbook=06_01.xlsx&amp;sheet=A0&amp;row=149&amp;col=8&amp;number=&amp;sourceID=11","")</f>
        <v/>
      </c>
      <c r="I149" s="4" t="str">
        <f>HYPERLINK("http://141.218.60.56/~jnz1568/getInfo.php?workbook=06_01.xlsx&amp;sheet=A0&amp;row=149&amp;col=9&amp;number=&amp;sourceID=11","")</f>
        <v/>
      </c>
      <c r="J149" s="4" t="str">
        <f>HYPERLINK("http://141.218.60.56/~jnz1568/getInfo.php?workbook=06_01.xlsx&amp;sheet=A0&amp;row=149&amp;col=10&amp;number=0.030649&amp;sourceID=11","0.030649")</f>
        <v>0.030649</v>
      </c>
      <c r="K149" s="4" t="str">
        <f>HYPERLINK("http://141.218.60.56/~jnz1568/getInfo.php?workbook=06_01.xlsx&amp;sheet=A0&amp;row=149&amp;col=11&amp;number=&amp;sourceID=11","")</f>
        <v/>
      </c>
      <c r="L149" s="4" t="str">
        <f>HYPERLINK("http://141.218.60.56/~jnz1568/getInfo.php?workbook=06_01.xlsx&amp;sheet=A0&amp;row=149&amp;col=12&amp;number=&amp;sourceID=11","")</f>
        <v/>
      </c>
      <c r="M149" s="4" t="str">
        <f>HYPERLINK("http://141.218.60.56/~jnz1568/getInfo.php?workbook=06_01.xlsx&amp;sheet=A0&amp;row=149&amp;col=13&amp;number=&amp;sourceID=11","")</f>
        <v/>
      </c>
      <c r="N149" s="4" t="str">
        <f>HYPERLINK("http://141.218.60.56/~jnz1568/getInfo.php?workbook=06_01.xlsx&amp;sheet=A0&amp;row=149&amp;col=14&amp;number=0.03065&amp;sourceID=12","0.03065")</f>
        <v>0.03065</v>
      </c>
      <c r="O149" s="4" t="str">
        <f>HYPERLINK("http://141.218.60.56/~jnz1568/getInfo.php?workbook=06_01.xlsx&amp;sheet=A0&amp;row=149&amp;col=15&amp;number=&amp;sourceID=12","")</f>
        <v/>
      </c>
      <c r="P149" s="4" t="str">
        <f>HYPERLINK("http://141.218.60.56/~jnz1568/getInfo.php?workbook=06_01.xlsx&amp;sheet=A0&amp;row=149&amp;col=16&amp;number=&amp;sourceID=12","")</f>
        <v/>
      </c>
      <c r="Q149" s="4" t="str">
        <f>HYPERLINK("http://141.218.60.56/~jnz1568/getInfo.php?workbook=06_01.xlsx&amp;sheet=A0&amp;row=149&amp;col=17&amp;number=0.03065&amp;sourceID=12","0.03065")</f>
        <v>0.03065</v>
      </c>
      <c r="R149" s="4" t="str">
        <f>HYPERLINK("http://141.218.60.56/~jnz1568/getInfo.php?workbook=06_01.xlsx&amp;sheet=A0&amp;row=149&amp;col=18&amp;number=&amp;sourceID=12","")</f>
        <v/>
      </c>
      <c r="S149" s="4" t="str">
        <f>HYPERLINK("http://141.218.60.56/~jnz1568/getInfo.php?workbook=06_01.xlsx&amp;sheet=A0&amp;row=149&amp;col=19&amp;number=&amp;sourceID=12","")</f>
        <v/>
      </c>
      <c r="T149" s="4" t="str">
        <f>HYPERLINK("http://141.218.60.56/~jnz1568/getInfo.php?workbook=06_01.xlsx&amp;sheet=A0&amp;row=149&amp;col=20&amp;number=&amp;sourceID=12","")</f>
        <v/>
      </c>
      <c r="U149" s="4" t="str">
        <f>HYPERLINK("http://141.218.60.56/~jnz1568/getInfo.php?workbook=06_01.xlsx&amp;sheet=A0&amp;row=149&amp;col=21&amp;number=&amp;sourceID=13","")</f>
        <v/>
      </c>
      <c r="V149" s="4" t="str">
        <f>HYPERLINK("http://141.218.60.56/~jnz1568/getInfo.php?workbook=06_01.xlsx&amp;sheet=A0&amp;row=149&amp;col=22&amp;number=&amp;sourceID=13","")</f>
        <v/>
      </c>
      <c r="W149" s="4" t="str">
        <f>HYPERLINK("http://141.218.60.56/~jnz1568/getInfo.php?workbook=06_01.xlsx&amp;sheet=A0&amp;row=149&amp;col=23&amp;number=&amp;sourceID=13","")</f>
        <v/>
      </c>
      <c r="X149" s="4" t="str">
        <f>HYPERLINK("http://141.218.60.56/~jnz1568/getInfo.php?workbook=06_01.xlsx&amp;sheet=A0&amp;row=149&amp;col=24&amp;number=&amp;sourceID=13","")</f>
        <v/>
      </c>
      <c r="Y149" s="4" t="str">
        <f>HYPERLINK("http://141.218.60.56/~jnz1568/getInfo.php?workbook=06_01.xlsx&amp;sheet=A0&amp;row=149&amp;col=25&amp;number=&amp;sourceID=13","")</f>
        <v/>
      </c>
      <c r="Z149" s="4" t="str">
        <f>HYPERLINK("http://141.218.60.56/~jnz1568/getInfo.php?workbook=06_01.xlsx&amp;sheet=A0&amp;row=149&amp;col=26&amp;number=&amp;sourceID=13","")</f>
        <v/>
      </c>
    </row>
    <row r="150" spans="1:26">
      <c r="A150" s="3">
        <v>6</v>
      </c>
      <c r="B150" s="3">
        <v>1</v>
      </c>
      <c r="C150" s="3">
        <v>19</v>
      </c>
      <c r="D150" s="3">
        <v>1</v>
      </c>
      <c r="E150" s="3">
        <f>((1/(INDEX(E0!J$4:J$28,C150,1)-INDEX(E0!J$4:J$28,D150,1))))*100000000</f>
        <v>0</v>
      </c>
      <c r="F150" s="4" t="str">
        <f>HYPERLINK("http://141.218.60.56/~jnz1568/getInfo.php?workbook=06_01.xlsx&amp;sheet=A0&amp;row=150&amp;col=6&amp;number=&amp;sourceID=18","")</f>
        <v/>
      </c>
      <c r="G150" s="4" t="str">
        <f>HYPERLINK("http://141.218.60.56/~jnz1568/getInfo.php?workbook=06_01.xlsx&amp;sheet=A0&amp;row=150&amp;col=7&amp;number==&amp;sourceID=11","=")</f>
        <v>=</v>
      </c>
      <c r="H150" s="4" t="str">
        <f>HYPERLINK("http://141.218.60.56/~jnz1568/getInfo.php?workbook=06_01.xlsx&amp;sheet=A0&amp;row=150&amp;col=8&amp;number=&amp;sourceID=11","")</f>
        <v/>
      </c>
      <c r="I150" s="4" t="str">
        <f>HYPERLINK("http://141.218.60.56/~jnz1568/getInfo.php?workbook=06_01.xlsx&amp;sheet=A0&amp;row=150&amp;col=9&amp;number=8607900&amp;sourceID=11","8607900")</f>
        <v>8607900</v>
      </c>
      <c r="J150" s="4" t="str">
        <f>HYPERLINK("http://141.218.60.56/~jnz1568/getInfo.php?workbook=06_01.xlsx&amp;sheet=A0&amp;row=150&amp;col=10&amp;number=&amp;sourceID=11","")</f>
        <v/>
      </c>
      <c r="K150" s="4" t="str">
        <f>HYPERLINK("http://141.218.60.56/~jnz1568/getInfo.php?workbook=06_01.xlsx&amp;sheet=A0&amp;row=150&amp;col=11&amp;number=0.15611&amp;sourceID=11","0.15611")</f>
        <v>0.15611</v>
      </c>
      <c r="L150" s="4" t="str">
        <f>HYPERLINK("http://141.218.60.56/~jnz1568/getInfo.php?workbook=06_01.xlsx&amp;sheet=A0&amp;row=150&amp;col=12&amp;number=&amp;sourceID=11","")</f>
        <v/>
      </c>
      <c r="M150" s="4" t="str">
        <f>HYPERLINK("http://141.218.60.56/~jnz1568/getInfo.php?workbook=06_01.xlsx&amp;sheet=A0&amp;row=150&amp;col=13&amp;number=&amp;sourceID=11","")</f>
        <v/>
      </c>
      <c r="N150" s="4" t="str">
        <f>HYPERLINK("http://141.218.60.56/~jnz1568/getInfo.php?workbook=06_01.xlsx&amp;sheet=A0&amp;row=150&amp;col=14&amp;number=8608300&amp;sourceID=12","8608300")</f>
        <v>8608300</v>
      </c>
      <c r="O150" s="4" t="str">
        <f>HYPERLINK("http://141.218.60.56/~jnz1568/getInfo.php?workbook=06_01.xlsx&amp;sheet=A0&amp;row=150&amp;col=15&amp;number=&amp;sourceID=12","")</f>
        <v/>
      </c>
      <c r="P150" s="4" t="str">
        <f>HYPERLINK("http://141.218.60.56/~jnz1568/getInfo.php?workbook=06_01.xlsx&amp;sheet=A0&amp;row=150&amp;col=16&amp;number=8608300&amp;sourceID=12","8608300")</f>
        <v>8608300</v>
      </c>
      <c r="Q150" s="4" t="str">
        <f>HYPERLINK("http://141.218.60.56/~jnz1568/getInfo.php?workbook=06_01.xlsx&amp;sheet=A0&amp;row=150&amp;col=17&amp;number=&amp;sourceID=12","")</f>
        <v/>
      </c>
      <c r="R150" s="4" t="str">
        <f>HYPERLINK("http://141.218.60.56/~jnz1568/getInfo.php?workbook=06_01.xlsx&amp;sheet=A0&amp;row=150&amp;col=18&amp;number=0.15612&amp;sourceID=12","0.15612")</f>
        <v>0.15612</v>
      </c>
      <c r="S150" s="4" t="str">
        <f>HYPERLINK("http://141.218.60.56/~jnz1568/getInfo.php?workbook=06_01.xlsx&amp;sheet=A0&amp;row=150&amp;col=19&amp;number=&amp;sourceID=12","")</f>
        <v/>
      </c>
      <c r="T150" s="4" t="str">
        <f>HYPERLINK("http://141.218.60.56/~jnz1568/getInfo.php?workbook=06_01.xlsx&amp;sheet=A0&amp;row=150&amp;col=20&amp;number=&amp;sourceID=12","")</f>
        <v/>
      </c>
      <c r="U150" s="4" t="str">
        <f>HYPERLINK("http://141.218.60.56/~jnz1568/getInfo.php?workbook=06_01.xlsx&amp;sheet=A0&amp;row=150&amp;col=21&amp;number=&amp;sourceID=13","")</f>
        <v/>
      </c>
      <c r="V150" s="4" t="str">
        <f>HYPERLINK("http://141.218.60.56/~jnz1568/getInfo.php?workbook=06_01.xlsx&amp;sheet=A0&amp;row=150&amp;col=22&amp;number=&amp;sourceID=13","")</f>
        <v/>
      </c>
      <c r="W150" s="4" t="str">
        <f>HYPERLINK("http://141.218.60.56/~jnz1568/getInfo.php?workbook=06_01.xlsx&amp;sheet=A0&amp;row=150&amp;col=23&amp;number=&amp;sourceID=13","")</f>
        <v/>
      </c>
      <c r="X150" s="4" t="str">
        <f>HYPERLINK("http://141.218.60.56/~jnz1568/getInfo.php?workbook=06_01.xlsx&amp;sheet=A0&amp;row=150&amp;col=24&amp;number=&amp;sourceID=13","")</f>
        <v/>
      </c>
      <c r="Y150" s="4" t="str">
        <f>HYPERLINK("http://141.218.60.56/~jnz1568/getInfo.php?workbook=06_01.xlsx&amp;sheet=A0&amp;row=150&amp;col=25&amp;number=&amp;sourceID=13","")</f>
        <v/>
      </c>
      <c r="Z150" s="4" t="str">
        <f>HYPERLINK("http://141.218.60.56/~jnz1568/getInfo.php?workbook=06_01.xlsx&amp;sheet=A0&amp;row=150&amp;col=26&amp;number=&amp;sourceID=13","")</f>
        <v/>
      </c>
    </row>
    <row r="151" spans="1:26">
      <c r="A151" s="3">
        <v>6</v>
      </c>
      <c r="B151" s="3">
        <v>1</v>
      </c>
      <c r="C151" s="3">
        <v>19</v>
      </c>
      <c r="D151" s="3">
        <v>2</v>
      </c>
      <c r="E151" s="3">
        <f>((1/(INDEX(E0!J$4:J$28,C151,1)-INDEX(E0!J$4:J$28,D151,1))))*100000000</f>
        <v>0</v>
      </c>
      <c r="F151" s="4" t="str">
        <f>HYPERLINK("http://141.218.60.56/~jnz1568/getInfo.php?workbook=06_01.xlsx&amp;sheet=A0&amp;row=151&amp;col=6&amp;number=&amp;sourceID=18","")</f>
        <v/>
      </c>
      <c r="G151" s="4" t="str">
        <f>HYPERLINK("http://141.218.60.56/~jnz1568/getInfo.php?workbook=06_01.xlsx&amp;sheet=A0&amp;row=151&amp;col=7&amp;number==&amp;sourceID=11","=")</f>
        <v>=</v>
      </c>
      <c r="H151" s="4" t="str">
        <f>HYPERLINK("http://141.218.60.56/~jnz1568/getInfo.php?workbook=06_01.xlsx&amp;sheet=A0&amp;row=151&amp;col=8&amp;number=10199000000&amp;sourceID=11","10199000000")</f>
        <v>10199000000</v>
      </c>
      <c r="I151" s="4" t="str">
        <f>HYPERLINK("http://141.218.60.56/~jnz1568/getInfo.php?workbook=06_01.xlsx&amp;sheet=A0&amp;row=151&amp;col=9&amp;number=&amp;sourceID=11","")</f>
        <v/>
      </c>
      <c r="J151" s="4" t="str">
        <f>HYPERLINK("http://141.218.60.56/~jnz1568/getInfo.php?workbook=06_01.xlsx&amp;sheet=A0&amp;row=151&amp;col=10&amp;number=&amp;sourceID=11","")</f>
        <v/>
      </c>
      <c r="K151" s="4" t="str">
        <f>HYPERLINK("http://141.218.60.56/~jnz1568/getInfo.php?workbook=06_01.xlsx&amp;sheet=A0&amp;row=151&amp;col=11&amp;number=&amp;sourceID=11","")</f>
        <v/>
      </c>
      <c r="L151" s="4" t="str">
        <f>HYPERLINK("http://141.218.60.56/~jnz1568/getInfo.php?workbook=06_01.xlsx&amp;sheet=A0&amp;row=151&amp;col=12&amp;number=3.1014&amp;sourceID=11","3.1014")</f>
        <v>3.1014</v>
      </c>
      <c r="M151" s="4" t="str">
        <f>HYPERLINK("http://141.218.60.56/~jnz1568/getInfo.php?workbook=06_01.xlsx&amp;sheet=A0&amp;row=151&amp;col=13&amp;number=&amp;sourceID=11","")</f>
        <v/>
      </c>
      <c r="N151" s="4" t="str">
        <f>HYPERLINK("http://141.218.60.56/~jnz1568/getInfo.php?workbook=06_01.xlsx&amp;sheet=A0&amp;row=151&amp;col=14&amp;number=10200000000&amp;sourceID=12","10200000000")</f>
        <v>10200000000</v>
      </c>
      <c r="O151" s="4" t="str">
        <f>HYPERLINK("http://141.218.60.56/~jnz1568/getInfo.php?workbook=06_01.xlsx&amp;sheet=A0&amp;row=151&amp;col=15&amp;number=10200000000&amp;sourceID=12","10200000000")</f>
        <v>10200000000</v>
      </c>
      <c r="P151" s="4" t="str">
        <f>HYPERLINK("http://141.218.60.56/~jnz1568/getInfo.php?workbook=06_01.xlsx&amp;sheet=A0&amp;row=151&amp;col=16&amp;number=&amp;sourceID=12","")</f>
        <v/>
      </c>
      <c r="Q151" s="4" t="str">
        <f>HYPERLINK("http://141.218.60.56/~jnz1568/getInfo.php?workbook=06_01.xlsx&amp;sheet=A0&amp;row=151&amp;col=17&amp;number=&amp;sourceID=12","")</f>
        <v/>
      </c>
      <c r="R151" s="4" t="str">
        <f>HYPERLINK("http://141.218.60.56/~jnz1568/getInfo.php?workbook=06_01.xlsx&amp;sheet=A0&amp;row=151&amp;col=18&amp;number=&amp;sourceID=12","")</f>
        <v/>
      </c>
      <c r="S151" s="4" t="str">
        <f>HYPERLINK("http://141.218.60.56/~jnz1568/getInfo.php?workbook=06_01.xlsx&amp;sheet=A0&amp;row=151&amp;col=19&amp;number=3.1015&amp;sourceID=12","3.1015")</f>
        <v>3.1015</v>
      </c>
      <c r="T151" s="4" t="str">
        <f>HYPERLINK("http://141.218.60.56/~jnz1568/getInfo.php?workbook=06_01.xlsx&amp;sheet=A0&amp;row=151&amp;col=20&amp;number=&amp;sourceID=12","")</f>
        <v/>
      </c>
      <c r="U151" s="4" t="str">
        <f>HYPERLINK("http://141.218.60.56/~jnz1568/getInfo.php?workbook=06_01.xlsx&amp;sheet=A0&amp;row=151&amp;col=21&amp;number=&amp;sourceID=13","")</f>
        <v/>
      </c>
      <c r="V151" s="4" t="str">
        <f>HYPERLINK("http://141.218.60.56/~jnz1568/getInfo.php?workbook=06_01.xlsx&amp;sheet=A0&amp;row=151&amp;col=22&amp;number=&amp;sourceID=13","")</f>
        <v/>
      </c>
      <c r="W151" s="4" t="str">
        <f>HYPERLINK("http://141.218.60.56/~jnz1568/getInfo.php?workbook=06_01.xlsx&amp;sheet=A0&amp;row=151&amp;col=23&amp;number=&amp;sourceID=13","")</f>
        <v/>
      </c>
      <c r="X151" s="4" t="str">
        <f>HYPERLINK("http://141.218.60.56/~jnz1568/getInfo.php?workbook=06_01.xlsx&amp;sheet=A0&amp;row=151&amp;col=24&amp;number=&amp;sourceID=13","")</f>
        <v/>
      </c>
      <c r="Y151" s="4" t="str">
        <f>HYPERLINK("http://141.218.60.56/~jnz1568/getInfo.php?workbook=06_01.xlsx&amp;sheet=A0&amp;row=151&amp;col=25&amp;number=&amp;sourceID=13","")</f>
        <v/>
      </c>
      <c r="Z151" s="4" t="str">
        <f>HYPERLINK("http://141.218.60.56/~jnz1568/getInfo.php?workbook=06_01.xlsx&amp;sheet=A0&amp;row=151&amp;col=26&amp;number=&amp;sourceID=13","")</f>
        <v/>
      </c>
    </row>
    <row r="152" spans="1:26">
      <c r="A152" s="3">
        <v>6</v>
      </c>
      <c r="B152" s="3">
        <v>1</v>
      </c>
      <c r="C152" s="3">
        <v>19</v>
      </c>
      <c r="D152" s="3">
        <v>3</v>
      </c>
      <c r="E152" s="3">
        <f>((1/(INDEX(E0!J$4:J$28,C152,1)-INDEX(E0!J$4:J$28,D152,1))))*100000000</f>
        <v>0</v>
      </c>
      <c r="F152" s="4" t="str">
        <f>HYPERLINK("http://141.218.60.56/~jnz1568/getInfo.php?workbook=06_01.xlsx&amp;sheet=A0&amp;row=152&amp;col=6&amp;number=&amp;sourceID=18","")</f>
        <v/>
      </c>
      <c r="G152" s="4" t="str">
        <f>HYPERLINK("http://141.218.60.56/~jnz1568/getInfo.php?workbook=06_01.xlsx&amp;sheet=A0&amp;row=152&amp;col=7&amp;number==&amp;sourceID=11","=")</f>
        <v>=</v>
      </c>
      <c r="H152" s="4" t="str">
        <f>HYPERLINK("http://141.218.60.56/~jnz1568/getInfo.php?workbook=06_01.xlsx&amp;sheet=A0&amp;row=152&amp;col=8&amp;number=&amp;sourceID=11","")</f>
        <v/>
      </c>
      <c r="I152" s="4" t="str">
        <f>HYPERLINK("http://141.218.60.56/~jnz1568/getInfo.php?workbook=06_01.xlsx&amp;sheet=A0&amp;row=152&amp;col=9&amp;number=45334&amp;sourceID=11","45334")</f>
        <v>45334</v>
      </c>
      <c r="J152" s="4" t="str">
        <f>HYPERLINK("http://141.218.60.56/~jnz1568/getInfo.php?workbook=06_01.xlsx&amp;sheet=A0&amp;row=152&amp;col=10&amp;number=&amp;sourceID=11","")</f>
        <v/>
      </c>
      <c r="K152" s="4" t="str">
        <f>HYPERLINK("http://141.218.60.56/~jnz1568/getInfo.php?workbook=06_01.xlsx&amp;sheet=A0&amp;row=152&amp;col=11&amp;number=0.0020395&amp;sourceID=11","0.0020395")</f>
        <v>0.0020395</v>
      </c>
      <c r="L152" s="4" t="str">
        <f>HYPERLINK("http://141.218.60.56/~jnz1568/getInfo.php?workbook=06_01.xlsx&amp;sheet=A0&amp;row=152&amp;col=12&amp;number=&amp;sourceID=11","")</f>
        <v/>
      </c>
      <c r="M152" s="4" t="str">
        <f>HYPERLINK("http://141.218.60.56/~jnz1568/getInfo.php?workbook=06_01.xlsx&amp;sheet=A0&amp;row=152&amp;col=13&amp;number=&amp;sourceID=11","")</f>
        <v/>
      </c>
      <c r="N152" s="4" t="str">
        <f>HYPERLINK("http://141.218.60.56/~jnz1568/getInfo.php?workbook=06_01.xlsx&amp;sheet=A0&amp;row=152&amp;col=14&amp;number=45336&amp;sourceID=12","45336")</f>
        <v>45336</v>
      </c>
      <c r="O152" s="4" t="str">
        <f>HYPERLINK("http://141.218.60.56/~jnz1568/getInfo.php?workbook=06_01.xlsx&amp;sheet=A0&amp;row=152&amp;col=15&amp;number=&amp;sourceID=12","")</f>
        <v/>
      </c>
      <c r="P152" s="4" t="str">
        <f>HYPERLINK("http://141.218.60.56/~jnz1568/getInfo.php?workbook=06_01.xlsx&amp;sheet=A0&amp;row=152&amp;col=16&amp;number=45336&amp;sourceID=12","45336")</f>
        <v>45336</v>
      </c>
      <c r="Q152" s="4" t="str">
        <f>HYPERLINK("http://141.218.60.56/~jnz1568/getInfo.php?workbook=06_01.xlsx&amp;sheet=A0&amp;row=152&amp;col=17&amp;number=&amp;sourceID=12","")</f>
        <v/>
      </c>
      <c r="R152" s="4" t="str">
        <f>HYPERLINK("http://141.218.60.56/~jnz1568/getInfo.php?workbook=06_01.xlsx&amp;sheet=A0&amp;row=152&amp;col=18&amp;number=0.0020379&amp;sourceID=12","0.0020379")</f>
        <v>0.0020379</v>
      </c>
      <c r="S152" s="4" t="str">
        <f>HYPERLINK("http://141.218.60.56/~jnz1568/getInfo.php?workbook=06_01.xlsx&amp;sheet=A0&amp;row=152&amp;col=19&amp;number=&amp;sourceID=12","")</f>
        <v/>
      </c>
      <c r="T152" s="4" t="str">
        <f>HYPERLINK("http://141.218.60.56/~jnz1568/getInfo.php?workbook=06_01.xlsx&amp;sheet=A0&amp;row=152&amp;col=20&amp;number=&amp;sourceID=12","")</f>
        <v/>
      </c>
      <c r="U152" s="4" t="str">
        <f>HYPERLINK("http://141.218.60.56/~jnz1568/getInfo.php?workbook=06_01.xlsx&amp;sheet=A0&amp;row=152&amp;col=21&amp;number=&amp;sourceID=13","")</f>
        <v/>
      </c>
      <c r="V152" s="4" t="str">
        <f>HYPERLINK("http://141.218.60.56/~jnz1568/getInfo.php?workbook=06_01.xlsx&amp;sheet=A0&amp;row=152&amp;col=22&amp;number=&amp;sourceID=13","")</f>
        <v/>
      </c>
      <c r="W152" s="4" t="str">
        <f>HYPERLINK("http://141.218.60.56/~jnz1568/getInfo.php?workbook=06_01.xlsx&amp;sheet=A0&amp;row=152&amp;col=23&amp;number=&amp;sourceID=13","")</f>
        <v/>
      </c>
      <c r="X152" s="4" t="str">
        <f>HYPERLINK("http://141.218.60.56/~jnz1568/getInfo.php?workbook=06_01.xlsx&amp;sheet=A0&amp;row=152&amp;col=24&amp;number=&amp;sourceID=13","")</f>
        <v/>
      </c>
      <c r="Y152" s="4" t="str">
        <f>HYPERLINK("http://141.218.60.56/~jnz1568/getInfo.php?workbook=06_01.xlsx&amp;sheet=A0&amp;row=152&amp;col=25&amp;number=&amp;sourceID=13","")</f>
        <v/>
      </c>
      <c r="Z152" s="4" t="str">
        <f>HYPERLINK("http://141.218.60.56/~jnz1568/getInfo.php?workbook=06_01.xlsx&amp;sheet=A0&amp;row=152&amp;col=26&amp;number=&amp;sourceID=13","")</f>
        <v/>
      </c>
    </row>
    <row r="153" spans="1:26">
      <c r="A153" s="3">
        <v>6</v>
      </c>
      <c r="B153" s="3">
        <v>1</v>
      </c>
      <c r="C153" s="3">
        <v>19</v>
      </c>
      <c r="D153" s="3">
        <v>4</v>
      </c>
      <c r="E153" s="3">
        <f>((1/(INDEX(E0!J$4:J$28,C153,1)-INDEX(E0!J$4:J$28,D153,1))))*100000000</f>
        <v>0</v>
      </c>
      <c r="F153" s="4" t="str">
        <f>HYPERLINK("http://141.218.60.56/~jnz1568/getInfo.php?workbook=06_01.xlsx&amp;sheet=A0&amp;row=153&amp;col=6&amp;number=&amp;sourceID=18","")</f>
        <v/>
      </c>
      <c r="G153" s="4" t="str">
        <f>HYPERLINK("http://141.218.60.56/~jnz1568/getInfo.php?workbook=06_01.xlsx&amp;sheet=A0&amp;row=153&amp;col=7&amp;number==&amp;sourceID=11","=")</f>
        <v>=</v>
      </c>
      <c r="H153" s="4" t="str">
        <f>HYPERLINK("http://141.218.60.56/~jnz1568/getInfo.php?workbook=06_01.xlsx&amp;sheet=A0&amp;row=153&amp;col=8&amp;number=2035900000&amp;sourceID=11","2035900000")</f>
        <v>2035900000</v>
      </c>
      <c r="I153" s="4" t="str">
        <f>HYPERLINK("http://141.218.60.56/~jnz1568/getInfo.php?workbook=06_01.xlsx&amp;sheet=A0&amp;row=153&amp;col=9&amp;number=&amp;sourceID=11","")</f>
        <v/>
      </c>
      <c r="J153" s="4" t="str">
        <f>HYPERLINK("http://141.218.60.56/~jnz1568/getInfo.php?workbook=06_01.xlsx&amp;sheet=A0&amp;row=153&amp;col=10&amp;number=1.1926&amp;sourceID=11","1.1926")</f>
        <v>1.1926</v>
      </c>
      <c r="K153" s="4" t="str">
        <f>HYPERLINK("http://141.218.60.56/~jnz1568/getInfo.php?workbook=06_01.xlsx&amp;sheet=A0&amp;row=153&amp;col=11&amp;number=&amp;sourceID=11","")</f>
        <v/>
      </c>
      <c r="L153" s="4" t="str">
        <f>HYPERLINK("http://141.218.60.56/~jnz1568/getInfo.php?workbook=06_01.xlsx&amp;sheet=A0&amp;row=153&amp;col=12&amp;number=&amp;sourceID=11","")</f>
        <v/>
      </c>
      <c r="M153" s="4" t="str">
        <f>HYPERLINK("http://141.218.60.56/~jnz1568/getInfo.php?workbook=06_01.xlsx&amp;sheet=A0&amp;row=153&amp;col=13&amp;number=&amp;sourceID=11","")</f>
        <v/>
      </c>
      <c r="N153" s="4" t="str">
        <f>HYPERLINK("http://141.218.60.56/~jnz1568/getInfo.php?workbook=06_01.xlsx&amp;sheet=A0&amp;row=153&amp;col=14&amp;number=2036000000&amp;sourceID=12","2036000000")</f>
        <v>2036000000</v>
      </c>
      <c r="O153" s="4" t="str">
        <f>HYPERLINK("http://141.218.60.56/~jnz1568/getInfo.php?workbook=06_01.xlsx&amp;sheet=A0&amp;row=153&amp;col=15&amp;number=2036000000&amp;sourceID=12","2036000000")</f>
        <v>2036000000</v>
      </c>
      <c r="P153" s="4" t="str">
        <f>HYPERLINK("http://141.218.60.56/~jnz1568/getInfo.php?workbook=06_01.xlsx&amp;sheet=A0&amp;row=153&amp;col=16&amp;number=&amp;sourceID=12","")</f>
        <v/>
      </c>
      <c r="Q153" s="4" t="str">
        <f>HYPERLINK("http://141.218.60.56/~jnz1568/getInfo.php?workbook=06_01.xlsx&amp;sheet=A0&amp;row=153&amp;col=17&amp;number=1.1926&amp;sourceID=12","1.1926")</f>
        <v>1.1926</v>
      </c>
      <c r="R153" s="4" t="str">
        <f>HYPERLINK("http://141.218.60.56/~jnz1568/getInfo.php?workbook=06_01.xlsx&amp;sheet=A0&amp;row=153&amp;col=18&amp;number=&amp;sourceID=12","")</f>
        <v/>
      </c>
      <c r="S153" s="4" t="str">
        <f>HYPERLINK("http://141.218.60.56/~jnz1568/getInfo.php?workbook=06_01.xlsx&amp;sheet=A0&amp;row=153&amp;col=19&amp;number=&amp;sourceID=12","")</f>
        <v/>
      </c>
      <c r="T153" s="4" t="str">
        <f>HYPERLINK("http://141.218.60.56/~jnz1568/getInfo.php?workbook=06_01.xlsx&amp;sheet=A0&amp;row=153&amp;col=20&amp;number=&amp;sourceID=12","")</f>
        <v/>
      </c>
      <c r="U153" s="4" t="str">
        <f>HYPERLINK("http://141.218.60.56/~jnz1568/getInfo.php?workbook=06_01.xlsx&amp;sheet=A0&amp;row=153&amp;col=21&amp;number=&amp;sourceID=13","")</f>
        <v/>
      </c>
      <c r="V153" s="4" t="str">
        <f>HYPERLINK("http://141.218.60.56/~jnz1568/getInfo.php?workbook=06_01.xlsx&amp;sheet=A0&amp;row=153&amp;col=22&amp;number=&amp;sourceID=13","")</f>
        <v/>
      </c>
      <c r="W153" s="4" t="str">
        <f>HYPERLINK("http://141.218.60.56/~jnz1568/getInfo.php?workbook=06_01.xlsx&amp;sheet=A0&amp;row=153&amp;col=23&amp;number=&amp;sourceID=13","")</f>
        <v/>
      </c>
      <c r="X153" s="4" t="str">
        <f>HYPERLINK("http://141.218.60.56/~jnz1568/getInfo.php?workbook=06_01.xlsx&amp;sheet=A0&amp;row=153&amp;col=24&amp;number=&amp;sourceID=13","")</f>
        <v/>
      </c>
      <c r="Y153" s="4" t="str">
        <f>HYPERLINK("http://141.218.60.56/~jnz1568/getInfo.php?workbook=06_01.xlsx&amp;sheet=A0&amp;row=153&amp;col=25&amp;number=&amp;sourceID=13","")</f>
        <v/>
      </c>
      <c r="Z153" s="4" t="str">
        <f>HYPERLINK("http://141.218.60.56/~jnz1568/getInfo.php?workbook=06_01.xlsx&amp;sheet=A0&amp;row=153&amp;col=26&amp;number=&amp;sourceID=13","")</f>
        <v/>
      </c>
    </row>
    <row r="154" spans="1:26">
      <c r="A154" s="3">
        <v>6</v>
      </c>
      <c r="B154" s="3">
        <v>1</v>
      </c>
      <c r="C154" s="3">
        <v>19</v>
      </c>
      <c r="D154" s="3">
        <v>5</v>
      </c>
      <c r="E154" s="3">
        <f>((1/(INDEX(E0!J$4:J$28,C154,1)-INDEX(E0!J$4:J$28,D154,1))))*100000000</f>
        <v>0</v>
      </c>
      <c r="F154" s="4" t="str">
        <f>HYPERLINK("http://141.218.60.56/~jnz1568/getInfo.php?workbook=06_01.xlsx&amp;sheet=A0&amp;row=154&amp;col=6&amp;number=&amp;sourceID=18","")</f>
        <v/>
      </c>
      <c r="G154" s="4" t="str">
        <f>HYPERLINK("http://141.218.60.56/~jnz1568/getInfo.php?workbook=06_01.xlsx&amp;sheet=A0&amp;row=154&amp;col=7&amp;number==&amp;sourceID=11","=")</f>
        <v>=</v>
      </c>
      <c r="H154" s="4" t="str">
        <f>HYPERLINK("http://141.218.60.56/~jnz1568/getInfo.php?workbook=06_01.xlsx&amp;sheet=A0&amp;row=154&amp;col=8&amp;number=3666800000&amp;sourceID=11","3666800000")</f>
        <v>3666800000</v>
      </c>
      <c r="I154" s="4" t="str">
        <f>HYPERLINK("http://141.218.60.56/~jnz1568/getInfo.php?workbook=06_01.xlsx&amp;sheet=A0&amp;row=154&amp;col=9&amp;number=&amp;sourceID=11","")</f>
        <v/>
      </c>
      <c r="J154" s="4" t="str">
        <f>HYPERLINK("http://141.218.60.56/~jnz1568/getInfo.php?workbook=06_01.xlsx&amp;sheet=A0&amp;row=154&amp;col=10&amp;number=&amp;sourceID=11","")</f>
        <v/>
      </c>
      <c r="K154" s="4" t="str">
        <f>HYPERLINK("http://141.218.60.56/~jnz1568/getInfo.php?workbook=06_01.xlsx&amp;sheet=A0&amp;row=154&amp;col=11&amp;number=&amp;sourceID=11","")</f>
        <v/>
      </c>
      <c r="L154" s="4" t="str">
        <f>HYPERLINK("http://141.218.60.56/~jnz1568/getInfo.php?workbook=06_01.xlsx&amp;sheet=A0&amp;row=154&amp;col=12&amp;number=0.12791&amp;sourceID=11","0.12791")</f>
        <v>0.12791</v>
      </c>
      <c r="M154" s="4" t="str">
        <f>HYPERLINK("http://141.218.60.56/~jnz1568/getInfo.php?workbook=06_01.xlsx&amp;sheet=A0&amp;row=154&amp;col=13&amp;number=&amp;sourceID=11","")</f>
        <v/>
      </c>
      <c r="N154" s="4" t="str">
        <f>HYPERLINK("http://141.218.60.56/~jnz1568/getInfo.php?workbook=06_01.xlsx&amp;sheet=A0&amp;row=154&amp;col=14&amp;number=3666900000&amp;sourceID=12","3666900000")</f>
        <v>3666900000</v>
      </c>
      <c r="O154" s="4" t="str">
        <f>HYPERLINK("http://141.218.60.56/~jnz1568/getInfo.php?workbook=06_01.xlsx&amp;sheet=A0&amp;row=154&amp;col=15&amp;number=3666900000&amp;sourceID=12","3666900000")</f>
        <v>3666900000</v>
      </c>
      <c r="P154" s="4" t="str">
        <f>HYPERLINK("http://141.218.60.56/~jnz1568/getInfo.php?workbook=06_01.xlsx&amp;sheet=A0&amp;row=154&amp;col=16&amp;number=&amp;sourceID=12","")</f>
        <v/>
      </c>
      <c r="Q154" s="4" t="str">
        <f>HYPERLINK("http://141.218.60.56/~jnz1568/getInfo.php?workbook=06_01.xlsx&amp;sheet=A0&amp;row=154&amp;col=17&amp;number=&amp;sourceID=12","")</f>
        <v/>
      </c>
      <c r="R154" s="4" t="str">
        <f>HYPERLINK("http://141.218.60.56/~jnz1568/getInfo.php?workbook=06_01.xlsx&amp;sheet=A0&amp;row=154&amp;col=18&amp;number=&amp;sourceID=12","")</f>
        <v/>
      </c>
      <c r="S154" s="4" t="str">
        <f>HYPERLINK("http://141.218.60.56/~jnz1568/getInfo.php?workbook=06_01.xlsx&amp;sheet=A0&amp;row=154&amp;col=19&amp;number=0.12792&amp;sourceID=12","0.12792")</f>
        <v>0.12792</v>
      </c>
      <c r="T154" s="4" t="str">
        <f>HYPERLINK("http://141.218.60.56/~jnz1568/getInfo.php?workbook=06_01.xlsx&amp;sheet=A0&amp;row=154&amp;col=20&amp;number=&amp;sourceID=12","")</f>
        <v/>
      </c>
      <c r="U154" s="4" t="str">
        <f>HYPERLINK("http://141.218.60.56/~jnz1568/getInfo.php?workbook=06_01.xlsx&amp;sheet=A0&amp;row=154&amp;col=21&amp;number=&amp;sourceID=13","")</f>
        <v/>
      </c>
      <c r="V154" s="4" t="str">
        <f>HYPERLINK("http://141.218.60.56/~jnz1568/getInfo.php?workbook=06_01.xlsx&amp;sheet=A0&amp;row=154&amp;col=22&amp;number=&amp;sourceID=13","")</f>
        <v/>
      </c>
      <c r="W154" s="4" t="str">
        <f>HYPERLINK("http://141.218.60.56/~jnz1568/getInfo.php?workbook=06_01.xlsx&amp;sheet=A0&amp;row=154&amp;col=23&amp;number=&amp;sourceID=13","")</f>
        <v/>
      </c>
      <c r="X154" s="4" t="str">
        <f>HYPERLINK("http://141.218.60.56/~jnz1568/getInfo.php?workbook=06_01.xlsx&amp;sheet=A0&amp;row=154&amp;col=24&amp;number=&amp;sourceID=13","")</f>
        <v/>
      </c>
      <c r="Y154" s="4" t="str">
        <f>HYPERLINK("http://141.218.60.56/~jnz1568/getInfo.php?workbook=06_01.xlsx&amp;sheet=A0&amp;row=154&amp;col=25&amp;number=&amp;sourceID=13","")</f>
        <v/>
      </c>
      <c r="Z154" s="4" t="str">
        <f>HYPERLINK("http://141.218.60.56/~jnz1568/getInfo.php?workbook=06_01.xlsx&amp;sheet=A0&amp;row=154&amp;col=26&amp;number=&amp;sourceID=13","")</f>
        <v/>
      </c>
    </row>
    <row r="155" spans="1:26">
      <c r="A155" s="3">
        <v>6</v>
      </c>
      <c r="B155" s="3">
        <v>1</v>
      </c>
      <c r="C155" s="3">
        <v>19</v>
      </c>
      <c r="D155" s="3">
        <v>6</v>
      </c>
      <c r="E155" s="3">
        <f>((1/(INDEX(E0!J$4:J$28,C155,1)-INDEX(E0!J$4:J$28,D155,1))))*100000000</f>
        <v>0</v>
      </c>
      <c r="F155" s="4" t="str">
        <f>HYPERLINK("http://141.218.60.56/~jnz1568/getInfo.php?workbook=06_01.xlsx&amp;sheet=A0&amp;row=155&amp;col=6&amp;number=&amp;sourceID=18","")</f>
        <v/>
      </c>
      <c r="G155" s="4" t="str">
        <f>HYPERLINK("http://141.218.60.56/~jnz1568/getInfo.php?workbook=06_01.xlsx&amp;sheet=A0&amp;row=155&amp;col=7&amp;number==&amp;sourceID=11","=")</f>
        <v>=</v>
      </c>
      <c r="H155" s="4" t="str">
        <f>HYPERLINK("http://141.218.60.56/~jnz1568/getInfo.php?workbook=06_01.xlsx&amp;sheet=A0&amp;row=155&amp;col=8&amp;number=&amp;sourceID=11","")</f>
        <v/>
      </c>
      <c r="I155" s="4" t="str">
        <f>HYPERLINK("http://141.218.60.56/~jnz1568/getInfo.php?workbook=06_01.xlsx&amp;sheet=A0&amp;row=155&amp;col=9&amp;number=50833&amp;sourceID=11","50833")</f>
        <v>50833</v>
      </c>
      <c r="J155" s="4" t="str">
        <f>HYPERLINK("http://141.218.60.56/~jnz1568/getInfo.php?workbook=06_01.xlsx&amp;sheet=A0&amp;row=155&amp;col=10&amp;number=&amp;sourceID=11","")</f>
        <v/>
      </c>
      <c r="K155" s="4" t="str">
        <f>HYPERLINK("http://141.218.60.56/~jnz1568/getInfo.php?workbook=06_01.xlsx&amp;sheet=A0&amp;row=155&amp;col=11&amp;number=4.2597e-05&amp;sourceID=11","4.2597e-05")</f>
        <v>4.2597e-05</v>
      </c>
      <c r="L155" s="4" t="str">
        <f>HYPERLINK("http://141.218.60.56/~jnz1568/getInfo.php?workbook=06_01.xlsx&amp;sheet=A0&amp;row=155&amp;col=12&amp;number=&amp;sourceID=11","")</f>
        <v/>
      </c>
      <c r="M155" s="4" t="str">
        <f>HYPERLINK("http://141.218.60.56/~jnz1568/getInfo.php?workbook=06_01.xlsx&amp;sheet=A0&amp;row=155&amp;col=13&amp;number=&amp;sourceID=11","")</f>
        <v/>
      </c>
      <c r="N155" s="4" t="str">
        <f>HYPERLINK("http://141.218.60.56/~jnz1568/getInfo.php?workbook=06_01.xlsx&amp;sheet=A0&amp;row=155&amp;col=14&amp;number=50836&amp;sourceID=12","50836")</f>
        <v>50836</v>
      </c>
      <c r="O155" s="4" t="str">
        <f>HYPERLINK("http://141.218.60.56/~jnz1568/getInfo.php?workbook=06_01.xlsx&amp;sheet=A0&amp;row=155&amp;col=15&amp;number=&amp;sourceID=12","")</f>
        <v/>
      </c>
      <c r="P155" s="4" t="str">
        <f>HYPERLINK("http://141.218.60.56/~jnz1568/getInfo.php?workbook=06_01.xlsx&amp;sheet=A0&amp;row=155&amp;col=16&amp;number=50836&amp;sourceID=12","50836")</f>
        <v>50836</v>
      </c>
      <c r="Q155" s="4" t="str">
        <f>HYPERLINK("http://141.218.60.56/~jnz1568/getInfo.php?workbook=06_01.xlsx&amp;sheet=A0&amp;row=155&amp;col=17&amp;number=&amp;sourceID=12","")</f>
        <v/>
      </c>
      <c r="R155" s="4" t="str">
        <f>HYPERLINK("http://141.218.60.56/~jnz1568/getInfo.php?workbook=06_01.xlsx&amp;sheet=A0&amp;row=155&amp;col=18&amp;number=4.2601e-05&amp;sourceID=12","4.2601e-05")</f>
        <v>4.2601e-05</v>
      </c>
      <c r="S155" s="4" t="str">
        <f>HYPERLINK("http://141.218.60.56/~jnz1568/getInfo.php?workbook=06_01.xlsx&amp;sheet=A0&amp;row=155&amp;col=19&amp;number=&amp;sourceID=12","")</f>
        <v/>
      </c>
      <c r="T155" s="4" t="str">
        <f>HYPERLINK("http://141.218.60.56/~jnz1568/getInfo.php?workbook=06_01.xlsx&amp;sheet=A0&amp;row=155&amp;col=20&amp;number=&amp;sourceID=12","")</f>
        <v/>
      </c>
      <c r="U155" s="4" t="str">
        <f>HYPERLINK("http://141.218.60.56/~jnz1568/getInfo.php?workbook=06_01.xlsx&amp;sheet=A0&amp;row=155&amp;col=21&amp;number=&amp;sourceID=13","")</f>
        <v/>
      </c>
      <c r="V155" s="4" t="str">
        <f>HYPERLINK("http://141.218.60.56/~jnz1568/getInfo.php?workbook=06_01.xlsx&amp;sheet=A0&amp;row=155&amp;col=22&amp;number=&amp;sourceID=13","")</f>
        <v/>
      </c>
      <c r="W155" s="4" t="str">
        <f>HYPERLINK("http://141.218.60.56/~jnz1568/getInfo.php?workbook=06_01.xlsx&amp;sheet=A0&amp;row=155&amp;col=23&amp;number=&amp;sourceID=13","")</f>
        <v/>
      </c>
      <c r="X155" s="4" t="str">
        <f>HYPERLINK("http://141.218.60.56/~jnz1568/getInfo.php?workbook=06_01.xlsx&amp;sheet=A0&amp;row=155&amp;col=24&amp;number=&amp;sourceID=13","")</f>
        <v/>
      </c>
      <c r="Y155" s="4" t="str">
        <f>HYPERLINK("http://141.218.60.56/~jnz1568/getInfo.php?workbook=06_01.xlsx&amp;sheet=A0&amp;row=155&amp;col=25&amp;number=&amp;sourceID=13","")</f>
        <v/>
      </c>
      <c r="Z155" s="4" t="str">
        <f>HYPERLINK("http://141.218.60.56/~jnz1568/getInfo.php?workbook=06_01.xlsx&amp;sheet=A0&amp;row=155&amp;col=26&amp;number=&amp;sourceID=13","")</f>
        <v/>
      </c>
    </row>
    <row r="156" spans="1:26">
      <c r="A156" s="3">
        <v>6</v>
      </c>
      <c r="B156" s="3">
        <v>1</v>
      </c>
      <c r="C156" s="3">
        <v>19</v>
      </c>
      <c r="D156" s="3">
        <v>7</v>
      </c>
      <c r="E156" s="3">
        <f>((1/(INDEX(E0!J$4:J$28,C156,1)-INDEX(E0!J$4:J$28,D156,1))))*100000000</f>
        <v>0</v>
      </c>
      <c r="F156" s="4" t="str">
        <f>HYPERLINK("http://141.218.60.56/~jnz1568/getInfo.php?workbook=06_01.xlsx&amp;sheet=A0&amp;row=156&amp;col=6&amp;number=&amp;sourceID=18","")</f>
        <v/>
      </c>
      <c r="G156" s="4" t="str">
        <f>HYPERLINK("http://141.218.60.56/~jnz1568/getInfo.php?workbook=06_01.xlsx&amp;sheet=A0&amp;row=156&amp;col=7&amp;number==&amp;sourceID=11","=")</f>
        <v>=</v>
      </c>
      <c r="H156" s="4" t="str">
        <f>HYPERLINK("http://141.218.60.56/~jnz1568/getInfo.php?workbook=06_01.xlsx&amp;sheet=A0&amp;row=156&amp;col=8&amp;number=&amp;sourceID=11","")</f>
        <v/>
      </c>
      <c r="I156" s="4" t="str">
        <f>HYPERLINK("http://141.218.60.56/~jnz1568/getInfo.php?workbook=06_01.xlsx&amp;sheet=A0&amp;row=156&amp;col=9&amp;number=18734&amp;sourceID=11","18734")</f>
        <v>18734</v>
      </c>
      <c r="J156" s="4" t="str">
        <f>HYPERLINK("http://141.218.60.56/~jnz1568/getInfo.php?workbook=06_01.xlsx&amp;sheet=A0&amp;row=156&amp;col=10&amp;number=&amp;sourceID=11","")</f>
        <v/>
      </c>
      <c r="K156" s="4" t="str">
        <f>HYPERLINK("http://141.218.60.56/~jnz1568/getInfo.php?workbook=06_01.xlsx&amp;sheet=A0&amp;row=156&amp;col=11&amp;number=0.0011381&amp;sourceID=11","0.0011381")</f>
        <v>0.0011381</v>
      </c>
      <c r="L156" s="4" t="str">
        <f>HYPERLINK("http://141.218.60.56/~jnz1568/getInfo.php?workbook=06_01.xlsx&amp;sheet=A0&amp;row=156&amp;col=12&amp;number=&amp;sourceID=11","")</f>
        <v/>
      </c>
      <c r="M156" s="4" t="str">
        <f>HYPERLINK("http://141.218.60.56/~jnz1568/getInfo.php?workbook=06_01.xlsx&amp;sheet=A0&amp;row=156&amp;col=13&amp;number=7.1066e-07&amp;sourceID=11","7.1066e-07")</f>
        <v>7.1066e-07</v>
      </c>
      <c r="N156" s="4" t="str">
        <f>HYPERLINK("http://141.218.60.56/~jnz1568/getInfo.php?workbook=06_01.xlsx&amp;sheet=A0&amp;row=156&amp;col=14&amp;number=18735&amp;sourceID=12","18735")</f>
        <v>18735</v>
      </c>
      <c r="O156" s="4" t="str">
        <f>HYPERLINK("http://141.218.60.56/~jnz1568/getInfo.php?workbook=06_01.xlsx&amp;sheet=A0&amp;row=156&amp;col=15&amp;number=&amp;sourceID=12","")</f>
        <v/>
      </c>
      <c r="P156" s="4" t="str">
        <f>HYPERLINK("http://141.218.60.56/~jnz1568/getInfo.php?workbook=06_01.xlsx&amp;sheet=A0&amp;row=156&amp;col=16&amp;number=18735&amp;sourceID=12","18735")</f>
        <v>18735</v>
      </c>
      <c r="Q156" s="4" t="str">
        <f>HYPERLINK("http://141.218.60.56/~jnz1568/getInfo.php?workbook=06_01.xlsx&amp;sheet=A0&amp;row=156&amp;col=17&amp;number=&amp;sourceID=12","")</f>
        <v/>
      </c>
      <c r="R156" s="4" t="str">
        <f>HYPERLINK("http://141.218.60.56/~jnz1568/getInfo.php?workbook=06_01.xlsx&amp;sheet=A0&amp;row=156&amp;col=18&amp;number=0.001138&amp;sourceID=12","0.001138")</f>
        <v>0.001138</v>
      </c>
      <c r="S156" s="4" t="str">
        <f>HYPERLINK("http://141.218.60.56/~jnz1568/getInfo.php?workbook=06_01.xlsx&amp;sheet=A0&amp;row=156&amp;col=19&amp;number=&amp;sourceID=12","")</f>
        <v/>
      </c>
      <c r="T156" s="4" t="str">
        <f>HYPERLINK("http://141.218.60.56/~jnz1568/getInfo.php?workbook=06_01.xlsx&amp;sheet=A0&amp;row=156&amp;col=20&amp;number=7.1069e-07&amp;sourceID=12","7.1069e-07")</f>
        <v>7.1069e-07</v>
      </c>
      <c r="U156" s="4" t="str">
        <f>HYPERLINK("http://141.218.60.56/~jnz1568/getInfo.php?workbook=06_01.xlsx&amp;sheet=A0&amp;row=156&amp;col=21&amp;number=&amp;sourceID=13","")</f>
        <v/>
      </c>
      <c r="V156" s="4" t="str">
        <f>HYPERLINK("http://141.218.60.56/~jnz1568/getInfo.php?workbook=06_01.xlsx&amp;sheet=A0&amp;row=156&amp;col=22&amp;number=&amp;sourceID=13","")</f>
        <v/>
      </c>
      <c r="W156" s="4" t="str">
        <f>HYPERLINK("http://141.218.60.56/~jnz1568/getInfo.php?workbook=06_01.xlsx&amp;sheet=A0&amp;row=156&amp;col=23&amp;number=&amp;sourceID=13","")</f>
        <v/>
      </c>
      <c r="X156" s="4" t="str">
        <f>HYPERLINK("http://141.218.60.56/~jnz1568/getInfo.php?workbook=06_01.xlsx&amp;sheet=A0&amp;row=156&amp;col=24&amp;number=&amp;sourceID=13","")</f>
        <v/>
      </c>
      <c r="Y156" s="4" t="str">
        <f>HYPERLINK("http://141.218.60.56/~jnz1568/getInfo.php?workbook=06_01.xlsx&amp;sheet=A0&amp;row=156&amp;col=25&amp;number=&amp;sourceID=13","")</f>
        <v/>
      </c>
      <c r="Z156" s="4" t="str">
        <f>HYPERLINK("http://141.218.60.56/~jnz1568/getInfo.php?workbook=06_01.xlsx&amp;sheet=A0&amp;row=156&amp;col=26&amp;number=&amp;sourceID=13","")</f>
        <v/>
      </c>
    </row>
    <row r="157" spans="1:26">
      <c r="A157" s="3">
        <v>6</v>
      </c>
      <c r="B157" s="3">
        <v>1</v>
      </c>
      <c r="C157" s="3">
        <v>19</v>
      </c>
      <c r="D157" s="3">
        <v>8</v>
      </c>
      <c r="E157" s="3">
        <f>((1/(INDEX(E0!J$4:J$28,C157,1)-INDEX(E0!J$4:J$28,D157,1))))*100000000</f>
        <v>0</v>
      </c>
      <c r="F157" s="4" t="str">
        <f>HYPERLINK("http://141.218.60.56/~jnz1568/getInfo.php?workbook=06_01.xlsx&amp;sheet=A0&amp;row=157&amp;col=6&amp;number=&amp;sourceID=18","")</f>
        <v/>
      </c>
      <c r="G157" s="4" t="str">
        <f>HYPERLINK("http://141.218.60.56/~jnz1568/getInfo.php?workbook=06_01.xlsx&amp;sheet=A0&amp;row=157&amp;col=7&amp;number==&amp;sourceID=11","=")</f>
        <v>=</v>
      </c>
      <c r="H157" s="4" t="str">
        <f>HYPERLINK("http://141.218.60.56/~jnz1568/getInfo.php?workbook=06_01.xlsx&amp;sheet=A0&amp;row=157&amp;col=8&amp;number=733030000&amp;sourceID=11","733030000")</f>
        <v>733030000</v>
      </c>
      <c r="I157" s="4" t="str">
        <f>HYPERLINK("http://141.218.60.56/~jnz1568/getInfo.php?workbook=06_01.xlsx&amp;sheet=A0&amp;row=157&amp;col=9&amp;number=&amp;sourceID=11","")</f>
        <v/>
      </c>
      <c r="J157" s="4" t="str">
        <f>HYPERLINK("http://141.218.60.56/~jnz1568/getInfo.php?workbook=06_01.xlsx&amp;sheet=A0&amp;row=157&amp;col=10&amp;number=0.12593&amp;sourceID=11","0.12593")</f>
        <v>0.12593</v>
      </c>
      <c r="K157" s="4" t="str">
        <f>HYPERLINK("http://141.218.60.56/~jnz1568/getInfo.php?workbook=06_01.xlsx&amp;sheet=A0&amp;row=157&amp;col=11&amp;number=&amp;sourceID=11","")</f>
        <v/>
      </c>
      <c r="L157" s="4" t="str">
        <f>HYPERLINK("http://141.218.60.56/~jnz1568/getInfo.php?workbook=06_01.xlsx&amp;sheet=A0&amp;row=157&amp;col=12&amp;number=&amp;sourceID=11","")</f>
        <v/>
      </c>
      <c r="M157" s="4" t="str">
        <f>HYPERLINK("http://141.218.60.56/~jnz1568/getInfo.php?workbook=06_01.xlsx&amp;sheet=A0&amp;row=157&amp;col=13&amp;number=&amp;sourceID=11","")</f>
        <v/>
      </c>
      <c r="N157" s="4" t="str">
        <f>HYPERLINK("http://141.218.60.56/~jnz1568/getInfo.php?workbook=06_01.xlsx&amp;sheet=A0&amp;row=157&amp;col=14&amp;number=733060000&amp;sourceID=12","733060000")</f>
        <v>733060000</v>
      </c>
      <c r="O157" s="4" t="str">
        <f>HYPERLINK("http://141.218.60.56/~jnz1568/getInfo.php?workbook=06_01.xlsx&amp;sheet=A0&amp;row=157&amp;col=15&amp;number=733060000&amp;sourceID=12","733060000")</f>
        <v>733060000</v>
      </c>
      <c r="P157" s="4" t="str">
        <f>HYPERLINK("http://141.218.60.56/~jnz1568/getInfo.php?workbook=06_01.xlsx&amp;sheet=A0&amp;row=157&amp;col=16&amp;number=&amp;sourceID=12","")</f>
        <v/>
      </c>
      <c r="Q157" s="4" t="str">
        <f>HYPERLINK("http://141.218.60.56/~jnz1568/getInfo.php?workbook=06_01.xlsx&amp;sheet=A0&amp;row=157&amp;col=17&amp;number=0.12593&amp;sourceID=12","0.12593")</f>
        <v>0.12593</v>
      </c>
      <c r="R157" s="4" t="str">
        <f>HYPERLINK("http://141.218.60.56/~jnz1568/getInfo.php?workbook=06_01.xlsx&amp;sheet=A0&amp;row=157&amp;col=18&amp;number=&amp;sourceID=12","")</f>
        <v/>
      </c>
      <c r="S157" s="4" t="str">
        <f>HYPERLINK("http://141.218.60.56/~jnz1568/getInfo.php?workbook=06_01.xlsx&amp;sheet=A0&amp;row=157&amp;col=19&amp;number=&amp;sourceID=12","")</f>
        <v/>
      </c>
      <c r="T157" s="4" t="str">
        <f>HYPERLINK("http://141.218.60.56/~jnz1568/getInfo.php?workbook=06_01.xlsx&amp;sheet=A0&amp;row=157&amp;col=20&amp;number=&amp;sourceID=12","")</f>
        <v/>
      </c>
      <c r="U157" s="4" t="str">
        <f>HYPERLINK("http://141.218.60.56/~jnz1568/getInfo.php?workbook=06_01.xlsx&amp;sheet=A0&amp;row=157&amp;col=21&amp;number=&amp;sourceID=13","")</f>
        <v/>
      </c>
      <c r="V157" s="4" t="str">
        <f>HYPERLINK("http://141.218.60.56/~jnz1568/getInfo.php?workbook=06_01.xlsx&amp;sheet=A0&amp;row=157&amp;col=22&amp;number=&amp;sourceID=13","")</f>
        <v/>
      </c>
      <c r="W157" s="4" t="str">
        <f>HYPERLINK("http://141.218.60.56/~jnz1568/getInfo.php?workbook=06_01.xlsx&amp;sheet=A0&amp;row=157&amp;col=23&amp;number=&amp;sourceID=13","")</f>
        <v/>
      </c>
      <c r="X157" s="4" t="str">
        <f>HYPERLINK("http://141.218.60.56/~jnz1568/getInfo.php?workbook=06_01.xlsx&amp;sheet=A0&amp;row=157&amp;col=24&amp;number=&amp;sourceID=13","")</f>
        <v/>
      </c>
      <c r="Y157" s="4" t="str">
        <f>HYPERLINK("http://141.218.60.56/~jnz1568/getInfo.php?workbook=06_01.xlsx&amp;sheet=A0&amp;row=157&amp;col=25&amp;number=&amp;sourceID=13","")</f>
        <v/>
      </c>
      <c r="Z157" s="4" t="str">
        <f>HYPERLINK("http://141.218.60.56/~jnz1568/getInfo.php?workbook=06_01.xlsx&amp;sheet=A0&amp;row=157&amp;col=26&amp;number=&amp;sourceID=13","")</f>
        <v/>
      </c>
    </row>
    <row r="158" spans="1:26">
      <c r="A158" s="3">
        <v>6</v>
      </c>
      <c r="B158" s="3">
        <v>1</v>
      </c>
      <c r="C158" s="3">
        <v>19</v>
      </c>
      <c r="D158" s="3">
        <v>9</v>
      </c>
      <c r="E158" s="3">
        <f>((1/(INDEX(E0!J$4:J$28,C158,1)-INDEX(E0!J$4:J$28,D158,1))))*100000000</f>
        <v>0</v>
      </c>
      <c r="F158" s="4" t="str">
        <f>HYPERLINK("http://141.218.60.56/~jnz1568/getInfo.php?workbook=06_01.xlsx&amp;sheet=A0&amp;row=158&amp;col=6&amp;number=&amp;sourceID=18","")</f>
        <v/>
      </c>
      <c r="G158" s="4" t="str">
        <f>HYPERLINK("http://141.218.60.56/~jnz1568/getInfo.php?workbook=06_01.xlsx&amp;sheet=A0&amp;row=158&amp;col=7&amp;number==&amp;sourceID=11","=")</f>
        <v>=</v>
      </c>
      <c r="H158" s="4" t="str">
        <f>HYPERLINK("http://141.218.60.56/~jnz1568/getInfo.php?workbook=06_01.xlsx&amp;sheet=A0&amp;row=158&amp;col=8&amp;number=&amp;sourceID=11","")</f>
        <v/>
      </c>
      <c r="I158" s="4" t="str">
        <f>HYPERLINK("http://141.218.60.56/~jnz1568/getInfo.php?workbook=06_01.xlsx&amp;sheet=A0&amp;row=158&amp;col=9&amp;number=8024.3&amp;sourceID=11","8024.3")</f>
        <v>8024.3</v>
      </c>
      <c r="J158" s="4" t="str">
        <f>HYPERLINK("http://141.218.60.56/~jnz1568/getInfo.php?workbook=06_01.xlsx&amp;sheet=A0&amp;row=158&amp;col=10&amp;number=&amp;sourceID=11","")</f>
        <v/>
      </c>
      <c r="K158" s="4" t="str">
        <f>HYPERLINK("http://141.218.60.56/~jnz1568/getInfo.php?workbook=06_01.xlsx&amp;sheet=A0&amp;row=158&amp;col=11&amp;number=0.0024565&amp;sourceID=11","0.0024565")</f>
        <v>0.0024565</v>
      </c>
      <c r="L158" s="4" t="str">
        <f>HYPERLINK("http://141.218.60.56/~jnz1568/getInfo.php?workbook=06_01.xlsx&amp;sheet=A0&amp;row=158&amp;col=12&amp;number=&amp;sourceID=11","")</f>
        <v/>
      </c>
      <c r="M158" s="4" t="str">
        <f>HYPERLINK("http://141.218.60.56/~jnz1568/getInfo.php?workbook=06_01.xlsx&amp;sheet=A0&amp;row=158&amp;col=13&amp;number=4.7341e-07&amp;sourceID=11","4.7341e-07")</f>
        <v>4.7341e-07</v>
      </c>
      <c r="N158" s="4" t="str">
        <f>HYPERLINK("http://141.218.60.56/~jnz1568/getInfo.php?workbook=06_01.xlsx&amp;sheet=A0&amp;row=158&amp;col=14&amp;number=8024.7&amp;sourceID=12","8024.7")</f>
        <v>8024.7</v>
      </c>
      <c r="O158" s="4" t="str">
        <f>HYPERLINK("http://141.218.60.56/~jnz1568/getInfo.php?workbook=06_01.xlsx&amp;sheet=A0&amp;row=158&amp;col=15&amp;number=&amp;sourceID=12","")</f>
        <v/>
      </c>
      <c r="P158" s="4" t="str">
        <f>HYPERLINK("http://141.218.60.56/~jnz1568/getInfo.php?workbook=06_01.xlsx&amp;sheet=A0&amp;row=158&amp;col=16&amp;number=8024.7&amp;sourceID=12","8024.7")</f>
        <v>8024.7</v>
      </c>
      <c r="Q158" s="4" t="str">
        <f>HYPERLINK("http://141.218.60.56/~jnz1568/getInfo.php?workbook=06_01.xlsx&amp;sheet=A0&amp;row=158&amp;col=17&amp;number=&amp;sourceID=12","")</f>
        <v/>
      </c>
      <c r="R158" s="4" t="str">
        <f>HYPERLINK("http://141.218.60.56/~jnz1568/getInfo.php?workbook=06_01.xlsx&amp;sheet=A0&amp;row=158&amp;col=18&amp;number=0.0024567&amp;sourceID=12","0.0024567")</f>
        <v>0.0024567</v>
      </c>
      <c r="S158" s="4" t="str">
        <f>HYPERLINK("http://141.218.60.56/~jnz1568/getInfo.php?workbook=06_01.xlsx&amp;sheet=A0&amp;row=158&amp;col=19&amp;number=&amp;sourceID=12","")</f>
        <v/>
      </c>
      <c r="T158" s="4" t="str">
        <f>HYPERLINK("http://141.218.60.56/~jnz1568/getInfo.php?workbook=06_01.xlsx&amp;sheet=A0&amp;row=158&amp;col=20&amp;number=4.7343e-07&amp;sourceID=12","4.7343e-07")</f>
        <v>4.7343e-07</v>
      </c>
      <c r="U158" s="4" t="str">
        <f>HYPERLINK("http://141.218.60.56/~jnz1568/getInfo.php?workbook=06_01.xlsx&amp;sheet=A0&amp;row=158&amp;col=21&amp;number=&amp;sourceID=13","")</f>
        <v/>
      </c>
      <c r="V158" s="4" t="str">
        <f>HYPERLINK("http://141.218.60.56/~jnz1568/getInfo.php?workbook=06_01.xlsx&amp;sheet=A0&amp;row=158&amp;col=22&amp;number=&amp;sourceID=13","")</f>
        <v/>
      </c>
      <c r="W158" s="4" t="str">
        <f>HYPERLINK("http://141.218.60.56/~jnz1568/getInfo.php?workbook=06_01.xlsx&amp;sheet=A0&amp;row=158&amp;col=23&amp;number=&amp;sourceID=13","")</f>
        <v/>
      </c>
      <c r="X158" s="4" t="str">
        <f>HYPERLINK("http://141.218.60.56/~jnz1568/getInfo.php?workbook=06_01.xlsx&amp;sheet=A0&amp;row=158&amp;col=24&amp;number=&amp;sourceID=13","")</f>
        <v/>
      </c>
      <c r="Y158" s="4" t="str">
        <f>HYPERLINK("http://141.218.60.56/~jnz1568/getInfo.php?workbook=06_01.xlsx&amp;sheet=A0&amp;row=158&amp;col=25&amp;number=&amp;sourceID=13","")</f>
        <v/>
      </c>
      <c r="Z158" s="4" t="str">
        <f>HYPERLINK("http://141.218.60.56/~jnz1568/getInfo.php?workbook=06_01.xlsx&amp;sheet=A0&amp;row=158&amp;col=26&amp;number=&amp;sourceID=13","")</f>
        <v/>
      </c>
    </row>
    <row r="159" spans="1:26">
      <c r="A159" s="3">
        <v>6</v>
      </c>
      <c r="B159" s="3">
        <v>1</v>
      </c>
      <c r="C159" s="3">
        <v>19</v>
      </c>
      <c r="D159" s="3">
        <v>10</v>
      </c>
      <c r="E159" s="3">
        <f>((1/(INDEX(E0!J$4:J$28,C159,1)-INDEX(E0!J$4:J$28,D159,1))))*100000000</f>
        <v>0</v>
      </c>
      <c r="F159" s="4" t="str">
        <f>HYPERLINK("http://141.218.60.56/~jnz1568/getInfo.php?workbook=06_01.xlsx&amp;sheet=A0&amp;row=159&amp;col=6&amp;number=&amp;sourceID=18","")</f>
        <v/>
      </c>
      <c r="G159" s="4" t="str">
        <f>HYPERLINK("http://141.218.60.56/~jnz1568/getInfo.php?workbook=06_01.xlsx&amp;sheet=A0&amp;row=159&amp;col=7&amp;number==&amp;sourceID=11","=")</f>
        <v>=</v>
      </c>
      <c r="H159" s="4" t="str">
        <f>HYPERLINK("http://141.218.60.56/~jnz1568/getInfo.php?workbook=06_01.xlsx&amp;sheet=A0&amp;row=159&amp;col=8&amp;number=1604600000&amp;sourceID=11","1604600000")</f>
        <v>1604600000</v>
      </c>
      <c r="I159" s="4" t="str">
        <f>HYPERLINK("http://141.218.60.56/~jnz1568/getInfo.php?workbook=06_01.xlsx&amp;sheet=A0&amp;row=159&amp;col=9&amp;number=&amp;sourceID=11","")</f>
        <v/>
      </c>
      <c r="J159" s="4" t="str">
        <f>HYPERLINK("http://141.218.60.56/~jnz1568/getInfo.php?workbook=06_01.xlsx&amp;sheet=A0&amp;row=159&amp;col=10&amp;number=&amp;sourceID=11","")</f>
        <v/>
      </c>
      <c r="K159" s="4" t="str">
        <f>HYPERLINK("http://141.218.60.56/~jnz1568/getInfo.php?workbook=06_01.xlsx&amp;sheet=A0&amp;row=159&amp;col=11&amp;number=&amp;sourceID=11","")</f>
        <v/>
      </c>
      <c r="L159" s="4" t="str">
        <f>HYPERLINK("http://141.218.60.56/~jnz1568/getInfo.php?workbook=06_01.xlsx&amp;sheet=A0&amp;row=159&amp;col=12&amp;number=0.0056067&amp;sourceID=11","0.0056067")</f>
        <v>0.0056067</v>
      </c>
      <c r="M159" s="4" t="str">
        <f>HYPERLINK("http://141.218.60.56/~jnz1568/getInfo.php?workbook=06_01.xlsx&amp;sheet=A0&amp;row=159&amp;col=13&amp;number=&amp;sourceID=11","")</f>
        <v/>
      </c>
      <c r="N159" s="4" t="str">
        <f>HYPERLINK("http://141.218.60.56/~jnz1568/getInfo.php?workbook=06_01.xlsx&amp;sheet=A0&amp;row=159&amp;col=14&amp;number=1604700000&amp;sourceID=12","1604700000")</f>
        <v>1604700000</v>
      </c>
      <c r="O159" s="4" t="str">
        <f>HYPERLINK("http://141.218.60.56/~jnz1568/getInfo.php?workbook=06_01.xlsx&amp;sheet=A0&amp;row=159&amp;col=15&amp;number=1604700000&amp;sourceID=12","1604700000")</f>
        <v>1604700000</v>
      </c>
      <c r="P159" s="4" t="str">
        <f>HYPERLINK("http://141.218.60.56/~jnz1568/getInfo.php?workbook=06_01.xlsx&amp;sheet=A0&amp;row=159&amp;col=16&amp;number=&amp;sourceID=12","")</f>
        <v/>
      </c>
      <c r="Q159" s="4" t="str">
        <f>HYPERLINK("http://141.218.60.56/~jnz1568/getInfo.php?workbook=06_01.xlsx&amp;sheet=A0&amp;row=159&amp;col=17&amp;number=&amp;sourceID=12","")</f>
        <v/>
      </c>
      <c r="R159" s="4" t="str">
        <f>HYPERLINK("http://141.218.60.56/~jnz1568/getInfo.php?workbook=06_01.xlsx&amp;sheet=A0&amp;row=159&amp;col=18&amp;number=&amp;sourceID=12","")</f>
        <v/>
      </c>
      <c r="S159" s="4" t="str">
        <f>HYPERLINK("http://141.218.60.56/~jnz1568/getInfo.php?workbook=06_01.xlsx&amp;sheet=A0&amp;row=159&amp;col=19&amp;number=0.005607&amp;sourceID=12","0.005607")</f>
        <v>0.005607</v>
      </c>
      <c r="T159" s="4" t="str">
        <f>HYPERLINK("http://141.218.60.56/~jnz1568/getInfo.php?workbook=06_01.xlsx&amp;sheet=A0&amp;row=159&amp;col=20&amp;number=&amp;sourceID=12","")</f>
        <v/>
      </c>
      <c r="U159" s="4" t="str">
        <f>HYPERLINK("http://141.218.60.56/~jnz1568/getInfo.php?workbook=06_01.xlsx&amp;sheet=A0&amp;row=159&amp;col=21&amp;number=&amp;sourceID=13","")</f>
        <v/>
      </c>
      <c r="V159" s="4" t="str">
        <f>HYPERLINK("http://141.218.60.56/~jnz1568/getInfo.php?workbook=06_01.xlsx&amp;sheet=A0&amp;row=159&amp;col=22&amp;number=&amp;sourceID=13","")</f>
        <v/>
      </c>
      <c r="W159" s="4" t="str">
        <f>HYPERLINK("http://141.218.60.56/~jnz1568/getInfo.php?workbook=06_01.xlsx&amp;sheet=A0&amp;row=159&amp;col=23&amp;number=&amp;sourceID=13","")</f>
        <v/>
      </c>
      <c r="X159" s="4" t="str">
        <f>HYPERLINK("http://141.218.60.56/~jnz1568/getInfo.php?workbook=06_01.xlsx&amp;sheet=A0&amp;row=159&amp;col=24&amp;number=&amp;sourceID=13","")</f>
        <v/>
      </c>
      <c r="Y159" s="4" t="str">
        <f>HYPERLINK("http://141.218.60.56/~jnz1568/getInfo.php?workbook=06_01.xlsx&amp;sheet=A0&amp;row=159&amp;col=25&amp;number=&amp;sourceID=13","")</f>
        <v/>
      </c>
      <c r="Z159" s="4" t="str">
        <f>HYPERLINK("http://141.218.60.56/~jnz1568/getInfo.php?workbook=06_01.xlsx&amp;sheet=A0&amp;row=159&amp;col=26&amp;number=&amp;sourceID=13","")</f>
        <v/>
      </c>
    </row>
    <row r="160" spans="1:26">
      <c r="A160" s="3">
        <v>6</v>
      </c>
      <c r="B160" s="3">
        <v>1</v>
      </c>
      <c r="C160" s="3">
        <v>19</v>
      </c>
      <c r="D160" s="3">
        <v>11</v>
      </c>
      <c r="E160" s="3">
        <f>((1/(INDEX(E0!J$4:J$28,C160,1)-INDEX(E0!J$4:J$28,D160,1))))*100000000</f>
        <v>0</v>
      </c>
      <c r="F160" s="4" t="str">
        <f>HYPERLINK("http://141.218.60.56/~jnz1568/getInfo.php?workbook=06_01.xlsx&amp;sheet=A0&amp;row=160&amp;col=6&amp;number=&amp;sourceID=18","")</f>
        <v/>
      </c>
      <c r="G160" s="4" t="str">
        <f>HYPERLINK("http://141.218.60.56/~jnz1568/getInfo.php?workbook=06_01.xlsx&amp;sheet=A0&amp;row=160&amp;col=7&amp;number==&amp;sourceID=11","=")</f>
        <v>=</v>
      </c>
      <c r="H160" s="4" t="str">
        <f>HYPERLINK("http://141.218.60.56/~jnz1568/getInfo.php?workbook=06_01.xlsx&amp;sheet=A0&amp;row=160&amp;col=8&amp;number=&amp;sourceID=11","")</f>
        <v/>
      </c>
      <c r="I160" s="4" t="str">
        <f>HYPERLINK("http://141.218.60.56/~jnz1568/getInfo.php?workbook=06_01.xlsx&amp;sheet=A0&amp;row=160&amp;col=9&amp;number=25209&amp;sourceID=11","25209")</f>
        <v>25209</v>
      </c>
      <c r="J160" s="4" t="str">
        <f>HYPERLINK("http://141.218.60.56/~jnz1568/getInfo.php?workbook=06_01.xlsx&amp;sheet=A0&amp;row=160&amp;col=10&amp;number=&amp;sourceID=11","")</f>
        <v/>
      </c>
      <c r="K160" s="4" t="str">
        <f>HYPERLINK("http://141.218.60.56/~jnz1568/getInfo.php?workbook=06_01.xlsx&amp;sheet=A0&amp;row=160&amp;col=11&amp;number=5.6877e-07&amp;sourceID=11","5.6877e-07")</f>
        <v>5.6877e-07</v>
      </c>
      <c r="L160" s="4" t="str">
        <f>HYPERLINK("http://141.218.60.56/~jnz1568/getInfo.php?workbook=06_01.xlsx&amp;sheet=A0&amp;row=160&amp;col=12&amp;number=&amp;sourceID=11","")</f>
        <v/>
      </c>
      <c r="M160" s="4" t="str">
        <f>HYPERLINK("http://141.218.60.56/~jnz1568/getInfo.php?workbook=06_01.xlsx&amp;sheet=A0&amp;row=160&amp;col=13&amp;number=&amp;sourceID=11","")</f>
        <v/>
      </c>
      <c r="N160" s="4" t="str">
        <f>HYPERLINK("http://141.218.60.56/~jnz1568/getInfo.php?workbook=06_01.xlsx&amp;sheet=A0&amp;row=160&amp;col=14&amp;number=25210&amp;sourceID=12","25210")</f>
        <v>25210</v>
      </c>
      <c r="O160" s="4" t="str">
        <f>HYPERLINK("http://141.218.60.56/~jnz1568/getInfo.php?workbook=06_01.xlsx&amp;sheet=A0&amp;row=160&amp;col=15&amp;number=&amp;sourceID=12","")</f>
        <v/>
      </c>
      <c r="P160" s="4" t="str">
        <f>HYPERLINK("http://141.218.60.56/~jnz1568/getInfo.php?workbook=06_01.xlsx&amp;sheet=A0&amp;row=160&amp;col=16&amp;number=25210&amp;sourceID=12","25210")</f>
        <v>25210</v>
      </c>
      <c r="Q160" s="4" t="str">
        <f>HYPERLINK("http://141.218.60.56/~jnz1568/getInfo.php?workbook=06_01.xlsx&amp;sheet=A0&amp;row=160&amp;col=17&amp;number=&amp;sourceID=12","")</f>
        <v/>
      </c>
      <c r="R160" s="4" t="str">
        <f>HYPERLINK("http://141.218.60.56/~jnz1568/getInfo.php?workbook=06_01.xlsx&amp;sheet=A0&amp;row=160&amp;col=18&amp;number=5.688e-07&amp;sourceID=12","5.688e-07")</f>
        <v>5.688e-07</v>
      </c>
      <c r="S160" s="4" t="str">
        <f>HYPERLINK("http://141.218.60.56/~jnz1568/getInfo.php?workbook=06_01.xlsx&amp;sheet=A0&amp;row=160&amp;col=19&amp;number=&amp;sourceID=12","")</f>
        <v/>
      </c>
      <c r="T160" s="4" t="str">
        <f>HYPERLINK("http://141.218.60.56/~jnz1568/getInfo.php?workbook=06_01.xlsx&amp;sheet=A0&amp;row=160&amp;col=20&amp;number=&amp;sourceID=12","")</f>
        <v/>
      </c>
      <c r="U160" s="4" t="str">
        <f>HYPERLINK("http://141.218.60.56/~jnz1568/getInfo.php?workbook=06_01.xlsx&amp;sheet=A0&amp;row=160&amp;col=21&amp;number=&amp;sourceID=13","")</f>
        <v/>
      </c>
      <c r="V160" s="4" t="str">
        <f>HYPERLINK("http://141.218.60.56/~jnz1568/getInfo.php?workbook=06_01.xlsx&amp;sheet=A0&amp;row=160&amp;col=22&amp;number=&amp;sourceID=13","")</f>
        <v/>
      </c>
      <c r="W160" s="4" t="str">
        <f>HYPERLINK("http://141.218.60.56/~jnz1568/getInfo.php?workbook=06_01.xlsx&amp;sheet=A0&amp;row=160&amp;col=23&amp;number=&amp;sourceID=13","")</f>
        <v/>
      </c>
      <c r="X160" s="4" t="str">
        <f>HYPERLINK("http://141.218.60.56/~jnz1568/getInfo.php?workbook=06_01.xlsx&amp;sheet=A0&amp;row=160&amp;col=24&amp;number=&amp;sourceID=13","")</f>
        <v/>
      </c>
      <c r="Y160" s="4" t="str">
        <f>HYPERLINK("http://141.218.60.56/~jnz1568/getInfo.php?workbook=06_01.xlsx&amp;sheet=A0&amp;row=160&amp;col=25&amp;number=&amp;sourceID=13","")</f>
        <v/>
      </c>
      <c r="Z160" s="4" t="str">
        <f>HYPERLINK("http://141.218.60.56/~jnz1568/getInfo.php?workbook=06_01.xlsx&amp;sheet=A0&amp;row=160&amp;col=26&amp;number=&amp;sourceID=13","")</f>
        <v/>
      </c>
    </row>
    <row r="161" spans="1:26">
      <c r="A161" s="3">
        <v>6</v>
      </c>
      <c r="B161" s="3">
        <v>1</v>
      </c>
      <c r="C161" s="3">
        <v>19</v>
      </c>
      <c r="D161" s="3">
        <v>12</v>
      </c>
      <c r="E161" s="3">
        <f>((1/(INDEX(E0!J$4:J$28,C161,1)-INDEX(E0!J$4:J$28,D161,1))))*100000000</f>
        <v>0</v>
      </c>
      <c r="F161" s="4" t="str">
        <f>HYPERLINK("http://141.218.60.56/~jnz1568/getInfo.php?workbook=06_01.xlsx&amp;sheet=A0&amp;row=161&amp;col=6&amp;number=&amp;sourceID=18","")</f>
        <v/>
      </c>
      <c r="G161" s="4" t="str">
        <f>HYPERLINK("http://141.218.60.56/~jnz1568/getInfo.php?workbook=06_01.xlsx&amp;sheet=A0&amp;row=161&amp;col=7&amp;number==&amp;sourceID=11","=")</f>
        <v>=</v>
      </c>
      <c r="H161" s="4" t="str">
        <f>HYPERLINK("http://141.218.60.56/~jnz1568/getInfo.php?workbook=06_01.xlsx&amp;sheet=A0&amp;row=161&amp;col=8&amp;number=&amp;sourceID=11","")</f>
        <v/>
      </c>
      <c r="I161" s="4" t="str">
        <f>HYPERLINK("http://141.218.60.56/~jnz1568/getInfo.php?workbook=06_01.xlsx&amp;sheet=A0&amp;row=161&amp;col=9&amp;number=8681.8&amp;sourceID=11","8681.8")</f>
        <v>8681.8</v>
      </c>
      <c r="J161" s="4" t="str">
        <f>HYPERLINK("http://141.218.60.56/~jnz1568/getInfo.php?workbook=06_01.xlsx&amp;sheet=A0&amp;row=161&amp;col=10&amp;number=&amp;sourceID=11","")</f>
        <v/>
      </c>
      <c r="K161" s="4" t="str">
        <f>HYPERLINK("http://141.218.60.56/~jnz1568/getInfo.php?workbook=06_01.xlsx&amp;sheet=A0&amp;row=161&amp;col=11&amp;number=5.279e-05&amp;sourceID=11","5.279e-05")</f>
        <v>5.279e-05</v>
      </c>
      <c r="L161" s="4" t="str">
        <f>HYPERLINK("http://141.218.60.56/~jnz1568/getInfo.php?workbook=06_01.xlsx&amp;sheet=A0&amp;row=161&amp;col=12&amp;number=&amp;sourceID=11","")</f>
        <v/>
      </c>
      <c r="M161" s="4" t="str">
        <f>HYPERLINK("http://141.218.60.56/~jnz1568/getInfo.php?workbook=06_01.xlsx&amp;sheet=A0&amp;row=161&amp;col=13&amp;number=3.2974e-08&amp;sourceID=11","3.2974e-08")</f>
        <v>3.2974e-08</v>
      </c>
      <c r="N161" s="4" t="str">
        <f>HYPERLINK("http://141.218.60.56/~jnz1568/getInfo.php?workbook=06_01.xlsx&amp;sheet=A0&amp;row=161&amp;col=14&amp;number=8682.2&amp;sourceID=12","8682.2")</f>
        <v>8682.2</v>
      </c>
      <c r="O161" s="4" t="str">
        <f>HYPERLINK("http://141.218.60.56/~jnz1568/getInfo.php?workbook=06_01.xlsx&amp;sheet=A0&amp;row=161&amp;col=15&amp;number=&amp;sourceID=12","")</f>
        <v/>
      </c>
      <c r="P161" s="4" t="str">
        <f>HYPERLINK("http://141.218.60.56/~jnz1568/getInfo.php?workbook=06_01.xlsx&amp;sheet=A0&amp;row=161&amp;col=16&amp;number=8682.2&amp;sourceID=12","8682.2")</f>
        <v>8682.2</v>
      </c>
      <c r="Q161" s="4" t="str">
        <f>HYPERLINK("http://141.218.60.56/~jnz1568/getInfo.php?workbook=06_01.xlsx&amp;sheet=A0&amp;row=161&amp;col=17&amp;number=&amp;sourceID=12","")</f>
        <v/>
      </c>
      <c r="R161" s="4" t="str">
        <f>HYPERLINK("http://141.218.60.56/~jnz1568/getInfo.php?workbook=06_01.xlsx&amp;sheet=A0&amp;row=161&amp;col=18&amp;number=5.2792e-05&amp;sourceID=12","5.2792e-05")</f>
        <v>5.2792e-05</v>
      </c>
      <c r="S161" s="4" t="str">
        <f>HYPERLINK("http://141.218.60.56/~jnz1568/getInfo.php?workbook=06_01.xlsx&amp;sheet=A0&amp;row=161&amp;col=19&amp;number=&amp;sourceID=12","")</f>
        <v/>
      </c>
      <c r="T161" s="4" t="str">
        <f>HYPERLINK("http://141.218.60.56/~jnz1568/getInfo.php?workbook=06_01.xlsx&amp;sheet=A0&amp;row=161&amp;col=20&amp;number=3.2976e-08&amp;sourceID=12","3.2976e-08")</f>
        <v>3.2976e-08</v>
      </c>
      <c r="U161" s="4" t="str">
        <f>HYPERLINK("http://141.218.60.56/~jnz1568/getInfo.php?workbook=06_01.xlsx&amp;sheet=A0&amp;row=161&amp;col=21&amp;number=&amp;sourceID=13","")</f>
        <v/>
      </c>
      <c r="V161" s="4" t="str">
        <f>HYPERLINK("http://141.218.60.56/~jnz1568/getInfo.php?workbook=06_01.xlsx&amp;sheet=A0&amp;row=161&amp;col=22&amp;number=&amp;sourceID=13","")</f>
        <v/>
      </c>
      <c r="W161" s="4" t="str">
        <f>HYPERLINK("http://141.218.60.56/~jnz1568/getInfo.php?workbook=06_01.xlsx&amp;sheet=A0&amp;row=161&amp;col=23&amp;number=&amp;sourceID=13","")</f>
        <v/>
      </c>
      <c r="X161" s="4" t="str">
        <f>HYPERLINK("http://141.218.60.56/~jnz1568/getInfo.php?workbook=06_01.xlsx&amp;sheet=A0&amp;row=161&amp;col=24&amp;number=&amp;sourceID=13","")</f>
        <v/>
      </c>
      <c r="Y161" s="4" t="str">
        <f>HYPERLINK("http://141.218.60.56/~jnz1568/getInfo.php?workbook=06_01.xlsx&amp;sheet=A0&amp;row=161&amp;col=25&amp;number=&amp;sourceID=13","")</f>
        <v/>
      </c>
      <c r="Z161" s="4" t="str">
        <f>HYPERLINK("http://141.218.60.56/~jnz1568/getInfo.php?workbook=06_01.xlsx&amp;sheet=A0&amp;row=161&amp;col=26&amp;number=&amp;sourceID=13","")</f>
        <v/>
      </c>
    </row>
    <row r="162" spans="1:26">
      <c r="A162" s="3">
        <v>6</v>
      </c>
      <c r="B162" s="3">
        <v>1</v>
      </c>
      <c r="C162" s="3">
        <v>19</v>
      </c>
      <c r="D162" s="3">
        <v>13</v>
      </c>
      <c r="E162" s="3">
        <f>((1/(INDEX(E0!J$4:J$28,C162,1)-INDEX(E0!J$4:J$28,D162,1))))*100000000</f>
        <v>0</v>
      </c>
      <c r="F162" s="4" t="str">
        <f>HYPERLINK("http://141.218.60.56/~jnz1568/getInfo.php?workbook=06_01.xlsx&amp;sheet=A0&amp;row=162&amp;col=6&amp;number=&amp;sourceID=18","")</f>
        <v/>
      </c>
      <c r="G162" s="4" t="str">
        <f>HYPERLINK("http://141.218.60.56/~jnz1568/getInfo.php?workbook=06_01.xlsx&amp;sheet=A0&amp;row=162&amp;col=7&amp;number==&amp;sourceID=11","=")</f>
        <v>=</v>
      </c>
      <c r="H162" s="4" t="str">
        <f>HYPERLINK("http://141.218.60.56/~jnz1568/getInfo.php?workbook=06_01.xlsx&amp;sheet=A0&amp;row=162&amp;col=8&amp;number=321190000&amp;sourceID=11","321190000")</f>
        <v>321190000</v>
      </c>
      <c r="I162" s="4" t="str">
        <f>HYPERLINK("http://141.218.60.56/~jnz1568/getInfo.php?workbook=06_01.xlsx&amp;sheet=A0&amp;row=162&amp;col=9&amp;number=&amp;sourceID=11","")</f>
        <v/>
      </c>
      <c r="J162" s="4" t="str">
        <f>HYPERLINK("http://141.218.60.56/~jnz1568/getInfo.php?workbook=06_01.xlsx&amp;sheet=A0&amp;row=162&amp;col=10&amp;number=0.21986&amp;sourceID=11","0.21986")</f>
        <v>0.21986</v>
      </c>
      <c r="K162" s="4" t="str">
        <f>HYPERLINK("http://141.218.60.56/~jnz1568/getInfo.php?workbook=06_01.xlsx&amp;sheet=A0&amp;row=162&amp;col=11&amp;number=&amp;sourceID=11","")</f>
        <v/>
      </c>
      <c r="L162" s="4" t="str">
        <f>HYPERLINK("http://141.218.60.56/~jnz1568/getInfo.php?workbook=06_01.xlsx&amp;sheet=A0&amp;row=162&amp;col=12&amp;number=&amp;sourceID=11","")</f>
        <v/>
      </c>
      <c r="M162" s="4" t="str">
        <f>HYPERLINK("http://141.218.60.56/~jnz1568/getInfo.php?workbook=06_01.xlsx&amp;sheet=A0&amp;row=162&amp;col=13&amp;number=&amp;sourceID=11","")</f>
        <v/>
      </c>
      <c r="N162" s="4" t="str">
        <f>HYPERLINK("http://141.218.60.56/~jnz1568/getInfo.php?workbook=06_01.xlsx&amp;sheet=A0&amp;row=162&amp;col=14&amp;number=321210000&amp;sourceID=12","321210000")</f>
        <v>321210000</v>
      </c>
      <c r="O162" s="4" t="str">
        <f>HYPERLINK("http://141.218.60.56/~jnz1568/getInfo.php?workbook=06_01.xlsx&amp;sheet=A0&amp;row=162&amp;col=15&amp;number=321210000&amp;sourceID=12","321210000")</f>
        <v>321210000</v>
      </c>
      <c r="P162" s="4" t="str">
        <f>HYPERLINK("http://141.218.60.56/~jnz1568/getInfo.php?workbook=06_01.xlsx&amp;sheet=A0&amp;row=162&amp;col=16&amp;number=&amp;sourceID=12","")</f>
        <v/>
      </c>
      <c r="Q162" s="4" t="str">
        <f>HYPERLINK("http://141.218.60.56/~jnz1568/getInfo.php?workbook=06_01.xlsx&amp;sheet=A0&amp;row=162&amp;col=17&amp;number=0.21987&amp;sourceID=12","0.21987")</f>
        <v>0.21987</v>
      </c>
      <c r="R162" s="4" t="str">
        <f>HYPERLINK("http://141.218.60.56/~jnz1568/getInfo.php?workbook=06_01.xlsx&amp;sheet=A0&amp;row=162&amp;col=18&amp;number=&amp;sourceID=12","")</f>
        <v/>
      </c>
      <c r="S162" s="4" t="str">
        <f>HYPERLINK("http://141.218.60.56/~jnz1568/getInfo.php?workbook=06_01.xlsx&amp;sheet=A0&amp;row=162&amp;col=19&amp;number=&amp;sourceID=12","")</f>
        <v/>
      </c>
      <c r="T162" s="4" t="str">
        <f>HYPERLINK("http://141.218.60.56/~jnz1568/getInfo.php?workbook=06_01.xlsx&amp;sheet=A0&amp;row=162&amp;col=20&amp;number=&amp;sourceID=12","")</f>
        <v/>
      </c>
      <c r="U162" s="4" t="str">
        <f>HYPERLINK("http://141.218.60.56/~jnz1568/getInfo.php?workbook=06_01.xlsx&amp;sheet=A0&amp;row=162&amp;col=21&amp;number=&amp;sourceID=13","")</f>
        <v/>
      </c>
      <c r="V162" s="4" t="str">
        <f>HYPERLINK("http://141.218.60.56/~jnz1568/getInfo.php?workbook=06_01.xlsx&amp;sheet=A0&amp;row=162&amp;col=22&amp;number=&amp;sourceID=13","")</f>
        <v/>
      </c>
      <c r="W162" s="4" t="str">
        <f>HYPERLINK("http://141.218.60.56/~jnz1568/getInfo.php?workbook=06_01.xlsx&amp;sheet=A0&amp;row=162&amp;col=23&amp;number=&amp;sourceID=13","")</f>
        <v/>
      </c>
      <c r="X162" s="4" t="str">
        <f>HYPERLINK("http://141.218.60.56/~jnz1568/getInfo.php?workbook=06_01.xlsx&amp;sheet=A0&amp;row=162&amp;col=24&amp;number=&amp;sourceID=13","")</f>
        <v/>
      </c>
      <c r="Y162" s="4" t="str">
        <f>HYPERLINK("http://141.218.60.56/~jnz1568/getInfo.php?workbook=06_01.xlsx&amp;sheet=A0&amp;row=162&amp;col=25&amp;number=&amp;sourceID=13","")</f>
        <v/>
      </c>
      <c r="Z162" s="4" t="str">
        <f>HYPERLINK("http://141.218.60.56/~jnz1568/getInfo.php?workbook=06_01.xlsx&amp;sheet=A0&amp;row=162&amp;col=26&amp;number=&amp;sourceID=13","")</f>
        <v/>
      </c>
    </row>
    <row r="163" spans="1:26">
      <c r="A163" s="3">
        <v>6</v>
      </c>
      <c r="B163" s="3">
        <v>1</v>
      </c>
      <c r="C163" s="3">
        <v>19</v>
      </c>
      <c r="D163" s="3">
        <v>14</v>
      </c>
      <c r="E163" s="3">
        <f>((1/(INDEX(E0!J$4:J$28,C163,1)-INDEX(E0!J$4:J$28,D163,1))))*100000000</f>
        <v>0</v>
      </c>
      <c r="F163" s="4" t="str">
        <f>HYPERLINK("http://141.218.60.56/~jnz1568/getInfo.php?workbook=06_01.xlsx&amp;sheet=A0&amp;row=163&amp;col=6&amp;number=&amp;sourceID=18","")</f>
        <v/>
      </c>
      <c r="G163" s="4" t="str">
        <f>HYPERLINK("http://141.218.60.56/~jnz1568/getInfo.php?workbook=06_01.xlsx&amp;sheet=A0&amp;row=163&amp;col=7&amp;number==&amp;sourceID=11","=")</f>
        <v>=</v>
      </c>
      <c r="H163" s="4" t="str">
        <f>HYPERLINK("http://141.218.60.56/~jnz1568/getInfo.php?workbook=06_01.xlsx&amp;sheet=A0&amp;row=163&amp;col=8&amp;number=65591000&amp;sourceID=11","65591000")</f>
        <v>65591000</v>
      </c>
      <c r="I163" s="4" t="str">
        <f>HYPERLINK("http://141.218.60.56/~jnz1568/getInfo.php?workbook=06_01.xlsx&amp;sheet=A0&amp;row=163&amp;col=9&amp;number=&amp;sourceID=11","")</f>
        <v/>
      </c>
      <c r="J163" s="4" t="str">
        <f>HYPERLINK("http://141.218.60.56/~jnz1568/getInfo.php?workbook=06_01.xlsx&amp;sheet=A0&amp;row=163&amp;col=10&amp;number=0.019788&amp;sourceID=11","0.019788")</f>
        <v>0.019788</v>
      </c>
      <c r="K163" s="4" t="str">
        <f>HYPERLINK("http://141.218.60.56/~jnz1568/getInfo.php?workbook=06_01.xlsx&amp;sheet=A0&amp;row=163&amp;col=11&amp;number=&amp;sourceID=11","")</f>
        <v/>
      </c>
      <c r="L163" s="4" t="str">
        <f>HYPERLINK("http://141.218.60.56/~jnz1568/getInfo.php?workbook=06_01.xlsx&amp;sheet=A0&amp;row=163&amp;col=12&amp;number=0.001362&amp;sourceID=11","0.001362")</f>
        <v>0.001362</v>
      </c>
      <c r="M163" s="4" t="str">
        <f>HYPERLINK("http://141.218.60.56/~jnz1568/getInfo.php?workbook=06_01.xlsx&amp;sheet=A0&amp;row=163&amp;col=13&amp;number=&amp;sourceID=11","")</f>
        <v/>
      </c>
      <c r="N163" s="4" t="str">
        <f>HYPERLINK("http://141.218.60.56/~jnz1568/getInfo.php?workbook=06_01.xlsx&amp;sheet=A0&amp;row=163&amp;col=14&amp;number=65594000&amp;sourceID=12","65594000")</f>
        <v>65594000</v>
      </c>
      <c r="O163" s="4" t="str">
        <f>HYPERLINK("http://141.218.60.56/~jnz1568/getInfo.php?workbook=06_01.xlsx&amp;sheet=A0&amp;row=163&amp;col=15&amp;number=65594000&amp;sourceID=12","65594000")</f>
        <v>65594000</v>
      </c>
      <c r="P163" s="4" t="str">
        <f>HYPERLINK("http://141.218.60.56/~jnz1568/getInfo.php?workbook=06_01.xlsx&amp;sheet=A0&amp;row=163&amp;col=16&amp;number=&amp;sourceID=12","")</f>
        <v/>
      </c>
      <c r="Q163" s="4" t="str">
        <f>HYPERLINK("http://141.218.60.56/~jnz1568/getInfo.php?workbook=06_01.xlsx&amp;sheet=A0&amp;row=163&amp;col=17&amp;number=0.019789&amp;sourceID=12","0.019789")</f>
        <v>0.019789</v>
      </c>
      <c r="R163" s="4" t="str">
        <f>HYPERLINK("http://141.218.60.56/~jnz1568/getInfo.php?workbook=06_01.xlsx&amp;sheet=A0&amp;row=163&amp;col=18&amp;number=&amp;sourceID=12","")</f>
        <v/>
      </c>
      <c r="S163" s="4" t="str">
        <f>HYPERLINK("http://141.218.60.56/~jnz1568/getInfo.php?workbook=06_01.xlsx&amp;sheet=A0&amp;row=163&amp;col=19&amp;number=0.0013621&amp;sourceID=12","0.0013621")</f>
        <v>0.0013621</v>
      </c>
      <c r="T163" s="4" t="str">
        <f>HYPERLINK("http://141.218.60.56/~jnz1568/getInfo.php?workbook=06_01.xlsx&amp;sheet=A0&amp;row=163&amp;col=20&amp;number=&amp;sourceID=12","")</f>
        <v/>
      </c>
      <c r="U163" s="4" t="str">
        <f>HYPERLINK("http://141.218.60.56/~jnz1568/getInfo.php?workbook=06_01.xlsx&amp;sheet=A0&amp;row=163&amp;col=21&amp;number=&amp;sourceID=13","")</f>
        <v/>
      </c>
      <c r="V163" s="4" t="str">
        <f>HYPERLINK("http://141.218.60.56/~jnz1568/getInfo.php?workbook=06_01.xlsx&amp;sheet=A0&amp;row=163&amp;col=22&amp;number=&amp;sourceID=13","")</f>
        <v/>
      </c>
      <c r="W163" s="4" t="str">
        <f>HYPERLINK("http://141.218.60.56/~jnz1568/getInfo.php?workbook=06_01.xlsx&amp;sheet=A0&amp;row=163&amp;col=23&amp;number=&amp;sourceID=13","")</f>
        <v/>
      </c>
      <c r="X163" s="4" t="str">
        <f>HYPERLINK("http://141.218.60.56/~jnz1568/getInfo.php?workbook=06_01.xlsx&amp;sheet=A0&amp;row=163&amp;col=24&amp;number=&amp;sourceID=13","")</f>
        <v/>
      </c>
      <c r="Y163" s="4" t="str">
        <f>HYPERLINK("http://141.218.60.56/~jnz1568/getInfo.php?workbook=06_01.xlsx&amp;sheet=A0&amp;row=163&amp;col=25&amp;number=&amp;sourceID=13","")</f>
        <v/>
      </c>
      <c r="Z163" s="4" t="str">
        <f>HYPERLINK("http://141.218.60.56/~jnz1568/getInfo.php?workbook=06_01.xlsx&amp;sheet=A0&amp;row=163&amp;col=26&amp;number=&amp;sourceID=13","")</f>
        <v/>
      </c>
    </row>
    <row r="164" spans="1:26">
      <c r="A164" s="3">
        <v>6</v>
      </c>
      <c r="B164" s="3">
        <v>1</v>
      </c>
      <c r="C164" s="3">
        <v>19</v>
      </c>
      <c r="D164" s="3">
        <v>15</v>
      </c>
      <c r="E164" s="3">
        <f>((1/(INDEX(E0!J$4:J$28,C164,1)-INDEX(E0!J$4:J$28,D164,1))))*100000000</f>
        <v>0</v>
      </c>
      <c r="F164" s="4" t="str">
        <f>HYPERLINK("http://141.218.60.56/~jnz1568/getInfo.php?workbook=06_01.xlsx&amp;sheet=A0&amp;row=164&amp;col=6&amp;number=&amp;sourceID=18","")</f>
        <v/>
      </c>
      <c r="G164" s="4" t="str">
        <f>HYPERLINK("http://141.218.60.56/~jnz1568/getInfo.php?workbook=06_01.xlsx&amp;sheet=A0&amp;row=164&amp;col=7&amp;number==&amp;sourceID=11","=")</f>
        <v>=</v>
      </c>
      <c r="H164" s="4" t="str">
        <f>HYPERLINK("http://141.218.60.56/~jnz1568/getInfo.php?workbook=06_01.xlsx&amp;sheet=A0&amp;row=164&amp;col=8&amp;number=&amp;sourceID=11","")</f>
        <v/>
      </c>
      <c r="I164" s="4" t="str">
        <f>HYPERLINK("http://141.218.60.56/~jnz1568/getInfo.php?workbook=06_01.xlsx&amp;sheet=A0&amp;row=164&amp;col=9&amp;number=3720&amp;sourceID=11","3720")</f>
        <v>3720</v>
      </c>
      <c r="J164" s="4" t="str">
        <f>HYPERLINK("http://141.218.60.56/~jnz1568/getInfo.php?workbook=06_01.xlsx&amp;sheet=A0&amp;row=164&amp;col=10&amp;number=&amp;sourceID=11","")</f>
        <v/>
      </c>
      <c r="K164" s="4" t="str">
        <f>HYPERLINK("http://141.218.60.56/~jnz1568/getInfo.php?workbook=06_01.xlsx&amp;sheet=A0&amp;row=164&amp;col=11&amp;number=0.00034076&amp;sourceID=11","0.00034076")</f>
        <v>0.00034076</v>
      </c>
      <c r="L164" s="4" t="str">
        <f>HYPERLINK("http://141.218.60.56/~jnz1568/getInfo.php?workbook=06_01.xlsx&amp;sheet=A0&amp;row=164&amp;col=12&amp;number=&amp;sourceID=11","")</f>
        <v/>
      </c>
      <c r="M164" s="4" t="str">
        <f>HYPERLINK("http://141.218.60.56/~jnz1568/getInfo.php?workbook=06_01.xlsx&amp;sheet=A0&amp;row=164&amp;col=13&amp;number=2.197e-08&amp;sourceID=11","2.197e-08")</f>
        <v>2.197e-08</v>
      </c>
      <c r="N164" s="4" t="str">
        <f>HYPERLINK("http://141.218.60.56/~jnz1568/getInfo.php?workbook=06_01.xlsx&amp;sheet=A0&amp;row=164&amp;col=14&amp;number=3720.2&amp;sourceID=12","3720.2")</f>
        <v>3720.2</v>
      </c>
      <c r="O164" s="4" t="str">
        <f>HYPERLINK("http://141.218.60.56/~jnz1568/getInfo.php?workbook=06_01.xlsx&amp;sheet=A0&amp;row=164&amp;col=15&amp;number=&amp;sourceID=12","")</f>
        <v/>
      </c>
      <c r="P164" s="4" t="str">
        <f>HYPERLINK("http://141.218.60.56/~jnz1568/getInfo.php?workbook=06_01.xlsx&amp;sheet=A0&amp;row=164&amp;col=16&amp;number=3720.2&amp;sourceID=12","3720.2")</f>
        <v>3720.2</v>
      </c>
      <c r="Q164" s="4" t="str">
        <f>HYPERLINK("http://141.218.60.56/~jnz1568/getInfo.php?workbook=06_01.xlsx&amp;sheet=A0&amp;row=164&amp;col=17&amp;number=&amp;sourceID=12","")</f>
        <v/>
      </c>
      <c r="R164" s="4" t="str">
        <f>HYPERLINK("http://141.218.60.56/~jnz1568/getInfo.php?workbook=06_01.xlsx&amp;sheet=A0&amp;row=164&amp;col=18&amp;number=0.0003408&amp;sourceID=12","0.0003408")</f>
        <v>0.0003408</v>
      </c>
      <c r="S164" s="4" t="str">
        <f>HYPERLINK("http://141.218.60.56/~jnz1568/getInfo.php?workbook=06_01.xlsx&amp;sheet=A0&amp;row=164&amp;col=19&amp;number=&amp;sourceID=12","")</f>
        <v/>
      </c>
      <c r="T164" s="4" t="str">
        <f>HYPERLINK("http://141.218.60.56/~jnz1568/getInfo.php?workbook=06_01.xlsx&amp;sheet=A0&amp;row=164&amp;col=20&amp;number=2.1971e-08&amp;sourceID=12","2.1971e-08")</f>
        <v>2.1971e-08</v>
      </c>
      <c r="U164" s="4" t="str">
        <f>HYPERLINK("http://141.218.60.56/~jnz1568/getInfo.php?workbook=06_01.xlsx&amp;sheet=A0&amp;row=164&amp;col=21&amp;number=&amp;sourceID=13","")</f>
        <v/>
      </c>
      <c r="V164" s="4" t="str">
        <f>HYPERLINK("http://141.218.60.56/~jnz1568/getInfo.php?workbook=06_01.xlsx&amp;sheet=A0&amp;row=164&amp;col=22&amp;number=&amp;sourceID=13","")</f>
        <v/>
      </c>
      <c r="W164" s="4" t="str">
        <f>HYPERLINK("http://141.218.60.56/~jnz1568/getInfo.php?workbook=06_01.xlsx&amp;sheet=A0&amp;row=164&amp;col=23&amp;number=&amp;sourceID=13","")</f>
        <v/>
      </c>
      <c r="X164" s="4" t="str">
        <f>HYPERLINK("http://141.218.60.56/~jnz1568/getInfo.php?workbook=06_01.xlsx&amp;sheet=A0&amp;row=164&amp;col=24&amp;number=&amp;sourceID=13","")</f>
        <v/>
      </c>
      <c r="Y164" s="4" t="str">
        <f>HYPERLINK("http://141.218.60.56/~jnz1568/getInfo.php?workbook=06_01.xlsx&amp;sheet=A0&amp;row=164&amp;col=25&amp;number=&amp;sourceID=13","")</f>
        <v/>
      </c>
      <c r="Z164" s="4" t="str">
        <f>HYPERLINK("http://141.218.60.56/~jnz1568/getInfo.php?workbook=06_01.xlsx&amp;sheet=A0&amp;row=164&amp;col=26&amp;number=&amp;sourceID=13","")</f>
        <v/>
      </c>
    </row>
    <row r="165" spans="1:26">
      <c r="A165" s="3">
        <v>6</v>
      </c>
      <c r="B165" s="3">
        <v>1</v>
      </c>
      <c r="C165" s="3">
        <v>19</v>
      </c>
      <c r="D165" s="3">
        <v>16</v>
      </c>
      <c r="E165" s="3">
        <f>((1/(INDEX(E0!J$4:J$28,C165,1)-INDEX(E0!J$4:J$28,D165,1))))*100000000</f>
        <v>0</v>
      </c>
      <c r="F165" s="4" t="str">
        <f>HYPERLINK("http://141.218.60.56/~jnz1568/getInfo.php?workbook=06_01.xlsx&amp;sheet=A0&amp;row=165&amp;col=6&amp;number=&amp;sourceID=18","")</f>
        <v/>
      </c>
      <c r="G165" s="4" t="str">
        <f>HYPERLINK("http://141.218.60.56/~jnz1568/getInfo.php?workbook=06_01.xlsx&amp;sheet=A0&amp;row=165&amp;col=7&amp;number==&amp;sourceID=11","=")</f>
        <v>=</v>
      </c>
      <c r="H165" s="4" t="str">
        <f>HYPERLINK("http://141.218.60.56/~jnz1568/getInfo.php?workbook=06_01.xlsx&amp;sheet=A0&amp;row=165&amp;col=8&amp;number=&amp;sourceID=11","")</f>
        <v/>
      </c>
      <c r="I165" s="4" t="str">
        <f>HYPERLINK("http://141.218.60.56/~jnz1568/getInfo.php?workbook=06_01.xlsx&amp;sheet=A0&amp;row=165&amp;col=9&amp;number=&amp;sourceID=11","")</f>
        <v/>
      </c>
      <c r="J165" s="4" t="str">
        <f>HYPERLINK("http://141.218.60.56/~jnz1568/getInfo.php?workbook=06_01.xlsx&amp;sheet=A0&amp;row=165&amp;col=10&amp;number=0.01099&amp;sourceID=11","0.01099")</f>
        <v>0.01099</v>
      </c>
      <c r="K165" s="4" t="str">
        <f>HYPERLINK("http://141.218.60.56/~jnz1568/getInfo.php?workbook=06_01.xlsx&amp;sheet=A0&amp;row=165&amp;col=11&amp;number=&amp;sourceID=11","")</f>
        <v/>
      </c>
      <c r="L165" s="4" t="str">
        <f>HYPERLINK("http://141.218.60.56/~jnz1568/getInfo.php?workbook=06_01.xlsx&amp;sheet=A0&amp;row=165&amp;col=12&amp;number=0.0023261&amp;sourceID=11","0.0023261")</f>
        <v>0.0023261</v>
      </c>
      <c r="M165" s="4" t="str">
        <f>HYPERLINK("http://141.218.60.56/~jnz1568/getInfo.php?workbook=06_01.xlsx&amp;sheet=A0&amp;row=165&amp;col=13&amp;number=&amp;sourceID=11","")</f>
        <v/>
      </c>
      <c r="N165" s="4" t="str">
        <f>HYPERLINK("http://141.218.60.56/~jnz1568/getInfo.php?workbook=06_01.xlsx&amp;sheet=A0&amp;row=165&amp;col=14&amp;number=0.013316&amp;sourceID=12","0.013316")</f>
        <v>0.013316</v>
      </c>
      <c r="O165" s="4" t="str">
        <f>HYPERLINK("http://141.218.60.56/~jnz1568/getInfo.php?workbook=06_01.xlsx&amp;sheet=A0&amp;row=165&amp;col=15&amp;number=&amp;sourceID=12","")</f>
        <v/>
      </c>
      <c r="P165" s="4" t="str">
        <f>HYPERLINK("http://141.218.60.56/~jnz1568/getInfo.php?workbook=06_01.xlsx&amp;sheet=A0&amp;row=165&amp;col=16&amp;number=&amp;sourceID=12","")</f>
        <v/>
      </c>
      <c r="Q165" s="4" t="str">
        <f>HYPERLINK("http://141.218.60.56/~jnz1568/getInfo.php?workbook=06_01.xlsx&amp;sheet=A0&amp;row=165&amp;col=17&amp;number=0.01099&amp;sourceID=12","0.01099")</f>
        <v>0.01099</v>
      </c>
      <c r="R165" s="4" t="str">
        <f>HYPERLINK("http://141.218.60.56/~jnz1568/getInfo.php?workbook=06_01.xlsx&amp;sheet=A0&amp;row=165&amp;col=18&amp;number=&amp;sourceID=12","")</f>
        <v/>
      </c>
      <c r="S165" s="4" t="str">
        <f>HYPERLINK("http://141.218.60.56/~jnz1568/getInfo.php?workbook=06_01.xlsx&amp;sheet=A0&amp;row=165&amp;col=19&amp;number=0.0023262&amp;sourceID=12","0.0023262")</f>
        <v>0.0023262</v>
      </c>
      <c r="T165" s="4" t="str">
        <f>HYPERLINK("http://141.218.60.56/~jnz1568/getInfo.php?workbook=06_01.xlsx&amp;sheet=A0&amp;row=165&amp;col=20&amp;number=&amp;sourceID=12","")</f>
        <v/>
      </c>
      <c r="U165" s="4" t="str">
        <f>HYPERLINK("http://141.218.60.56/~jnz1568/getInfo.php?workbook=06_01.xlsx&amp;sheet=A0&amp;row=165&amp;col=21&amp;number=&amp;sourceID=13","")</f>
        <v/>
      </c>
      <c r="V165" s="4" t="str">
        <f>HYPERLINK("http://141.218.60.56/~jnz1568/getInfo.php?workbook=06_01.xlsx&amp;sheet=A0&amp;row=165&amp;col=22&amp;number=&amp;sourceID=13","")</f>
        <v/>
      </c>
      <c r="W165" s="4" t="str">
        <f>HYPERLINK("http://141.218.60.56/~jnz1568/getInfo.php?workbook=06_01.xlsx&amp;sheet=A0&amp;row=165&amp;col=23&amp;number=&amp;sourceID=13","")</f>
        <v/>
      </c>
      <c r="X165" s="4" t="str">
        <f>HYPERLINK("http://141.218.60.56/~jnz1568/getInfo.php?workbook=06_01.xlsx&amp;sheet=A0&amp;row=165&amp;col=24&amp;number=&amp;sourceID=13","")</f>
        <v/>
      </c>
      <c r="Y165" s="4" t="str">
        <f>HYPERLINK("http://141.218.60.56/~jnz1568/getInfo.php?workbook=06_01.xlsx&amp;sheet=A0&amp;row=165&amp;col=25&amp;number=&amp;sourceID=13","")</f>
        <v/>
      </c>
      <c r="Z165" s="4" t="str">
        <f>HYPERLINK("http://141.218.60.56/~jnz1568/getInfo.php?workbook=06_01.xlsx&amp;sheet=A0&amp;row=165&amp;col=26&amp;number=&amp;sourceID=13","")</f>
        <v/>
      </c>
    </row>
    <row r="166" spans="1:26">
      <c r="A166" s="3">
        <v>6</v>
      </c>
      <c r="B166" s="3">
        <v>1</v>
      </c>
      <c r="C166" s="3">
        <v>19</v>
      </c>
      <c r="D166" s="3">
        <v>17</v>
      </c>
      <c r="E166" s="3">
        <f>((1/(INDEX(E0!J$4:J$28,C166,1)-INDEX(E0!J$4:J$28,D166,1))))*100000000</f>
        <v>0</v>
      </c>
      <c r="F166" s="4" t="str">
        <f>HYPERLINK("http://141.218.60.56/~jnz1568/getInfo.php?workbook=06_01.xlsx&amp;sheet=A0&amp;row=166&amp;col=6&amp;number=&amp;sourceID=18","")</f>
        <v/>
      </c>
      <c r="G166" s="4" t="str">
        <f>HYPERLINK("http://141.218.60.56/~jnz1568/getInfo.php?workbook=06_01.xlsx&amp;sheet=A0&amp;row=166&amp;col=7&amp;number==&amp;sourceID=11","=")</f>
        <v>=</v>
      </c>
      <c r="H166" s="4" t="str">
        <f>HYPERLINK("http://141.218.60.56/~jnz1568/getInfo.php?workbook=06_01.xlsx&amp;sheet=A0&amp;row=166&amp;col=8&amp;number=0.61807&amp;sourceID=11","0.61807")</f>
        <v>0.61807</v>
      </c>
      <c r="I166" s="4" t="str">
        <f>HYPERLINK("http://141.218.60.56/~jnz1568/getInfo.php?workbook=06_01.xlsx&amp;sheet=A0&amp;row=166&amp;col=9&amp;number=&amp;sourceID=11","")</f>
        <v/>
      </c>
      <c r="J166" s="4" t="str">
        <f>HYPERLINK("http://141.218.60.56/~jnz1568/getInfo.php?workbook=06_01.xlsx&amp;sheet=A0&amp;row=166&amp;col=10&amp;number=&amp;sourceID=11","")</f>
        <v/>
      </c>
      <c r="K166" s="4" t="str">
        <f>HYPERLINK("http://141.218.60.56/~jnz1568/getInfo.php?workbook=06_01.xlsx&amp;sheet=A0&amp;row=166&amp;col=11&amp;number=&amp;sourceID=11","")</f>
        <v/>
      </c>
      <c r="L166" s="4" t="str">
        <f>HYPERLINK("http://141.218.60.56/~jnz1568/getInfo.php?workbook=06_01.xlsx&amp;sheet=A0&amp;row=166&amp;col=12&amp;number=0&amp;sourceID=11","0")</f>
        <v>0</v>
      </c>
      <c r="M166" s="4" t="str">
        <f>HYPERLINK("http://141.218.60.56/~jnz1568/getInfo.php?workbook=06_01.xlsx&amp;sheet=A0&amp;row=166&amp;col=13&amp;number=&amp;sourceID=11","")</f>
        <v/>
      </c>
      <c r="N166" s="4" t="str">
        <f>HYPERLINK("http://141.218.60.56/~jnz1568/getInfo.php?workbook=06_01.xlsx&amp;sheet=A0&amp;row=166&amp;col=14&amp;number=0.61817&amp;sourceID=12","0.61817")</f>
        <v>0.61817</v>
      </c>
      <c r="O166" s="4" t="str">
        <f>HYPERLINK("http://141.218.60.56/~jnz1568/getInfo.php?workbook=06_01.xlsx&amp;sheet=A0&amp;row=166&amp;col=15&amp;number=0.61817&amp;sourceID=12","0.61817")</f>
        <v>0.61817</v>
      </c>
      <c r="P166" s="4" t="str">
        <f>HYPERLINK("http://141.218.60.56/~jnz1568/getInfo.php?workbook=06_01.xlsx&amp;sheet=A0&amp;row=166&amp;col=16&amp;number=&amp;sourceID=12","")</f>
        <v/>
      </c>
      <c r="Q166" s="4" t="str">
        <f>HYPERLINK("http://141.218.60.56/~jnz1568/getInfo.php?workbook=06_01.xlsx&amp;sheet=A0&amp;row=166&amp;col=17&amp;number=&amp;sourceID=12","")</f>
        <v/>
      </c>
      <c r="R166" s="4" t="str">
        <f>HYPERLINK("http://141.218.60.56/~jnz1568/getInfo.php?workbook=06_01.xlsx&amp;sheet=A0&amp;row=166&amp;col=18&amp;number=&amp;sourceID=12","")</f>
        <v/>
      </c>
      <c r="S166" s="4" t="str">
        <f>HYPERLINK("http://141.218.60.56/~jnz1568/getInfo.php?workbook=06_01.xlsx&amp;sheet=A0&amp;row=166&amp;col=19&amp;number=0&amp;sourceID=12","0")</f>
        <v>0</v>
      </c>
      <c r="T166" s="4" t="str">
        <f>HYPERLINK("http://141.218.60.56/~jnz1568/getInfo.php?workbook=06_01.xlsx&amp;sheet=A0&amp;row=166&amp;col=20&amp;number=&amp;sourceID=12","")</f>
        <v/>
      </c>
      <c r="U166" s="4" t="str">
        <f>HYPERLINK("http://141.218.60.56/~jnz1568/getInfo.php?workbook=06_01.xlsx&amp;sheet=A0&amp;row=166&amp;col=21&amp;number=&amp;sourceID=13","")</f>
        <v/>
      </c>
      <c r="V166" s="4" t="str">
        <f>HYPERLINK("http://141.218.60.56/~jnz1568/getInfo.php?workbook=06_01.xlsx&amp;sheet=A0&amp;row=166&amp;col=22&amp;number=&amp;sourceID=13","")</f>
        <v/>
      </c>
      <c r="W166" s="4" t="str">
        <f>HYPERLINK("http://141.218.60.56/~jnz1568/getInfo.php?workbook=06_01.xlsx&amp;sheet=A0&amp;row=166&amp;col=23&amp;number=&amp;sourceID=13","")</f>
        <v/>
      </c>
      <c r="X166" s="4" t="str">
        <f>HYPERLINK("http://141.218.60.56/~jnz1568/getInfo.php?workbook=06_01.xlsx&amp;sheet=A0&amp;row=166&amp;col=24&amp;number=&amp;sourceID=13","")</f>
        <v/>
      </c>
      <c r="Y166" s="4" t="str">
        <f>HYPERLINK("http://141.218.60.56/~jnz1568/getInfo.php?workbook=06_01.xlsx&amp;sheet=A0&amp;row=166&amp;col=25&amp;number=&amp;sourceID=13","")</f>
        <v/>
      </c>
      <c r="Z166" s="4" t="str">
        <f>HYPERLINK("http://141.218.60.56/~jnz1568/getInfo.php?workbook=06_01.xlsx&amp;sheet=A0&amp;row=166&amp;col=26&amp;number=&amp;sourceID=13","")</f>
        <v/>
      </c>
    </row>
    <row r="167" spans="1:26">
      <c r="A167" s="3">
        <v>6</v>
      </c>
      <c r="B167" s="3">
        <v>1</v>
      </c>
      <c r="C167" s="3">
        <v>19</v>
      </c>
      <c r="D167" s="3">
        <v>18</v>
      </c>
      <c r="E167" s="3">
        <f>((1/(INDEX(E0!J$4:J$28,C167,1)-INDEX(E0!J$4:J$28,D167,1))))*100000000</f>
        <v>0</v>
      </c>
      <c r="F167" s="4" t="str">
        <f>HYPERLINK("http://141.218.60.56/~jnz1568/getInfo.php?workbook=06_01.xlsx&amp;sheet=A0&amp;row=167&amp;col=6&amp;number=&amp;sourceID=18","")</f>
        <v/>
      </c>
      <c r="G167" s="4" t="str">
        <f>HYPERLINK("http://141.218.60.56/~jnz1568/getInfo.php?workbook=06_01.xlsx&amp;sheet=A0&amp;row=167&amp;col=7&amp;number==&amp;sourceID=11","=")</f>
        <v>=</v>
      </c>
      <c r="H167" s="4" t="str">
        <f>HYPERLINK("http://141.218.60.56/~jnz1568/getInfo.php?workbook=06_01.xlsx&amp;sheet=A0&amp;row=167&amp;col=8&amp;number=&amp;sourceID=11","")</f>
        <v/>
      </c>
      <c r="I167" s="4" t="str">
        <f>HYPERLINK("http://141.218.60.56/~jnz1568/getInfo.php?workbook=06_01.xlsx&amp;sheet=A0&amp;row=167&amp;col=9&amp;number=8.72e-13&amp;sourceID=11","8.72e-13")</f>
        <v>8.72e-13</v>
      </c>
      <c r="J167" s="4" t="str">
        <f>HYPERLINK("http://141.218.60.56/~jnz1568/getInfo.php?workbook=06_01.xlsx&amp;sheet=A0&amp;row=167&amp;col=10&amp;number=&amp;sourceID=11","")</f>
        <v/>
      </c>
      <c r="K167" s="4" t="str">
        <f>HYPERLINK("http://141.218.60.56/~jnz1568/getInfo.php?workbook=06_01.xlsx&amp;sheet=A0&amp;row=167&amp;col=11&amp;number=0&amp;sourceID=11","0")</f>
        <v>0</v>
      </c>
      <c r="L167" s="4" t="str">
        <f>HYPERLINK("http://141.218.60.56/~jnz1568/getInfo.php?workbook=06_01.xlsx&amp;sheet=A0&amp;row=167&amp;col=12&amp;number=&amp;sourceID=11","")</f>
        <v/>
      </c>
      <c r="M167" s="4" t="str">
        <f>HYPERLINK("http://141.218.60.56/~jnz1568/getInfo.php?workbook=06_01.xlsx&amp;sheet=A0&amp;row=167&amp;col=13&amp;number=&amp;sourceID=11","")</f>
        <v/>
      </c>
      <c r="N167" s="4" t="str">
        <f>HYPERLINK("http://141.218.60.56/~jnz1568/getInfo.php?workbook=06_01.xlsx&amp;sheet=A0&amp;row=167&amp;col=14&amp;number=8.73e-13&amp;sourceID=12","8.73e-13")</f>
        <v>8.73e-13</v>
      </c>
      <c r="O167" s="4" t="str">
        <f>HYPERLINK("http://141.218.60.56/~jnz1568/getInfo.php?workbook=06_01.xlsx&amp;sheet=A0&amp;row=167&amp;col=15&amp;number=&amp;sourceID=12","")</f>
        <v/>
      </c>
      <c r="P167" s="4" t="str">
        <f>HYPERLINK("http://141.218.60.56/~jnz1568/getInfo.php?workbook=06_01.xlsx&amp;sheet=A0&amp;row=167&amp;col=16&amp;number=8.73e-13&amp;sourceID=12","8.73e-13")</f>
        <v>8.73e-13</v>
      </c>
      <c r="Q167" s="4" t="str">
        <f>HYPERLINK("http://141.218.60.56/~jnz1568/getInfo.php?workbook=06_01.xlsx&amp;sheet=A0&amp;row=167&amp;col=17&amp;number=&amp;sourceID=12","")</f>
        <v/>
      </c>
      <c r="R167" s="4" t="str">
        <f>HYPERLINK("http://141.218.60.56/~jnz1568/getInfo.php?workbook=06_01.xlsx&amp;sheet=A0&amp;row=167&amp;col=18&amp;number=0&amp;sourceID=12","0")</f>
        <v>0</v>
      </c>
      <c r="S167" s="4" t="str">
        <f>HYPERLINK("http://141.218.60.56/~jnz1568/getInfo.php?workbook=06_01.xlsx&amp;sheet=A0&amp;row=167&amp;col=19&amp;number=&amp;sourceID=12","")</f>
        <v/>
      </c>
      <c r="T167" s="4" t="str">
        <f>HYPERLINK("http://141.218.60.56/~jnz1568/getInfo.php?workbook=06_01.xlsx&amp;sheet=A0&amp;row=167&amp;col=20&amp;number=&amp;sourceID=12","")</f>
        <v/>
      </c>
      <c r="U167" s="4" t="str">
        <f>HYPERLINK("http://141.218.60.56/~jnz1568/getInfo.php?workbook=06_01.xlsx&amp;sheet=A0&amp;row=167&amp;col=21&amp;number=&amp;sourceID=13","")</f>
        <v/>
      </c>
      <c r="V167" s="4" t="str">
        <f>HYPERLINK("http://141.218.60.56/~jnz1568/getInfo.php?workbook=06_01.xlsx&amp;sheet=A0&amp;row=167&amp;col=22&amp;number=&amp;sourceID=13","")</f>
        <v/>
      </c>
      <c r="W167" s="4" t="str">
        <f>HYPERLINK("http://141.218.60.56/~jnz1568/getInfo.php?workbook=06_01.xlsx&amp;sheet=A0&amp;row=167&amp;col=23&amp;number=&amp;sourceID=13","")</f>
        <v/>
      </c>
      <c r="X167" s="4" t="str">
        <f>HYPERLINK("http://141.218.60.56/~jnz1568/getInfo.php?workbook=06_01.xlsx&amp;sheet=A0&amp;row=167&amp;col=24&amp;number=&amp;sourceID=13","")</f>
        <v/>
      </c>
      <c r="Y167" s="4" t="str">
        <f>HYPERLINK("http://141.218.60.56/~jnz1568/getInfo.php?workbook=06_01.xlsx&amp;sheet=A0&amp;row=167&amp;col=25&amp;number=&amp;sourceID=13","")</f>
        <v/>
      </c>
      <c r="Z167" s="4" t="str">
        <f>HYPERLINK("http://141.218.60.56/~jnz1568/getInfo.php?workbook=06_01.xlsx&amp;sheet=A0&amp;row=167&amp;col=26&amp;number=&amp;sourceID=13","")</f>
        <v/>
      </c>
    </row>
    <row r="168" spans="1:26">
      <c r="A168" s="3">
        <v>6</v>
      </c>
      <c r="B168" s="3">
        <v>1</v>
      </c>
      <c r="C168" s="3">
        <v>20</v>
      </c>
      <c r="D168" s="3">
        <v>1</v>
      </c>
      <c r="E168" s="3">
        <f>((1/(INDEX(E0!J$4:J$28,C168,1)-INDEX(E0!J$4:J$28,D168,1))))*100000000</f>
        <v>0</v>
      </c>
      <c r="F168" s="4" t="str">
        <f>HYPERLINK("http://141.218.60.56/~jnz1568/getInfo.php?workbook=06_01.xlsx&amp;sheet=A0&amp;row=168&amp;col=6&amp;number=&amp;sourceID=18","")</f>
        <v/>
      </c>
      <c r="G168" s="4" t="str">
        <f>HYPERLINK("http://141.218.60.56/~jnz1568/getInfo.php?workbook=06_01.xlsx&amp;sheet=A0&amp;row=168&amp;col=7&amp;number==&amp;sourceID=11","=")</f>
        <v>=</v>
      </c>
      <c r="H168" s="4" t="str">
        <f>HYPERLINK("http://141.218.60.56/~jnz1568/getInfo.php?workbook=06_01.xlsx&amp;sheet=A0&amp;row=168&amp;col=8&amp;number=44565000000&amp;sourceID=11","44565000000")</f>
        <v>44565000000</v>
      </c>
      <c r="I168" s="4" t="str">
        <f>HYPERLINK("http://141.218.60.56/~jnz1568/getInfo.php?workbook=06_01.xlsx&amp;sheet=A0&amp;row=168&amp;col=9&amp;number=&amp;sourceID=11","")</f>
        <v/>
      </c>
      <c r="J168" s="4" t="str">
        <f>HYPERLINK("http://141.218.60.56/~jnz1568/getInfo.php?workbook=06_01.xlsx&amp;sheet=A0&amp;row=168&amp;col=10&amp;number=&amp;sourceID=11","")</f>
        <v/>
      </c>
      <c r="K168" s="4" t="str">
        <f>HYPERLINK("http://141.218.60.56/~jnz1568/getInfo.php?workbook=06_01.xlsx&amp;sheet=A0&amp;row=168&amp;col=11&amp;number=&amp;sourceID=11","")</f>
        <v/>
      </c>
      <c r="L168" s="4" t="str">
        <f>HYPERLINK("http://141.218.60.56/~jnz1568/getInfo.php?workbook=06_01.xlsx&amp;sheet=A0&amp;row=168&amp;col=12&amp;number=7078&amp;sourceID=11","7078")</f>
        <v>7078</v>
      </c>
      <c r="M168" s="4" t="str">
        <f>HYPERLINK("http://141.218.60.56/~jnz1568/getInfo.php?workbook=06_01.xlsx&amp;sheet=A0&amp;row=168&amp;col=13&amp;number=&amp;sourceID=11","")</f>
        <v/>
      </c>
      <c r="N168" s="4" t="str">
        <f>HYPERLINK("http://141.218.60.56/~jnz1568/getInfo.php?workbook=06_01.xlsx&amp;sheet=A0&amp;row=168&amp;col=14&amp;number=44567000000&amp;sourceID=12","44567000000")</f>
        <v>44567000000</v>
      </c>
      <c r="O168" s="4" t="str">
        <f>HYPERLINK("http://141.218.60.56/~jnz1568/getInfo.php?workbook=06_01.xlsx&amp;sheet=A0&amp;row=168&amp;col=15&amp;number=44567000000&amp;sourceID=12","44567000000")</f>
        <v>44567000000</v>
      </c>
      <c r="P168" s="4" t="str">
        <f>HYPERLINK("http://141.218.60.56/~jnz1568/getInfo.php?workbook=06_01.xlsx&amp;sheet=A0&amp;row=168&amp;col=16&amp;number=&amp;sourceID=12","")</f>
        <v/>
      </c>
      <c r="Q168" s="4" t="str">
        <f>HYPERLINK("http://141.218.60.56/~jnz1568/getInfo.php?workbook=06_01.xlsx&amp;sheet=A0&amp;row=168&amp;col=17&amp;number=&amp;sourceID=12","")</f>
        <v/>
      </c>
      <c r="R168" s="4" t="str">
        <f>HYPERLINK("http://141.218.60.56/~jnz1568/getInfo.php?workbook=06_01.xlsx&amp;sheet=A0&amp;row=168&amp;col=18&amp;number=&amp;sourceID=12","")</f>
        <v/>
      </c>
      <c r="S168" s="4" t="str">
        <f>HYPERLINK("http://141.218.60.56/~jnz1568/getInfo.php?workbook=06_01.xlsx&amp;sheet=A0&amp;row=168&amp;col=19&amp;number=7078.3&amp;sourceID=12","7078.3")</f>
        <v>7078.3</v>
      </c>
      <c r="T168" s="4" t="str">
        <f>HYPERLINK("http://141.218.60.56/~jnz1568/getInfo.php?workbook=06_01.xlsx&amp;sheet=A0&amp;row=168&amp;col=20&amp;number=&amp;sourceID=12","")</f>
        <v/>
      </c>
      <c r="U168" s="4" t="str">
        <f>HYPERLINK("http://141.218.60.56/~jnz1568/getInfo.php?workbook=06_01.xlsx&amp;sheet=A0&amp;row=168&amp;col=21&amp;number=&amp;sourceID=13","")</f>
        <v/>
      </c>
      <c r="V168" s="4" t="str">
        <f>HYPERLINK("http://141.218.60.56/~jnz1568/getInfo.php?workbook=06_01.xlsx&amp;sheet=A0&amp;row=168&amp;col=22&amp;number=&amp;sourceID=13","")</f>
        <v/>
      </c>
      <c r="W168" s="4" t="str">
        <f>HYPERLINK("http://141.218.60.56/~jnz1568/getInfo.php?workbook=06_01.xlsx&amp;sheet=A0&amp;row=168&amp;col=23&amp;number=&amp;sourceID=13","")</f>
        <v/>
      </c>
      <c r="X168" s="4" t="str">
        <f>HYPERLINK("http://141.218.60.56/~jnz1568/getInfo.php?workbook=06_01.xlsx&amp;sheet=A0&amp;row=168&amp;col=24&amp;number=&amp;sourceID=13","")</f>
        <v/>
      </c>
      <c r="Y168" s="4" t="str">
        <f>HYPERLINK("http://141.218.60.56/~jnz1568/getInfo.php?workbook=06_01.xlsx&amp;sheet=A0&amp;row=168&amp;col=25&amp;number=&amp;sourceID=13","")</f>
        <v/>
      </c>
      <c r="Z168" s="4" t="str">
        <f>HYPERLINK("http://141.218.60.56/~jnz1568/getInfo.php?workbook=06_01.xlsx&amp;sheet=A0&amp;row=168&amp;col=26&amp;number=&amp;sourceID=13","")</f>
        <v/>
      </c>
    </row>
    <row r="169" spans="1:26">
      <c r="A169" s="3">
        <v>6</v>
      </c>
      <c r="B169" s="3">
        <v>1</v>
      </c>
      <c r="C169" s="3">
        <v>20</v>
      </c>
      <c r="D169" s="3">
        <v>2</v>
      </c>
      <c r="E169" s="3">
        <f>((1/(INDEX(E0!J$4:J$28,C169,1)-INDEX(E0!J$4:J$28,D169,1))))*100000000</f>
        <v>0</v>
      </c>
      <c r="F169" s="4" t="str">
        <f>HYPERLINK("http://141.218.60.56/~jnz1568/getInfo.php?workbook=06_01.xlsx&amp;sheet=A0&amp;row=169&amp;col=6&amp;number=&amp;sourceID=18","")</f>
        <v/>
      </c>
      <c r="G169" s="4" t="str">
        <f>HYPERLINK("http://141.218.60.56/~jnz1568/getInfo.php?workbook=06_01.xlsx&amp;sheet=A0&amp;row=169&amp;col=7&amp;number==&amp;sourceID=11","=")</f>
        <v>=</v>
      </c>
      <c r="H169" s="4" t="str">
        <f>HYPERLINK("http://141.218.60.56/~jnz1568/getInfo.php?workbook=06_01.xlsx&amp;sheet=A0&amp;row=169&amp;col=8&amp;number=&amp;sourceID=11","")</f>
        <v/>
      </c>
      <c r="I169" s="4" t="str">
        <f>HYPERLINK("http://141.218.60.56/~jnz1568/getInfo.php?workbook=06_01.xlsx&amp;sheet=A0&amp;row=169&amp;col=9&amp;number=123170&amp;sourceID=11","123170")</f>
        <v>123170</v>
      </c>
      <c r="J169" s="4" t="str">
        <f>HYPERLINK("http://141.218.60.56/~jnz1568/getInfo.php?workbook=06_01.xlsx&amp;sheet=A0&amp;row=169&amp;col=10&amp;number=&amp;sourceID=11","")</f>
        <v/>
      </c>
      <c r="K169" s="4" t="str">
        <f>HYPERLINK("http://141.218.60.56/~jnz1568/getInfo.php?workbook=06_01.xlsx&amp;sheet=A0&amp;row=169&amp;col=11&amp;number=0.058012&amp;sourceID=11","0.058012")</f>
        <v>0.058012</v>
      </c>
      <c r="L169" s="4" t="str">
        <f>HYPERLINK("http://141.218.60.56/~jnz1568/getInfo.php?workbook=06_01.xlsx&amp;sheet=A0&amp;row=169&amp;col=12&amp;number=&amp;sourceID=11","")</f>
        <v/>
      </c>
      <c r="M169" s="4" t="str">
        <f>HYPERLINK("http://141.218.60.56/~jnz1568/getInfo.php?workbook=06_01.xlsx&amp;sheet=A0&amp;row=169&amp;col=13&amp;number=&amp;sourceID=11","")</f>
        <v/>
      </c>
      <c r="N169" s="4" t="str">
        <f>HYPERLINK("http://141.218.60.56/~jnz1568/getInfo.php?workbook=06_01.xlsx&amp;sheet=A0&amp;row=169&amp;col=14&amp;number=123170&amp;sourceID=12","123170")</f>
        <v>123170</v>
      </c>
      <c r="O169" s="4" t="str">
        <f>HYPERLINK("http://141.218.60.56/~jnz1568/getInfo.php?workbook=06_01.xlsx&amp;sheet=A0&amp;row=169&amp;col=15&amp;number=&amp;sourceID=12","")</f>
        <v/>
      </c>
      <c r="P169" s="4" t="str">
        <f>HYPERLINK("http://141.218.60.56/~jnz1568/getInfo.php?workbook=06_01.xlsx&amp;sheet=A0&amp;row=169&amp;col=16&amp;number=123170&amp;sourceID=12","123170")</f>
        <v>123170</v>
      </c>
      <c r="Q169" s="4" t="str">
        <f>HYPERLINK("http://141.218.60.56/~jnz1568/getInfo.php?workbook=06_01.xlsx&amp;sheet=A0&amp;row=169&amp;col=17&amp;number=&amp;sourceID=12","")</f>
        <v/>
      </c>
      <c r="R169" s="4" t="str">
        <f>HYPERLINK("http://141.218.60.56/~jnz1568/getInfo.php?workbook=06_01.xlsx&amp;sheet=A0&amp;row=169&amp;col=18&amp;number=0.058021&amp;sourceID=12","0.058021")</f>
        <v>0.058021</v>
      </c>
      <c r="S169" s="4" t="str">
        <f>HYPERLINK("http://141.218.60.56/~jnz1568/getInfo.php?workbook=06_01.xlsx&amp;sheet=A0&amp;row=169&amp;col=19&amp;number=&amp;sourceID=12","")</f>
        <v/>
      </c>
      <c r="T169" s="4" t="str">
        <f>HYPERLINK("http://141.218.60.56/~jnz1568/getInfo.php?workbook=06_01.xlsx&amp;sheet=A0&amp;row=169&amp;col=20&amp;number=&amp;sourceID=12","")</f>
        <v/>
      </c>
      <c r="U169" s="4" t="str">
        <f>HYPERLINK("http://141.218.60.56/~jnz1568/getInfo.php?workbook=06_01.xlsx&amp;sheet=A0&amp;row=169&amp;col=21&amp;number=&amp;sourceID=13","")</f>
        <v/>
      </c>
      <c r="V169" s="4" t="str">
        <f>HYPERLINK("http://141.218.60.56/~jnz1568/getInfo.php?workbook=06_01.xlsx&amp;sheet=A0&amp;row=169&amp;col=22&amp;number=&amp;sourceID=13","")</f>
        <v/>
      </c>
      <c r="W169" s="4" t="str">
        <f>HYPERLINK("http://141.218.60.56/~jnz1568/getInfo.php?workbook=06_01.xlsx&amp;sheet=A0&amp;row=169&amp;col=23&amp;number=&amp;sourceID=13","")</f>
        <v/>
      </c>
      <c r="X169" s="4" t="str">
        <f>HYPERLINK("http://141.218.60.56/~jnz1568/getInfo.php?workbook=06_01.xlsx&amp;sheet=A0&amp;row=169&amp;col=24&amp;number=&amp;sourceID=13","")</f>
        <v/>
      </c>
      <c r="Y169" s="4" t="str">
        <f>HYPERLINK("http://141.218.60.56/~jnz1568/getInfo.php?workbook=06_01.xlsx&amp;sheet=A0&amp;row=169&amp;col=25&amp;number=&amp;sourceID=13","")</f>
        <v/>
      </c>
      <c r="Z169" s="4" t="str">
        <f>HYPERLINK("http://141.218.60.56/~jnz1568/getInfo.php?workbook=06_01.xlsx&amp;sheet=A0&amp;row=169&amp;col=26&amp;number=&amp;sourceID=13","")</f>
        <v/>
      </c>
    </row>
    <row r="170" spans="1:26">
      <c r="A170" s="3">
        <v>6</v>
      </c>
      <c r="B170" s="3">
        <v>1</v>
      </c>
      <c r="C170" s="3">
        <v>20</v>
      </c>
      <c r="D170" s="3">
        <v>3</v>
      </c>
      <c r="E170" s="3">
        <f>((1/(INDEX(E0!J$4:J$28,C170,1)-INDEX(E0!J$4:J$28,D170,1))))*100000000</f>
        <v>0</v>
      </c>
      <c r="F170" s="4" t="str">
        <f>HYPERLINK("http://141.218.60.56/~jnz1568/getInfo.php?workbook=06_01.xlsx&amp;sheet=A0&amp;row=170&amp;col=6&amp;number=&amp;sourceID=18","")</f>
        <v/>
      </c>
      <c r="G170" s="4" t="str">
        <f>HYPERLINK("http://141.218.60.56/~jnz1568/getInfo.php?workbook=06_01.xlsx&amp;sheet=A0&amp;row=170&amp;col=7&amp;number==&amp;sourceID=11","=")</f>
        <v>=</v>
      </c>
      <c r="H170" s="4" t="str">
        <f>HYPERLINK("http://141.218.60.56/~jnz1568/getInfo.php?workbook=06_01.xlsx&amp;sheet=A0&amp;row=170&amp;col=8&amp;number=6416600000&amp;sourceID=11","6416600000")</f>
        <v>6416600000</v>
      </c>
      <c r="I170" s="4" t="str">
        <f>HYPERLINK("http://141.218.60.56/~jnz1568/getInfo.php?workbook=06_01.xlsx&amp;sheet=A0&amp;row=170&amp;col=9&amp;number=&amp;sourceID=11","")</f>
        <v/>
      </c>
      <c r="J170" s="4" t="str">
        <f>HYPERLINK("http://141.218.60.56/~jnz1568/getInfo.php?workbook=06_01.xlsx&amp;sheet=A0&amp;row=170&amp;col=10&amp;number=&amp;sourceID=11","")</f>
        <v/>
      </c>
      <c r="K170" s="4" t="str">
        <f>HYPERLINK("http://141.218.60.56/~jnz1568/getInfo.php?workbook=06_01.xlsx&amp;sheet=A0&amp;row=170&amp;col=11&amp;number=&amp;sourceID=11","")</f>
        <v/>
      </c>
      <c r="L170" s="4" t="str">
        <f>HYPERLINK("http://141.218.60.56/~jnz1568/getInfo.php?workbook=06_01.xlsx&amp;sheet=A0&amp;row=170&amp;col=12&amp;number=48.81&amp;sourceID=11","48.81")</f>
        <v>48.81</v>
      </c>
      <c r="M170" s="4" t="str">
        <f>HYPERLINK("http://141.218.60.56/~jnz1568/getInfo.php?workbook=06_01.xlsx&amp;sheet=A0&amp;row=170&amp;col=13&amp;number=&amp;sourceID=11","")</f>
        <v/>
      </c>
      <c r="N170" s="4" t="str">
        <f>HYPERLINK("http://141.218.60.56/~jnz1568/getInfo.php?workbook=06_01.xlsx&amp;sheet=A0&amp;row=170&amp;col=14&amp;number=6416900000&amp;sourceID=12","6416900000")</f>
        <v>6416900000</v>
      </c>
      <c r="O170" s="4" t="str">
        <f>HYPERLINK("http://141.218.60.56/~jnz1568/getInfo.php?workbook=06_01.xlsx&amp;sheet=A0&amp;row=170&amp;col=15&amp;number=6416900000&amp;sourceID=12","6416900000")</f>
        <v>6416900000</v>
      </c>
      <c r="P170" s="4" t="str">
        <f>HYPERLINK("http://141.218.60.56/~jnz1568/getInfo.php?workbook=06_01.xlsx&amp;sheet=A0&amp;row=170&amp;col=16&amp;number=&amp;sourceID=12","")</f>
        <v/>
      </c>
      <c r="Q170" s="4" t="str">
        <f>HYPERLINK("http://141.218.60.56/~jnz1568/getInfo.php?workbook=06_01.xlsx&amp;sheet=A0&amp;row=170&amp;col=17&amp;number=&amp;sourceID=12","")</f>
        <v/>
      </c>
      <c r="R170" s="4" t="str">
        <f>HYPERLINK("http://141.218.60.56/~jnz1568/getInfo.php?workbook=06_01.xlsx&amp;sheet=A0&amp;row=170&amp;col=18&amp;number=&amp;sourceID=12","")</f>
        <v/>
      </c>
      <c r="S170" s="4" t="str">
        <f>HYPERLINK("http://141.218.60.56/~jnz1568/getInfo.php?workbook=06_01.xlsx&amp;sheet=A0&amp;row=170&amp;col=19&amp;number=48.812&amp;sourceID=12","48.812")</f>
        <v>48.812</v>
      </c>
      <c r="T170" s="4" t="str">
        <f>HYPERLINK("http://141.218.60.56/~jnz1568/getInfo.php?workbook=06_01.xlsx&amp;sheet=A0&amp;row=170&amp;col=20&amp;number=&amp;sourceID=12","")</f>
        <v/>
      </c>
      <c r="U170" s="4" t="str">
        <f>HYPERLINK("http://141.218.60.56/~jnz1568/getInfo.php?workbook=06_01.xlsx&amp;sheet=A0&amp;row=170&amp;col=21&amp;number=&amp;sourceID=13","")</f>
        <v/>
      </c>
      <c r="V170" s="4" t="str">
        <f>HYPERLINK("http://141.218.60.56/~jnz1568/getInfo.php?workbook=06_01.xlsx&amp;sheet=A0&amp;row=170&amp;col=22&amp;number=&amp;sourceID=13","")</f>
        <v/>
      </c>
      <c r="W170" s="4" t="str">
        <f>HYPERLINK("http://141.218.60.56/~jnz1568/getInfo.php?workbook=06_01.xlsx&amp;sheet=A0&amp;row=170&amp;col=23&amp;number=&amp;sourceID=13","")</f>
        <v/>
      </c>
      <c r="X170" s="4" t="str">
        <f>HYPERLINK("http://141.218.60.56/~jnz1568/getInfo.php?workbook=06_01.xlsx&amp;sheet=A0&amp;row=170&amp;col=24&amp;number=&amp;sourceID=13","")</f>
        <v/>
      </c>
      <c r="Y170" s="4" t="str">
        <f>HYPERLINK("http://141.218.60.56/~jnz1568/getInfo.php?workbook=06_01.xlsx&amp;sheet=A0&amp;row=170&amp;col=25&amp;number=&amp;sourceID=13","")</f>
        <v/>
      </c>
      <c r="Z170" s="4" t="str">
        <f>HYPERLINK("http://141.218.60.56/~jnz1568/getInfo.php?workbook=06_01.xlsx&amp;sheet=A0&amp;row=170&amp;col=26&amp;number=&amp;sourceID=13","")</f>
        <v/>
      </c>
    </row>
    <row r="171" spans="1:26">
      <c r="A171" s="3">
        <v>6</v>
      </c>
      <c r="B171" s="3">
        <v>1</v>
      </c>
      <c r="C171" s="3">
        <v>20</v>
      </c>
      <c r="D171" s="3">
        <v>4</v>
      </c>
      <c r="E171" s="3">
        <f>((1/(INDEX(E0!J$4:J$28,C171,1)-INDEX(E0!J$4:J$28,D171,1))))*100000000</f>
        <v>0</v>
      </c>
      <c r="F171" s="4" t="str">
        <f>HYPERLINK("http://141.218.60.56/~jnz1568/getInfo.php?workbook=06_01.xlsx&amp;sheet=A0&amp;row=171&amp;col=6&amp;number=&amp;sourceID=18","")</f>
        <v/>
      </c>
      <c r="G171" s="4" t="str">
        <f>HYPERLINK("http://141.218.60.56/~jnz1568/getInfo.php?workbook=06_01.xlsx&amp;sheet=A0&amp;row=171&amp;col=7&amp;number==&amp;sourceID=11","=")</f>
        <v>=</v>
      </c>
      <c r="H171" s="4" t="str">
        <f>HYPERLINK("http://141.218.60.56/~jnz1568/getInfo.php?workbook=06_01.xlsx&amp;sheet=A0&amp;row=171&amp;col=8&amp;number=&amp;sourceID=11","")</f>
        <v/>
      </c>
      <c r="I171" s="4" t="str">
        <f>HYPERLINK("http://141.218.60.56/~jnz1568/getInfo.php?workbook=06_01.xlsx&amp;sheet=A0&amp;row=171&amp;col=9&amp;number=122940&amp;sourceID=11","122940")</f>
        <v>122940</v>
      </c>
      <c r="J171" s="4" t="str">
        <f>HYPERLINK("http://141.218.60.56/~jnz1568/getInfo.php?workbook=06_01.xlsx&amp;sheet=A0&amp;row=171&amp;col=10&amp;number=&amp;sourceID=11","")</f>
        <v/>
      </c>
      <c r="K171" s="4" t="str">
        <f>HYPERLINK("http://141.218.60.56/~jnz1568/getInfo.php?workbook=06_01.xlsx&amp;sheet=A0&amp;row=171&amp;col=11&amp;number=0.10768&amp;sourceID=11","0.10768")</f>
        <v>0.10768</v>
      </c>
      <c r="L171" s="4" t="str">
        <f>HYPERLINK("http://141.218.60.56/~jnz1568/getInfo.php?workbook=06_01.xlsx&amp;sheet=A0&amp;row=171&amp;col=12&amp;number=&amp;sourceID=11","")</f>
        <v/>
      </c>
      <c r="M171" s="4" t="str">
        <f>HYPERLINK("http://141.218.60.56/~jnz1568/getInfo.php?workbook=06_01.xlsx&amp;sheet=A0&amp;row=171&amp;col=13&amp;number=0.0019928&amp;sourceID=11","0.0019928")</f>
        <v>0.0019928</v>
      </c>
      <c r="N171" s="4" t="str">
        <f>HYPERLINK("http://141.218.60.56/~jnz1568/getInfo.php?workbook=06_01.xlsx&amp;sheet=A0&amp;row=171&amp;col=14&amp;number=122950&amp;sourceID=12","122950")</f>
        <v>122950</v>
      </c>
      <c r="O171" s="4" t="str">
        <f>HYPERLINK("http://141.218.60.56/~jnz1568/getInfo.php?workbook=06_01.xlsx&amp;sheet=A0&amp;row=171&amp;col=15&amp;number=&amp;sourceID=12","")</f>
        <v/>
      </c>
      <c r="P171" s="4" t="str">
        <f>HYPERLINK("http://141.218.60.56/~jnz1568/getInfo.php?workbook=06_01.xlsx&amp;sheet=A0&amp;row=171&amp;col=16&amp;number=122950&amp;sourceID=12","122950")</f>
        <v>122950</v>
      </c>
      <c r="Q171" s="4" t="str">
        <f>HYPERLINK("http://141.218.60.56/~jnz1568/getInfo.php?workbook=06_01.xlsx&amp;sheet=A0&amp;row=171&amp;col=17&amp;number=&amp;sourceID=12","")</f>
        <v/>
      </c>
      <c r="R171" s="4" t="str">
        <f>HYPERLINK("http://141.218.60.56/~jnz1568/getInfo.php?workbook=06_01.xlsx&amp;sheet=A0&amp;row=171&amp;col=18&amp;number=0.10767&amp;sourceID=12","0.10767")</f>
        <v>0.10767</v>
      </c>
      <c r="S171" s="4" t="str">
        <f>HYPERLINK("http://141.218.60.56/~jnz1568/getInfo.php?workbook=06_01.xlsx&amp;sheet=A0&amp;row=171&amp;col=19&amp;number=&amp;sourceID=12","")</f>
        <v/>
      </c>
      <c r="T171" s="4" t="str">
        <f>HYPERLINK("http://141.218.60.56/~jnz1568/getInfo.php?workbook=06_01.xlsx&amp;sheet=A0&amp;row=171&amp;col=20&amp;number=0.0019929&amp;sourceID=12","0.0019929")</f>
        <v>0.0019929</v>
      </c>
      <c r="U171" s="4" t="str">
        <f>HYPERLINK("http://141.218.60.56/~jnz1568/getInfo.php?workbook=06_01.xlsx&amp;sheet=A0&amp;row=171&amp;col=21&amp;number=&amp;sourceID=13","")</f>
        <v/>
      </c>
      <c r="V171" s="4" t="str">
        <f>HYPERLINK("http://141.218.60.56/~jnz1568/getInfo.php?workbook=06_01.xlsx&amp;sheet=A0&amp;row=171&amp;col=22&amp;number=&amp;sourceID=13","")</f>
        <v/>
      </c>
      <c r="W171" s="4" t="str">
        <f>HYPERLINK("http://141.218.60.56/~jnz1568/getInfo.php?workbook=06_01.xlsx&amp;sheet=A0&amp;row=171&amp;col=23&amp;number=&amp;sourceID=13","")</f>
        <v/>
      </c>
      <c r="X171" s="4" t="str">
        <f>HYPERLINK("http://141.218.60.56/~jnz1568/getInfo.php?workbook=06_01.xlsx&amp;sheet=A0&amp;row=171&amp;col=24&amp;number=&amp;sourceID=13","")</f>
        <v/>
      </c>
      <c r="Y171" s="4" t="str">
        <f>HYPERLINK("http://141.218.60.56/~jnz1568/getInfo.php?workbook=06_01.xlsx&amp;sheet=A0&amp;row=171&amp;col=25&amp;number=&amp;sourceID=13","")</f>
        <v/>
      </c>
      <c r="Z171" s="4" t="str">
        <f>HYPERLINK("http://141.218.60.56/~jnz1568/getInfo.php?workbook=06_01.xlsx&amp;sheet=A0&amp;row=171&amp;col=26&amp;number=&amp;sourceID=13","")</f>
        <v/>
      </c>
    </row>
    <row r="172" spans="1:26">
      <c r="A172" s="3">
        <v>6</v>
      </c>
      <c r="B172" s="3">
        <v>1</v>
      </c>
      <c r="C172" s="3">
        <v>20</v>
      </c>
      <c r="D172" s="3">
        <v>5</v>
      </c>
      <c r="E172" s="3">
        <f>((1/(INDEX(E0!J$4:J$28,C172,1)-INDEX(E0!J$4:J$28,D172,1))))*100000000</f>
        <v>0</v>
      </c>
      <c r="F172" s="4" t="str">
        <f>HYPERLINK("http://141.218.60.56/~jnz1568/getInfo.php?workbook=06_01.xlsx&amp;sheet=A0&amp;row=172&amp;col=6&amp;number=&amp;sourceID=18","")</f>
        <v/>
      </c>
      <c r="G172" s="4" t="str">
        <f>HYPERLINK("http://141.218.60.56/~jnz1568/getInfo.php?workbook=06_01.xlsx&amp;sheet=A0&amp;row=172&amp;col=7&amp;number==&amp;sourceID=11","=")</f>
        <v>=</v>
      </c>
      <c r="H172" s="4" t="str">
        <f>HYPERLINK("http://141.218.60.56/~jnz1568/getInfo.php?workbook=06_01.xlsx&amp;sheet=A0&amp;row=172&amp;col=8&amp;number=&amp;sourceID=11","")</f>
        <v/>
      </c>
      <c r="I172" s="4" t="str">
        <f>HYPERLINK("http://141.218.60.56/~jnz1568/getInfo.php?workbook=06_01.xlsx&amp;sheet=A0&amp;row=172&amp;col=9&amp;number=33370&amp;sourceID=11","33370")</f>
        <v>33370</v>
      </c>
      <c r="J172" s="4" t="str">
        <f>HYPERLINK("http://141.218.60.56/~jnz1568/getInfo.php?workbook=06_01.xlsx&amp;sheet=A0&amp;row=172&amp;col=10&amp;number=&amp;sourceID=11","")</f>
        <v/>
      </c>
      <c r="K172" s="4" t="str">
        <f>HYPERLINK("http://141.218.60.56/~jnz1568/getInfo.php?workbook=06_01.xlsx&amp;sheet=A0&amp;row=172&amp;col=11&amp;number=0.0082006&amp;sourceID=11","0.0082006")</f>
        <v>0.0082006</v>
      </c>
      <c r="L172" s="4" t="str">
        <f>HYPERLINK("http://141.218.60.56/~jnz1568/getInfo.php?workbook=06_01.xlsx&amp;sheet=A0&amp;row=172&amp;col=12&amp;number=&amp;sourceID=11","")</f>
        <v/>
      </c>
      <c r="M172" s="4" t="str">
        <f>HYPERLINK("http://141.218.60.56/~jnz1568/getInfo.php?workbook=06_01.xlsx&amp;sheet=A0&amp;row=172&amp;col=13&amp;number=&amp;sourceID=11","")</f>
        <v/>
      </c>
      <c r="N172" s="4" t="str">
        <f>HYPERLINK("http://141.218.60.56/~jnz1568/getInfo.php?workbook=06_01.xlsx&amp;sheet=A0&amp;row=172&amp;col=14&amp;number=33372&amp;sourceID=12","33372")</f>
        <v>33372</v>
      </c>
      <c r="O172" s="4" t="str">
        <f>HYPERLINK("http://141.218.60.56/~jnz1568/getInfo.php?workbook=06_01.xlsx&amp;sheet=A0&amp;row=172&amp;col=15&amp;number=&amp;sourceID=12","")</f>
        <v/>
      </c>
      <c r="P172" s="4" t="str">
        <f>HYPERLINK("http://141.218.60.56/~jnz1568/getInfo.php?workbook=06_01.xlsx&amp;sheet=A0&amp;row=172&amp;col=16&amp;number=33372&amp;sourceID=12","33372")</f>
        <v>33372</v>
      </c>
      <c r="Q172" s="4" t="str">
        <f>HYPERLINK("http://141.218.60.56/~jnz1568/getInfo.php?workbook=06_01.xlsx&amp;sheet=A0&amp;row=172&amp;col=17&amp;number=&amp;sourceID=12","")</f>
        <v/>
      </c>
      <c r="R172" s="4" t="str">
        <f>HYPERLINK("http://141.218.60.56/~jnz1568/getInfo.php?workbook=06_01.xlsx&amp;sheet=A0&amp;row=172&amp;col=18&amp;number=0.008201&amp;sourceID=12","0.008201")</f>
        <v>0.008201</v>
      </c>
      <c r="S172" s="4" t="str">
        <f>HYPERLINK("http://141.218.60.56/~jnz1568/getInfo.php?workbook=06_01.xlsx&amp;sheet=A0&amp;row=172&amp;col=19&amp;number=&amp;sourceID=12","")</f>
        <v/>
      </c>
      <c r="T172" s="4" t="str">
        <f>HYPERLINK("http://141.218.60.56/~jnz1568/getInfo.php?workbook=06_01.xlsx&amp;sheet=A0&amp;row=172&amp;col=20&amp;number=&amp;sourceID=12","")</f>
        <v/>
      </c>
      <c r="U172" s="4" t="str">
        <f>HYPERLINK("http://141.218.60.56/~jnz1568/getInfo.php?workbook=06_01.xlsx&amp;sheet=A0&amp;row=172&amp;col=21&amp;number=&amp;sourceID=13","")</f>
        <v/>
      </c>
      <c r="V172" s="4" t="str">
        <f>HYPERLINK("http://141.218.60.56/~jnz1568/getInfo.php?workbook=06_01.xlsx&amp;sheet=A0&amp;row=172&amp;col=22&amp;number=&amp;sourceID=13","")</f>
        <v/>
      </c>
      <c r="W172" s="4" t="str">
        <f>HYPERLINK("http://141.218.60.56/~jnz1568/getInfo.php?workbook=06_01.xlsx&amp;sheet=A0&amp;row=172&amp;col=23&amp;number=&amp;sourceID=13","")</f>
        <v/>
      </c>
      <c r="X172" s="4" t="str">
        <f>HYPERLINK("http://141.218.60.56/~jnz1568/getInfo.php?workbook=06_01.xlsx&amp;sheet=A0&amp;row=172&amp;col=24&amp;number=&amp;sourceID=13","")</f>
        <v/>
      </c>
      <c r="Y172" s="4" t="str">
        <f>HYPERLINK("http://141.218.60.56/~jnz1568/getInfo.php?workbook=06_01.xlsx&amp;sheet=A0&amp;row=172&amp;col=25&amp;number=&amp;sourceID=13","")</f>
        <v/>
      </c>
      <c r="Z172" s="4" t="str">
        <f>HYPERLINK("http://141.218.60.56/~jnz1568/getInfo.php?workbook=06_01.xlsx&amp;sheet=A0&amp;row=172&amp;col=26&amp;number=&amp;sourceID=13","")</f>
        <v/>
      </c>
    </row>
    <row r="173" spans="1:26">
      <c r="A173" s="3">
        <v>6</v>
      </c>
      <c r="B173" s="3">
        <v>1</v>
      </c>
      <c r="C173" s="3">
        <v>20</v>
      </c>
      <c r="D173" s="3">
        <v>6</v>
      </c>
      <c r="E173" s="3">
        <f>((1/(INDEX(E0!J$4:J$28,C173,1)-INDEX(E0!J$4:J$28,D173,1))))*100000000</f>
        <v>0</v>
      </c>
      <c r="F173" s="4" t="str">
        <f>HYPERLINK("http://141.218.60.56/~jnz1568/getInfo.php?workbook=06_01.xlsx&amp;sheet=A0&amp;row=173&amp;col=6&amp;number=&amp;sourceID=18","")</f>
        <v/>
      </c>
      <c r="G173" s="4" t="str">
        <f>HYPERLINK("http://141.218.60.56/~jnz1568/getInfo.php?workbook=06_01.xlsx&amp;sheet=A0&amp;row=173&amp;col=7&amp;number==&amp;sourceID=11","=")</f>
        <v>=</v>
      </c>
      <c r="H173" s="4" t="str">
        <f>HYPERLINK("http://141.218.60.56/~jnz1568/getInfo.php?workbook=06_01.xlsx&amp;sheet=A0&amp;row=173&amp;col=8&amp;number=2122500000&amp;sourceID=11","2122500000")</f>
        <v>2122500000</v>
      </c>
      <c r="I173" s="4" t="str">
        <f>HYPERLINK("http://141.218.60.56/~jnz1568/getInfo.php?workbook=06_01.xlsx&amp;sheet=A0&amp;row=173&amp;col=9&amp;number=&amp;sourceID=11","")</f>
        <v/>
      </c>
      <c r="J173" s="4" t="str">
        <f>HYPERLINK("http://141.218.60.56/~jnz1568/getInfo.php?workbook=06_01.xlsx&amp;sheet=A0&amp;row=173&amp;col=10&amp;number=&amp;sourceID=11","")</f>
        <v/>
      </c>
      <c r="K173" s="4" t="str">
        <f>HYPERLINK("http://141.218.60.56/~jnz1568/getInfo.php?workbook=06_01.xlsx&amp;sheet=A0&amp;row=173&amp;col=11&amp;number=&amp;sourceID=11","")</f>
        <v/>
      </c>
      <c r="L173" s="4" t="str">
        <f>HYPERLINK("http://141.218.60.56/~jnz1568/getInfo.php?workbook=06_01.xlsx&amp;sheet=A0&amp;row=173&amp;col=12&amp;number=1.8515&amp;sourceID=11","1.8515")</f>
        <v>1.8515</v>
      </c>
      <c r="M173" s="4" t="str">
        <f>HYPERLINK("http://141.218.60.56/~jnz1568/getInfo.php?workbook=06_01.xlsx&amp;sheet=A0&amp;row=173&amp;col=13&amp;number=&amp;sourceID=11","")</f>
        <v/>
      </c>
      <c r="N173" s="4" t="str">
        <f>HYPERLINK("http://141.218.60.56/~jnz1568/getInfo.php?workbook=06_01.xlsx&amp;sheet=A0&amp;row=173&amp;col=14&amp;number=2122600000&amp;sourceID=12","2122600000")</f>
        <v>2122600000</v>
      </c>
      <c r="O173" s="4" t="str">
        <f>HYPERLINK("http://141.218.60.56/~jnz1568/getInfo.php?workbook=06_01.xlsx&amp;sheet=A0&amp;row=173&amp;col=15&amp;number=2122600000&amp;sourceID=12","2122600000")</f>
        <v>2122600000</v>
      </c>
      <c r="P173" s="4" t="str">
        <f>HYPERLINK("http://141.218.60.56/~jnz1568/getInfo.php?workbook=06_01.xlsx&amp;sheet=A0&amp;row=173&amp;col=16&amp;number=&amp;sourceID=12","")</f>
        <v/>
      </c>
      <c r="Q173" s="4" t="str">
        <f>HYPERLINK("http://141.218.60.56/~jnz1568/getInfo.php?workbook=06_01.xlsx&amp;sheet=A0&amp;row=173&amp;col=17&amp;number=&amp;sourceID=12","")</f>
        <v/>
      </c>
      <c r="R173" s="4" t="str">
        <f>HYPERLINK("http://141.218.60.56/~jnz1568/getInfo.php?workbook=06_01.xlsx&amp;sheet=A0&amp;row=173&amp;col=18&amp;number=&amp;sourceID=12","")</f>
        <v/>
      </c>
      <c r="S173" s="4" t="str">
        <f>HYPERLINK("http://141.218.60.56/~jnz1568/getInfo.php?workbook=06_01.xlsx&amp;sheet=A0&amp;row=173&amp;col=19&amp;number=1.8515&amp;sourceID=12","1.8515")</f>
        <v>1.8515</v>
      </c>
      <c r="T173" s="4" t="str">
        <f>HYPERLINK("http://141.218.60.56/~jnz1568/getInfo.php?workbook=06_01.xlsx&amp;sheet=A0&amp;row=173&amp;col=20&amp;number=&amp;sourceID=12","")</f>
        <v/>
      </c>
      <c r="U173" s="4" t="str">
        <f>HYPERLINK("http://141.218.60.56/~jnz1568/getInfo.php?workbook=06_01.xlsx&amp;sheet=A0&amp;row=173&amp;col=21&amp;number=&amp;sourceID=13","")</f>
        <v/>
      </c>
      <c r="V173" s="4" t="str">
        <f>HYPERLINK("http://141.218.60.56/~jnz1568/getInfo.php?workbook=06_01.xlsx&amp;sheet=A0&amp;row=173&amp;col=22&amp;number=&amp;sourceID=13","")</f>
        <v/>
      </c>
      <c r="W173" s="4" t="str">
        <f>HYPERLINK("http://141.218.60.56/~jnz1568/getInfo.php?workbook=06_01.xlsx&amp;sheet=A0&amp;row=173&amp;col=23&amp;number=&amp;sourceID=13","")</f>
        <v/>
      </c>
      <c r="X173" s="4" t="str">
        <f>HYPERLINK("http://141.218.60.56/~jnz1568/getInfo.php?workbook=06_01.xlsx&amp;sheet=A0&amp;row=173&amp;col=24&amp;number=&amp;sourceID=13","")</f>
        <v/>
      </c>
      <c r="Y173" s="4" t="str">
        <f>HYPERLINK("http://141.218.60.56/~jnz1568/getInfo.php?workbook=06_01.xlsx&amp;sheet=A0&amp;row=173&amp;col=25&amp;number=&amp;sourceID=13","")</f>
        <v/>
      </c>
      <c r="Z173" s="4" t="str">
        <f>HYPERLINK("http://141.218.60.56/~jnz1568/getInfo.php?workbook=06_01.xlsx&amp;sheet=A0&amp;row=173&amp;col=26&amp;number=&amp;sourceID=13","")</f>
        <v/>
      </c>
    </row>
    <row r="174" spans="1:26">
      <c r="A174" s="3">
        <v>6</v>
      </c>
      <c r="B174" s="3">
        <v>1</v>
      </c>
      <c r="C174" s="3">
        <v>20</v>
      </c>
      <c r="D174" s="3">
        <v>7</v>
      </c>
      <c r="E174" s="3">
        <f>((1/(INDEX(E0!J$4:J$28,C174,1)-INDEX(E0!J$4:J$28,D174,1))))*100000000</f>
        <v>0</v>
      </c>
      <c r="F174" s="4" t="str">
        <f>HYPERLINK("http://141.218.60.56/~jnz1568/getInfo.php?workbook=06_01.xlsx&amp;sheet=A0&amp;row=174&amp;col=6&amp;number=&amp;sourceID=18","")</f>
        <v/>
      </c>
      <c r="G174" s="4" t="str">
        <f>HYPERLINK("http://141.218.60.56/~jnz1568/getInfo.php?workbook=06_01.xlsx&amp;sheet=A0&amp;row=174&amp;col=7&amp;number==&amp;sourceID=11","=")</f>
        <v>=</v>
      </c>
      <c r="H174" s="4" t="str">
        <f>HYPERLINK("http://141.218.60.56/~jnz1568/getInfo.php?workbook=06_01.xlsx&amp;sheet=A0&amp;row=174&amp;col=8&amp;number=19398000&amp;sourceID=11","19398000")</f>
        <v>19398000</v>
      </c>
      <c r="I174" s="4" t="str">
        <f>HYPERLINK("http://141.218.60.56/~jnz1568/getInfo.php?workbook=06_01.xlsx&amp;sheet=A0&amp;row=174&amp;col=9&amp;number=&amp;sourceID=11","")</f>
        <v/>
      </c>
      <c r="J174" s="4" t="str">
        <f>HYPERLINK("http://141.218.60.56/~jnz1568/getInfo.php?workbook=06_01.xlsx&amp;sheet=A0&amp;row=174&amp;col=10&amp;number=0.22833&amp;sourceID=11","0.22833")</f>
        <v>0.22833</v>
      </c>
      <c r="K174" s="4" t="str">
        <f>HYPERLINK("http://141.218.60.56/~jnz1568/getInfo.php?workbook=06_01.xlsx&amp;sheet=A0&amp;row=174&amp;col=11&amp;number=&amp;sourceID=11","")</f>
        <v/>
      </c>
      <c r="L174" s="4" t="str">
        <f>HYPERLINK("http://141.218.60.56/~jnz1568/getInfo.php?workbook=06_01.xlsx&amp;sheet=A0&amp;row=174&amp;col=12&amp;number=&amp;sourceID=11","")</f>
        <v/>
      </c>
      <c r="M174" s="4" t="str">
        <f>HYPERLINK("http://141.218.60.56/~jnz1568/getInfo.php?workbook=06_01.xlsx&amp;sheet=A0&amp;row=174&amp;col=13&amp;number=&amp;sourceID=11","")</f>
        <v/>
      </c>
      <c r="N174" s="4" t="str">
        <f>HYPERLINK("http://141.218.60.56/~jnz1568/getInfo.php?workbook=06_01.xlsx&amp;sheet=A0&amp;row=174&amp;col=14&amp;number=19399000&amp;sourceID=12","19399000")</f>
        <v>19399000</v>
      </c>
      <c r="O174" s="4" t="str">
        <f>HYPERLINK("http://141.218.60.56/~jnz1568/getInfo.php?workbook=06_01.xlsx&amp;sheet=A0&amp;row=174&amp;col=15&amp;number=19399000&amp;sourceID=12","19399000")</f>
        <v>19399000</v>
      </c>
      <c r="P174" s="4" t="str">
        <f>HYPERLINK("http://141.218.60.56/~jnz1568/getInfo.php?workbook=06_01.xlsx&amp;sheet=A0&amp;row=174&amp;col=16&amp;number=&amp;sourceID=12","")</f>
        <v/>
      </c>
      <c r="Q174" s="4" t="str">
        <f>HYPERLINK("http://141.218.60.56/~jnz1568/getInfo.php?workbook=06_01.xlsx&amp;sheet=A0&amp;row=174&amp;col=17&amp;number=0.22834&amp;sourceID=12","0.22834")</f>
        <v>0.22834</v>
      </c>
      <c r="R174" s="4" t="str">
        <f>HYPERLINK("http://141.218.60.56/~jnz1568/getInfo.php?workbook=06_01.xlsx&amp;sheet=A0&amp;row=174&amp;col=18&amp;number=&amp;sourceID=12","")</f>
        <v/>
      </c>
      <c r="S174" s="4" t="str">
        <f>HYPERLINK("http://141.218.60.56/~jnz1568/getInfo.php?workbook=06_01.xlsx&amp;sheet=A0&amp;row=174&amp;col=19&amp;number=&amp;sourceID=12","")</f>
        <v/>
      </c>
      <c r="T174" s="4" t="str">
        <f>HYPERLINK("http://141.218.60.56/~jnz1568/getInfo.php?workbook=06_01.xlsx&amp;sheet=A0&amp;row=174&amp;col=20&amp;number=&amp;sourceID=12","")</f>
        <v/>
      </c>
      <c r="U174" s="4" t="str">
        <f>HYPERLINK("http://141.218.60.56/~jnz1568/getInfo.php?workbook=06_01.xlsx&amp;sheet=A0&amp;row=174&amp;col=21&amp;number=&amp;sourceID=13","")</f>
        <v/>
      </c>
      <c r="V174" s="4" t="str">
        <f>HYPERLINK("http://141.218.60.56/~jnz1568/getInfo.php?workbook=06_01.xlsx&amp;sheet=A0&amp;row=174&amp;col=22&amp;number=&amp;sourceID=13","")</f>
        <v/>
      </c>
      <c r="W174" s="4" t="str">
        <f>HYPERLINK("http://141.218.60.56/~jnz1568/getInfo.php?workbook=06_01.xlsx&amp;sheet=A0&amp;row=174&amp;col=23&amp;number=&amp;sourceID=13","")</f>
        <v/>
      </c>
      <c r="X174" s="4" t="str">
        <f>HYPERLINK("http://141.218.60.56/~jnz1568/getInfo.php?workbook=06_01.xlsx&amp;sheet=A0&amp;row=174&amp;col=24&amp;number=&amp;sourceID=13","")</f>
        <v/>
      </c>
      <c r="Y174" s="4" t="str">
        <f>HYPERLINK("http://141.218.60.56/~jnz1568/getInfo.php?workbook=06_01.xlsx&amp;sheet=A0&amp;row=174&amp;col=25&amp;number=&amp;sourceID=13","")</f>
        <v/>
      </c>
      <c r="Z174" s="4" t="str">
        <f>HYPERLINK("http://141.218.60.56/~jnz1568/getInfo.php?workbook=06_01.xlsx&amp;sheet=A0&amp;row=174&amp;col=26&amp;number=&amp;sourceID=13","")</f>
        <v/>
      </c>
    </row>
    <row r="175" spans="1:26">
      <c r="A175" s="3">
        <v>6</v>
      </c>
      <c r="B175" s="3">
        <v>1</v>
      </c>
      <c r="C175" s="3">
        <v>20</v>
      </c>
      <c r="D175" s="3">
        <v>8</v>
      </c>
      <c r="E175" s="3">
        <f>((1/(INDEX(E0!J$4:J$28,C175,1)-INDEX(E0!J$4:J$28,D175,1))))*100000000</f>
        <v>0</v>
      </c>
      <c r="F175" s="4" t="str">
        <f>HYPERLINK("http://141.218.60.56/~jnz1568/getInfo.php?workbook=06_01.xlsx&amp;sheet=A0&amp;row=175&amp;col=6&amp;number=&amp;sourceID=18","")</f>
        <v/>
      </c>
      <c r="G175" s="4" t="str">
        <f>HYPERLINK("http://141.218.60.56/~jnz1568/getInfo.php?workbook=06_01.xlsx&amp;sheet=A0&amp;row=175&amp;col=7&amp;number==&amp;sourceID=11","=")</f>
        <v>=</v>
      </c>
      <c r="H175" s="4" t="str">
        <f>HYPERLINK("http://141.218.60.56/~jnz1568/getInfo.php?workbook=06_01.xlsx&amp;sheet=A0&amp;row=175&amp;col=8&amp;number=&amp;sourceID=11","")</f>
        <v/>
      </c>
      <c r="I175" s="4" t="str">
        <f>HYPERLINK("http://141.218.60.56/~jnz1568/getInfo.php?workbook=06_01.xlsx&amp;sheet=A0&amp;row=175&amp;col=9&amp;number=33328&amp;sourceID=11","33328")</f>
        <v>33328</v>
      </c>
      <c r="J175" s="4" t="str">
        <f>HYPERLINK("http://141.218.60.56/~jnz1568/getInfo.php?workbook=06_01.xlsx&amp;sheet=A0&amp;row=175&amp;col=10&amp;number=&amp;sourceID=11","")</f>
        <v/>
      </c>
      <c r="K175" s="4" t="str">
        <f>HYPERLINK("http://141.218.60.56/~jnz1568/getInfo.php?workbook=06_01.xlsx&amp;sheet=A0&amp;row=175&amp;col=11&amp;number=0.0033466&amp;sourceID=11","0.0033466")</f>
        <v>0.0033466</v>
      </c>
      <c r="L175" s="4" t="str">
        <f>HYPERLINK("http://141.218.60.56/~jnz1568/getInfo.php?workbook=06_01.xlsx&amp;sheet=A0&amp;row=175&amp;col=12&amp;number=&amp;sourceID=11","")</f>
        <v/>
      </c>
      <c r="M175" s="4" t="str">
        <f>HYPERLINK("http://141.218.60.56/~jnz1568/getInfo.php?workbook=06_01.xlsx&amp;sheet=A0&amp;row=175&amp;col=13&amp;number=6.1958e-05&amp;sourceID=11","6.1958e-05")</f>
        <v>6.1958e-05</v>
      </c>
      <c r="N175" s="4" t="str">
        <f>HYPERLINK("http://141.218.60.56/~jnz1568/getInfo.php?workbook=06_01.xlsx&amp;sheet=A0&amp;row=175&amp;col=14&amp;number=33330&amp;sourceID=12","33330")</f>
        <v>33330</v>
      </c>
      <c r="O175" s="4" t="str">
        <f>HYPERLINK("http://141.218.60.56/~jnz1568/getInfo.php?workbook=06_01.xlsx&amp;sheet=A0&amp;row=175&amp;col=15&amp;number=&amp;sourceID=12","")</f>
        <v/>
      </c>
      <c r="P175" s="4" t="str">
        <f>HYPERLINK("http://141.218.60.56/~jnz1568/getInfo.php?workbook=06_01.xlsx&amp;sheet=A0&amp;row=175&amp;col=16&amp;number=33330&amp;sourceID=12","33330")</f>
        <v>33330</v>
      </c>
      <c r="Q175" s="4" t="str">
        <f>HYPERLINK("http://141.218.60.56/~jnz1568/getInfo.php?workbook=06_01.xlsx&amp;sheet=A0&amp;row=175&amp;col=17&amp;number=&amp;sourceID=12","")</f>
        <v/>
      </c>
      <c r="R175" s="4" t="str">
        <f>HYPERLINK("http://141.218.60.56/~jnz1568/getInfo.php?workbook=06_01.xlsx&amp;sheet=A0&amp;row=175&amp;col=18&amp;number=0.0033468&amp;sourceID=12","0.0033468")</f>
        <v>0.0033468</v>
      </c>
      <c r="S175" s="4" t="str">
        <f>HYPERLINK("http://141.218.60.56/~jnz1568/getInfo.php?workbook=06_01.xlsx&amp;sheet=A0&amp;row=175&amp;col=19&amp;number=&amp;sourceID=12","")</f>
        <v/>
      </c>
      <c r="T175" s="4" t="str">
        <f>HYPERLINK("http://141.218.60.56/~jnz1568/getInfo.php?workbook=06_01.xlsx&amp;sheet=A0&amp;row=175&amp;col=20&amp;number=6.1961e-05&amp;sourceID=12","6.1961e-05")</f>
        <v>6.1961e-05</v>
      </c>
      <c r="U175" s="4" t="str">
        <f>HYPERLINK("http://141.218.60.56/~jnz1568/getInfo.php?workbook=06_01.xlsx&amp;sheet=A0&amp;row=175&amp;col=21&amp;number=&amp;sourceID=13","")</f>
        <v/>
      </c>
      <c r="V175" s="4" t="str">
        <f>HYPERLINK("http://141.218.60.56/~jnz1568/getInfo.php?workbook=06_01.xlsx&amp;sheet=A0&amp;row=175&amp;col=22&amp;number=&amp;sourceID=13","")</f>
        <v/>
      </c>
      <c r="W175" s="4" t="str">
        <f>HYPERLINK("http://141.218.60.56/~jnz1568/getInfo.php?workbook=06_01.xlsx&amp;sheet=A0&amp;row=175&amp;col=23&amp;number=&amp;sourceID=13","")</f>
        <v/>
      </c>
      <c r="X175" s="4" t="str">
        <f>HYPERLINK("http://141.218.60.56/~jnz1568/getInfo.php?workbook=06_01.xlsx&amp;sheet=A0&amp;row=175&amp;col=24&amp;number=&amp;sourceID=13","")</f>
        <v/>
      </c>
      <c r="Y175" s="4" t="str">
        <f>HYPERLINK("http://141.218.60.56/~jnz1568/getInfo.php?workbook=06_01.xlsx&amp;sheet=A0&amp;row=175&amp;col=25&amp;number=&amp;sourceID=13","")</f>
        <v/>
      </c>
      <c r="Z175" s="4" t="str">
        <f>HYPERLINK("http://141.218.60.56/~jnz1568/getInfo.php?workbook=06_01.xlsx&amp;sheet=A0&amp;row=175&amp;col=26&amp;number=&amp;sourceID=13","")</f>
        <v/>
      </c>
    </row>
    <row r="176" spans="1:26">
      <c r="A176" s="3">
        <v>6</v>
      </c>
      <c r="B176" s="3">
        <v>1</v>
      </c>
      <c r="C176" s="3">
        <v>20</v>
      </c>
      <c r="D176" s="3">
        <v>9</v>
      </c>
      <c r="E176" s="3">
        <f>((1/(INDEX(E0!J$4:J$28,C176,1)-INDEX(E0!J$4:J$28,D176,1))))*100000000</f>
        <v>0</v>
      </c>
      <c r="F176" s="4" t="str">
        <f>HYPERLINK("http://141.218.60.56/~jnz1568/getInfo.php?workbook=06_01.xlsx&amp;sheet=A0&amp;row=176&amp;col=6&amp;number=&amp;sourceID=18","")</f>
        <v/>
      </c>
      <c r="G176" s="4" t="str">
        <f>HYPERLINK("http://141.218.60.56/~jnz1568/getInfo.php?workbook=06_01.xlsx&amp;sheet=A0&amp;row=176&amp;col=7&amp;number==&amp;sourceID=11","=")</f>
        <v>=</v>
      </c>
      <c r="H176" s="4" t="str">
        <f>HYPERLINK("http://141.218.60.56/~jnz1568/getInfo.php?workbook=06_01.xlsx&amp;sheet=A0&amp;row=176&amp;col=8&amp;number=174860000&amp;sourceID=11","174860000")</f>
        <v>174860000</v>
      </c>
      <c r="I176" s="4" t="str">
        <f>HYPERLINK("http://141.218.60.56/~jnz1568/getInfo.php?workbook=06_01.xlsx&amp;sheet=A0&amp;row=176&amp;col=9&amp;number=&amp;sourceID=11","")</f>
        <v/>
      </c>
      <c r="J176" s="4" t="str">
        <f>HYPERLINK("http://141.218.60.56/~jnz1568/getInfo.php?workbook=06_01.xlsx&amp;sheet=A0&amp;row=176&amp;col=10&amp;number=0.15205&amp;sourceID=11","0.15205")</f>
        <v>0.15205</v>
      </c>
      <c r="K176" s="4" t="str">
        <f>HYPERLINK("http://141.218.60.56/~jnz1568/getInfo.php?workbook=06_01.xlsx&amp;sheet=A0&amp;row=176&amp;col=11&amp;number=&amp;sourceID=11","")</f>
        <v/>
      </c>
      <c r="L176" s="4" t="str">
        <f>HYPERLINK("http://141.218.60.56/~jnz1568/getInfo.php?workbook=06_01.xlsx&amp;sheet=A0&amp;row=176&amp;col=12&amp;number=0.19751&amp;sourceID=11","0.19751")</f>
        <v>0.19751</v>
      </c>
      <c r="M176" s="4" t="str">
        <f>HYPERLINK("http://141.218.60.56/~jnz1568/getInfo.php?workbook=06_01.xlsx&amp;sheet=A0&amp;row=176&amp;col=13&amp;number=&amp;sourceID=11","")</f>
        <v/>
      </c>
      <c r="N176" s="4" t="str">
        <f>HYPERLINK("http://141.218.60.56/~jnz1568/getInfo.php?workbook=06_01.xlsx&amp;sheet=A0&amp;row=176&amp;col=14&amp;number=174870000&amp;sourceID=12","174870000")</f>
        <v>174870000</v>
      </c>
      <c r="O176" s="4" t="str">
        <f>HYPERLINK("http://141.218.60.56/~jnz1568/getInfo.php?workbook=06_01.xlsx&amp;sheet=A0&amp;row=176&amp;col=15&amp;number=174870000&amp;sourceID=12","174870000")</f>
        <v>174870000</v>
      </c>
      <c r="P176" s="4" t="str">
        <f>HYPERLINK("http://141.218.60.56/~jnz1568/getInfo.php?workbook=06_01.xlsx&amp;sheet=A0&amp;row=176&amp;col=16&amp;number=&amp;sourceID=12","")</f>
        <v/>
      </c>
      <c r="Q176" s="4" t="str">
        <f>HYPERLINK("http://141.218.60.56/~jnz1568/getInfo.php?workbook=06_01.xlsx&amp;sheet=A0&amp;row=176&amp;col=17&amp;number=0.15206&amp;sourceID=12","0.15206")</f>
        <v>0.15206</v>
      </c>
      <c r="R176" s="4" t="str">
        <f>HYPERLINK("http://141.218.60.56/~jnz1568/getInfo.php?workbook=06_01.xlsx&amp;sheet=A0&amp;row=176&amp;col=18&amp;number=&amp;sourceID=12","")</f>
        <v/>
      </c>
      <c r="S176" s="4" t="str">
        <f>HYPERLINK("http://141.218.60.56/~jnz1568/getInfo.php?workbook=06_01.xlsx&amp;sheet=A0&amp;row=176&amp;col=19&amp;number=0.19752&amp;sourceID=12","0.19752")</f>
        <v>0.19752</v>
      </c>
      <c r="T176" s="4" t="str">
        <f>HYPERLINK("http://141.218.60.56/~jnz1568/getInfo.php?workbook=06_01.xlsx&amp;sheet=A0&amp;row=176&amp;col=20&amp;number=&amp;sourceID=12","")</f>
        <v/>
      </c>
      <c r="U176" s="4" t="str">
        <f>HYPERLINK("http://141.218.60.56/~jnz1568/getInfo.php?workbook=06_01.xlsx&amp;sheet=A0&amp;row=176&amp;col=21&amp;number=&amp;sourceID=13","")</f>
        <v/>
      </c>
      <c r="V176" s="4" t="str">
        <f>HYPERLINK("http://141.218.60.56/~jnz1568/getInfo.php?workbook=06_01.xlsx&amp;sheet=A0&amp;row=176&amp;col=22&amp;number=&amp;sourceID=13","")</f>
        <v/>
      </c>
      <c r="W176" s="4" t="str">
        <f>HYPERLINK("http://141.218.60.56/~jnz1568/getInfo.php?workbook=06_01.xlsx&amp;sheet=A0&amp;row=176&amp;col=23&amp;number=&amp;sourceID=13","")</f>
        <v/>
      </c>
      <c r="X176" s="4" t="str">
        <f>HYPERLINK("http://141.218.60.56/~jnz1568/getInfo.php?workbook=06_01.xlsx&amp;sheet=A0&amp;row=176&amp;col=24&amp;number=&amp;sourceID=13","")</f>
        <v/>
      </c>
      <c r="Y176" s="4" t="str">
        <f>HYPERLINK("http://141.218.60.56/~jnz1568/getInfo.php?workbook=06_01.xlsx&amp;sheet=A0&amp;row=176&amp;col=25&amp;number=&amp;sourceID=13","")</f>
        <v/>
      </c>
      <c r="Z176" s="4" t="str">
        <f>HYPERLINK("http://141.218.60.56/~jnz1568/getInfo.php?workbook=06_01.xlsx&amp;sheet=A0&amp;row=176&amp;col=26&amp;number=&amp;sourceID=13","")</f>
        <v/>
      </c>
    </row>
    <row r="177" spans="1:26">
      <c r="A177" s="3">
        <v>6</v>
      </c>
      <c r="B177" s="3">
        <v>1</v>
      </c>
      <c r="C177" s="3">
        <v>20</v>
      </c>
      <c r="D177" s="3">
        <v>10</v>
      </c>
      <c r="E177" s="3">
        <f>((1/(INDEX(E0!J$4:J$28,C177,1)-INDEX(E0!J$4:J$28,D177,1))))*100000000</f>
        <v>0</v>
      </c>
      <c r="F177" s="4" t="str">
        <f>HYPERLINK("http://141.218.60.56/~jnz1568/getInfo.php?workbook=06_01.xlsx&amp;sheet=A0&amp;row=177&amp;col=6&amp;number=&amp;sourceID=18","")</f>
        <v/>
      </c>
      <c r="G177" s="4" t="str">
        <f>HYPERLINK("http://141.218.60.56/~jnz1568/getInfo.php?workbook=06_01.xlsx&amp;sheet=A0&amp;row=177&amp;col=7&amp;number==&amp;sourceID=11","=")</f>
        <v>=</v>
      </c>
      <c r="H177" s="4" t="str">
        <f>HYPERLINK("http://141.218.60.56/~jnz1568/getInfo.php?workbook=06_01.xlsx&amp;sheet=A0&amp;row=177&amp;col=8&amp;number=&amp;sourceID=11","")</f>
        <v/>
      </c>
      <c r="I177" s="4" t="str">
        <f>HYPERLINK("http://141.218.60.56/~jnz1568/getInfo.php?workbook=06_01.xlsx&amp;sheet=A0&amp;row=177&amp;col=9&amp;number=10607&amp;sourceID=11","10607")</f>
        <v>10607</v>
      </c>
      <c r="J177" s="4" t="str">
        <f>HYPERLINK("http://141.218.60.56/~jnz1568/getInfo.php?workbook=06_01.xlsx&amp;sheet=A0&amp;row=177&amp;col=10&amp;number=&amp;sourceID=11","")</f>
        <v/>
      </c>
      <c r="K177" s="4" t="str">
        <f>HYPERLINK("http://141.218.60.56/~jnz1568/getInfo.php?workbook=06_01.xlsx&amp;sheet=A0&amp;row=177&amp;col=11&amp;number=0.001274&amp;sourceID=11","0.001274")</f>
        <v>0.001274</v>
      </c>
      <c r="L177" s="4" t="str">
        <f>HYPERLINK("http://141.218.60.56/~jnz1568/getInfo.php?workbook=06_01.xlsx&amp;sheet=A0&amp;row=177&amp;col=12&amp;number=&amp;sourceID=11","")</f>
        <v/>
      </c>
      <c r="M177" s="4" t="str">
        <f>HYPERLINK("http://141.218.60.56/~jnz1568/getInfo.php?workbook=06_01.xlsx&amp;sheet=A0&amp;row=177&amp;col=13&amp;number=&amp;sourceID=11","")</f>
        <v/>
      </c>
      <c r="N177" s="4" t="str">
        <f>HYPERLINK("http://141.218.60.56/~jnz1568/getInfo.php?workbook=06_01.xlsx&amp;sheet=A0&amp;row=177&amp;col=14&amp;number=10607&amp;sourceID=12","10607")</f>
        <v>10607</v>
      </c>
      <c r="O177" s="4" t="str">
        <f>HYPERLINK("http://141.218.60.56/~jnz1568/getInfo.php?workbook=06_01.xlsx&amp;sheet=A0&amp;row=177&amp;col=15&amp;number=&amp;sourceID=12","")</f>
        <v/>
      </c>
      <c r="P177" s="4" t="str">
        <f>HYPERLINK("http://141.218.60.56/~jnz1568/getInfo.php?workbook=06_01.xlsx&amp;sheet=A0&amp;row=177&amp;col=16&amp;number=10607&amp;sourceID=12","10607")</f>
        <v>10607</v>
      </c>
      <c r="Q177" s="4" t="str">
        <f>HYPERLINK("http://141.218.60.56/~jnz1568/getInfo.php?workbook=06_01.xlsx&amp;sheet=A0&amp;row=177&amp;col=17&amp;number=&amp;sourceID=12","")</f>
        <v/>
      </c>
      <c r="R177" s="4" t="str">
        <f>HYPERLINK("http://141.218.60.56/~jnz1568/getInfo.php?workbook=06_01.xlsx&amp;sheet=A0&amp;row=177&amp;col=18&amp;number=0.0012741&amp;sourceID=12","0.0012741")</f>
        <v>0.0012741</v>
      </c>
      <c r="S177" s="4" t="str">
        <f>HYPERLINK("http://141.218.60.56/~jnz1568/getInfo.php?workbook=06_01.xlsx&amp;sheet=A0&amp;row=177&amp;col=19&amp;number=&amp;sourceID=12","")</f>
        <v/>
      </c>
      <c r="T177" s="4" t="str">
        <f>HYPERLINK("http://141.218.60.56/~jnz1568/getInfo.php?workbook=06_01.xlsx&amp;sheet=A0&amp;row=177&amp;col=20&amp;number=&amp;sourceID=12","")</f>
        <v/>
      </c>
      <c r="U177" s="4" t="str">
        <f>HYPERLINK("http://141.218.60.56/~jnz1568/getInfo.php?workbook=06_01.xlsx&amp;sheet=A0&amp;row=177&amp;col=21&amp;number=&amp;sourceID=13","")</f>
        <v/>
      </c>
      <c r="V177" s="4" t="str">
        <f>HYPERLINK("http://141.218.60.56/~jnz1568/getInfo.php?workbook=06_01.xlsx&amp;sheet=A0&amp;row=177&amp;col=22&amp;number=&amp;sourceID=13","")</f>
        <v/>
      </c>
      <c r="W177" s="4" t="str">
        <f>HYPERLINK("http://141.218.60.56/~jnz1568/getInfo.php?workbook=06_01.xlsx&amp;sheet=A0&amp;row=177&amp;col=23&amp;number=&amp;sourceID=13","")</f>
        <v/>
      </c>
      <c r="X177" s="4" t="str">
        <f>HYPERLINK("http://141.218.60.56/~jnz1568/getInfo.php?workbook=06_01.xlsx&amp;sheet=A0&amp;row=177&amp;col=24&amp;number=&amp;sourceID=13","")</f>
        <v/>
      </c>
      <c r="Y177" s="4" t="str">
        <f>HYPERLINK("http://141.218.60.56/~jnz1568/getInfo.php?workbook=06_01.xlsx&amp;sheet=A0&amp;row=177&amp;col=25&amp;number=&amp;sourceID=13","")</f>
        <v/>
      </c>
      <c r="Z177" s="4" t="str">
        <f>HYPERLINK("http://141.218.60.56/~jnz1568/getInfo.php?workbook=06_01.xlsx&amp;sheet=A0&amp;row=177&amp;col=26&amp;number=&amp;sourceID=13","")</f>
        <v/>
      </c>
    </row>
    <row r="178" spans="1:26">
      <c r="A178" s="3">
        <v>6</v>
      </c>
      <c r="B178" s="3">
        <v>1</v>
      </c>
      <c r="C178" s="3">
        <v>20</v>
      </c>
      <c r="D178" s="3">
        <v>11</v>
      </c>
      <c r="E178" s="3">
        <f>((1/(INDEX(E0!J$4:J$28,C178,1)-INDEX(E0!J$4:J$28,D178,1))))*100000000</f>
        <v>0</v>
      </c>
      <c r="F178" s="4" t="str">
        <f>HYPERLINK("http://141.218.60.56/~jnz1568/getInfo.php?workbook=06_01.xlsx&amp;sheet=A0&amp;row=178&amp;col=6&amp;number=&amp;sourceID=18","")</f>
        <v/>
      </c>
      <c r="G178" s="4" t="str">
        <f>HYPERLINK("http://141.218.60.56/~jnz1568/getInfo.php?workbook=06_01.xlsx&amp;sheet=A0&amp;row=178&amp;col=7&amp;number==&amp;sourceID=11","=")</f>
        <v>=</v>
      </c>
      <c r="H178" s="4" t="str">
        <f>HYPERLINK("http://141.218.60.56/~jnz1568/getInfo.php?workbook=06_01.xlsx&amp;sheet=A0&amp;row=178&amp;col=8&amp;number=954610000&amp;sourceID=11","954610000")</f>
        <v>954610000</v>
      </c>
      <c r="I178" s="4" t="str">
        <f>HYPERLINK("http://141.218.60.56/~jnz1568/getInfo.php?workbook=06_01.xlsx&amp;sheet=A0&amp;row=178&amp;col=9&amp;number=&amp;sourceID=11","")</f>
        <v/>
      </c>
      <c r="J178" s="4" t="str">
        <f>HYPERLINK("http://141.218.60.56/~jnz1568/getInfo.php?workbook=06_01.xlsx&amp;sheet=A0&amp;row=178&amp;col=10&amp;number=&amp;sourceID=11","")</f>
        <v/>
      </c>
      <c r="K178" s="4" t="str">
        <f>HYPERLINK("http://141.218.60.56/~jnz1568/getInfo.php?workbook=06_01.xlsx&amp;sheet=A0&amp;row=178&amp;col=11&amp;number=&amp;sourceID=11","")</f>
        <v/>
      </c>
      <c r="L178" s="4" t="str">
        <f>HYPERLINK("http://141.218.60.56/~jnz1568/getInfo.php?workbook=06_01.xlsx&amp;sheet=A0&amp;row=178&amp;col=12&amp;number=0.083396&amp;sourceID=11","0.083396")</f>
        <v>0.083396</v>
      </c>
      <c r="M178" s="4" t="str">
        <f>HYPERLINK("http://141.218.60.56/~jnz1568/getInfo.php?workbook=06_01.xlsx&amp;sheet=A0&amp;row=178&amp;col=13&amp;number=&amp;sourceID=11","")</f>
        <v/>
      </c>
      <c r="N178" s="4" t="str">
        <f>HYPERLINK("http://141.218.60.56/~jnz1568/getInfo.php?workbook=06_01.xlsx&amp;sheet=A0&amp;row=178&amp;col=14&amp;number=954660000&amp;sourceID=12","954660000")</f>
        <v>954660000</v>
      </c>
      <c r="O178" s="4" t="str">
        <f>HYPERLINK("http://141.218.60.56/~jnz1568/getInfo.php?workbook=06_01.xlsx&amp;sheet=A0&amp;row=178&amp;col=15&amp;number=954660000&amp;sourceID=12","954660000")</f>
        <v>954660000</v>
      </c>
      <c r="P178" s="4" t="str">
        <f>HYPERLINK("http://141.218.60.56/~jnz1568/getInfo.php?workbook=06_01.xlsx&amp;sheet=A0&amp;row=178&amp;col=16&amp;number=&amp;sourceID=12","")</f>
        <v/>
      </c>
      <c r="Q178" s="4" t="str">
        <f>HYPERLINK("http://141.218.60.56/~jnz1568/getInfo.php?workbook=06_01.xlsx&amp;sheet=A0&amp;row=178&amp;col=17&amp;number=&amp;sourceID=12","")</f>
        <v/>
      </c>
      <c r="R178" s="4" t="str">
        <f>HYPERLINK("http://141.218.60.56/~jnz1568/getInfo.php?workbook=06_01.xlsx&amp;sheet=A0&amp;row=178&amp;col=18&amp;number=&amp;sourceID=12","")</f>
        <v/>
      </c>
      <c r="S178" s="4" t="str">
        <f>HYPERLINK("http://141.218.60.56/~jnz1568/getInfo.php?workbook=06_01.xlsx&amp;sheet=A0&amp;row=178&amp;col=19&amp;number=0.0834&amp;sourceID=12","0.0834")</f>
        <v>0.0834</v>
      </c>
      <c r="T178" s="4" t="str">
        <f>HYPERLINK("http://141.218.60.56/~jnz1568/getInfo.php?workbook=06_01.xlsx&amp;sheet=A0&amp;row=178&amp;col=20&amp;number=&amp;sourceID=12","")</f>
        <v/>
      </c>
      <c r="U178" s="4" t="str">
        <f>HYPERLINK("http://141.218.60.56/~jnz1568/getInfo.php?workbook=06_01.xlsx&amp;sheet=A0&amp;row=178&amp;col=21&amp;number=&amp;sourceID=13","")</f>
        <v/>
      </c>
      <c r="V178" s="4" t="str">
        <f>HYPERLINK("http://141.218.60.56/~jnz1568/getInfo.php?workbook=06_01.xlsx&amp;sheet=A0&amp;row=178&amp;col=22&amp;number=&amp;sourceID=13","")</f>
        <v/>
      </c>
      <c r="W178" s="4" t="str">
        <f>HYPERLINK("http://141.218.60.56/~jnz1568/getInfo.php?workbook=06_01.xlsx&amp;sheet=A0&amp;row=178&amp;col=23&amp;number=&amp;sourceID=13","")</f>
        <v/>
      </c>
      <c r="X178" s="4" t="str">
        <f>HYPERLINK("http://141.218.60.56/~jnz1568/getInfo.php?workbook=06_01.xlsx&amp;sheet=A0&amp;row=178&amp;col=24&amp;number=&amp;sourceID=13","")</f>
        <v/>
      </c>
      <c r="Y178" s="4" t="str">
        <f>HYPERLINK("http://141.218.60.56/~jnz1568/getInfo.php?workbook=06_01.xlsx&amp;sheet=A0&amp;row=178&amp;col=25&amp;number=&amp;sourceID=13","")</f>
        <v/>
      </c>
      <c r="Z178" s="4" t="str">
        <f>HYPERLINK("http://141.218.60.56/~jnz1568/getInfo.php?workbook=06_01.xlsx&amp;sheet=A0&amp;row=178&amp;col=26&amp;number=&amp;sourceID=13","")</f>
        <v/>
      </c>
    </row>
    <row r="179" spans="1:26">
      <c r="A179" s="3">
        <v>6</v>
      </c>
      <c r="B179" s="3">
        <v>1</v>
      </c>
      <c r="C179" s="3">
        <v>20</v>
      </c>
      <c r="D179" s="3">
        <v>12</v>
      </c>
      <c r="E179" s="3">
        <f>((1/(INDEX(E0!J$4:J$28,C179,1)-INDEX(E0!J$4:J$28,D179,1))))*100000000</f>
        <v>0</v>
      </c>
      <c r="F179" s="4" t="str">
        <f>HYPERLINK("http://141.218.60.56/~jnz1568/getInfo.php?workbook=06_01.xlsx&amp;sheet=A0&amp;row=179&amp;col=6&amp;number=&amp;sourceID=18","")</f>
        <v/>
      </c>
      <c r="G179" s="4" t="str">
        <f>HYPERLINK("http://141.218.60.56/~jnz1568/getInfo.php?workbook=06_01.xlsx&amp;sheet=A0&amp;row=179&amp;col=7&amp;number==&amp;sourceID=11","=")</f>
        <v>=</v>
      </c>
      <c r="H179" s="4" t="str">
        <f>HYPERLINK("http://141.218.60.56/~jnz1568/getInfo.php?workbook=06_01.xlsx&amp;sheet=A0&amp;row=179&amp;col=8&amp;number=24444000&amp;sourceID=11","24444000")</f>
        <v>24444000</v>
      </c>
      <c r="I179" s="4" t="str">
        <f>HYPERLINK("http://141.218.60.56/~jnz1568/getInfo.php?workbook=06_01.xlsx&amp;sheet=A0&amp;row=179&amp;col=9&amp;number=&amp;sourceID=11","")</f>
        <v/>
      </c>
      <c r="J179" s="4" t="str">
        <f>HYPERLINK("http://141.218.60.56/~jnz1568/getInfo.php?workbook=06_01.xlsx&amp;sheet=A0&amp;row=179&amp;col=10&amp;number=0.077618&amp;sourceID=11","0.077618")</f>
        <v>0.077618</v>
      </c>
      <c r="K179" s="4" t="str">
        <f>HYPERLINK("http://141.218.60.56/~jnz1568/getInfo.php?workbook=06_01.xlsx&amp;sheet=A0&amp;row=179&amp;col=11&amp;number=&amp;sourceID=11","")</f>
        <v/>
      </c>
      <c r="L179" s="4" t="str">
        <f>HYPERLINK("http://141.218.60.56/~jnz1568/getInfo.php?workbook=06_01.xlsx&amp;sheet=A0&amp;row=179&amp;col=12&amp;number=&amp;sourceID=11","")</f>
        <v/>
      </c>
      <c r="M179" s="4" t="str">
        <f>HYPERLINK("http://141.218.60.56/~jnz1568/getInfo.php?workbook=06_01.xlsx&amp;sheet=A0&amp;row=179&amp;col=13&amp;number=&amp;sourceID=11","")</f>
        <v/>
      </c>
      <c r="N179" s="4" t="str">
        <f>HYPERLINK("http://141.218.60.56/~jnz1568/getInfo.php?workbook=06_01.xlsx&amp;sheet=A0&amp;row=179&amp;col=14&amp;number=24445000&amp;sourceID=12","24445000")</f>
        <v>24445000</v>
      </c>
      <c r="O179" s="4" t="str">
        <f>HYPERLINK("http://141.218.60.56/~jnz1568/getInfo.php?workbook=06_01.xlsx&amp;sheet=A0&amp;row=179&amp;col=15&amp;number=24445000&amp;sourceID=12","24445000")</f>
        <v>24445000</v>
      </c>
      <c r="P179" s="4" t="str">
        <f>HYPERLINK("http://141.218.60.56/~jnz1568/getInfo.php?workbook=06_01.xlsx&amp;sheet=A0&amp;row=179&amp;col=16&amp;number=&amp;sourceID=12","")</f>
        <v/>
      </c>
      <c r="Q179" s="4" t="str">
        <f>HYPERLINK("http://141.218.60.56/~jnz1568/getInfo.php?workbook=06_01.xlsx&amp;sheet=A0&amp;row=179&amp;col=17&amp;number=0.077622&amp;sourceID=12","0.077622")</f>
        <v>0.077622</v>
      </c>
      <c r="R179" s="4" t="str">
        <f>HYPERLINK("http://141.218.60.56/~jnz1568/getInfo.php?workbook=06_01.xlsx&amp;sheet=A0&amp;row=179&amp;col=18&amp;number=&amp;sourceID=12","")</f>
        <v/>
      </c>
      <c r="S179" s="4" t="str">
        <f>HYPERLINK("http://141.218.60.56/~jnz1568/getInfo.php?workbook=06_01.xlsx&amp;sheet=A0&amp;row=179&amp;col=19&amp;number=&amp;sourceID=12","")</f>
        <v/>
      </c>
      <c r="T179" s="4" t="str">
        <f>HYPERLINK("http://141.218.60.56/~jnz1568/getInfo.php?workbook=06_01.xlsx&amp;sheet=A0&amp;row=179&amp;col=20&amp;number=&amp;sourceID=12","")</f>
        <v/>
      </c>
      <c r="U179" s="4" t="str">
        <f>HYPERLINK("http://141.218.60.56/~jnz1568/getInfo.php?workbook=06_01.xlsx&amp;sheet=A0&amp;row=179&amp;col=21&amp;number=&amp;sourceID=13","")</f>
        <v/>
      </c>
      <c r="V179" s="4" t="str">
        <f>HYPERLINK("http://141.218.60.56/~jnz1568/getInfo.php?workbook=06_01.xlsx&amp;sheet=A0&amp;row=179&amp;col=22&amp;number=&amp;sourceID=13","")</f>
        <v/>
      </c>
      <c r="W179" s="4" t="str">
        <f>HYPERLINK("http://141.218.60.56/~jnz1568/getInfo.php?workbook=06_01.xlsx&amp;sheet=A0&amp;row=179&amp;col=23&amp;number=&amp;sourceID=13","")</f>
        <v/>
      </c>
      <c r="X179" s="4" t="str">
        <f>HYPERLINK("http://141.218.60.56/~jnz1568/getInfo.php?workbook=06_01.xlsx&amp;sheet=A0&amp;row=179&amp;col=24&amp;number=&amp;sourceID=13","")</f>
        <v/>
      </c>
      <c r="Y179" s="4" t="str">
        <f>HYPERLINK("http://141.218.60.56/~jnz1568/getInfo.php?workbook=06_01.xlsx&amp;sheet=A0&amp;row=179&amp;col=25&amp;number=&amp;sourceID=13","")</f>
        <v/>
      </c>
      <c r="Z179" s="4" t="str">
        <f>HYPERLINK("http://141.218.60.56/~jnz1568/getInfo.php?workbook=06_01.xlsx&amp;sheet=A0&amp;row=179&amp;col=26&amp;number=&amp;sourceID=13","")</f>
        <v/>
      </c>
    </row>
    <row r="180" spans="1:26">
      <c r="A180" s="3">
        <v>6</v>
      </c>
      <c r="B180" s="3">
        <v>1</v>
      </c>
      <c r="C180" s="3">
        <v>20</v>
      </c>
      <c r="D180" s="3">
        <v>13</v>
      </c>
      <c r="E180" s="3">
        <f>((1/(INDEX(E0!J$4:J$28,C180,1)-INDEX(E0!J$4:J$28,D180,1))))*100000000</f>
        <v>0</v>
      </c>
      <c r="F180" s="4" t="str">
        <f>HYPERLINK("http://141.218.60.56/~jnz1568/getInfo.php?workbook=06_01.xlsx&amp;sheet=A0&amp;row=180&amp;col=6&amp;number=&amp;sourceID=18","")</f>
        <v/>
      </c>
      <c r="G180" s="4" t="str">
        <f>HYPERLINK("http://141.218.60.56/~jnz1568/getInfo.php?workbook=06_01.xlsx&amp;sheet=A0&amp;row=180&amp;col=7&amp;number==&amp;sourceID=11","=")</f>
        <v>=</v>
      </c>
      <c r="H180" s="4" t="str">
        <f>HYPERLINK("http://141.218.60.56/~jnz1568/getInfo.php?workbook=06_01.xlsx&amp;sheet=A0&amp;row=180&amp;col=8&amp;number=&amp;sourceID=11","")</f>
        <v/>
      </c>
      <c r="I180" s="4" t="str">
        <f>HYPERLINK("http://141.218.60.56/~jnz1568/getInfo.php?workbook=06_01.xlsx&amp;sheet=A0&amp;row=180&amp;col=9&amp;number=10602&amp;sourceID=11","10602")</f>
        <v>10602</v>
      </c>
      <c r="J180" s="4" t="str">
        <f>HYPERLINK("http://141.218.60.56/~jnz1568/getInfo.php?workbook=06_01.xlsx&amp;sheet=A0&amp;row=180&amp;col=10&amp;number=&amp;sourceID=11","")</f>
        <v/>
      </c>
      <c r="K180" s="4" t="str">
        <f>HYPERLINK("http://141.218.60.56/~jnz1568/getInfo.php?workbook=06_01.xlsx&amp;sheet=A0&amp;row=180&amp;col=11&amp;number=0.00010656&amp;sourceID=11","0.00010656")</f>
        <v>0.00010656</v>
      </c>
      <c r="L180" s="4" t="str">
        <f>HYPERLINK("http://141.218.60.56/~jnz1568/getInfo.php?workbook=06_01.xlsx&amp;sheet=A0&amp;row=180&amp;col=12&amp;number=&amp;sourceID=11","")</f>
        <v/>
      </c>
      <c r="M180" s="4" t="str">
        <f>HYPERLINK("http://141.218.60.56/~jnz1568/getInfo.php?workbook=06_01.xlsx&amp;sheet=A0&amp;row=180&amp;col=13&amp;number=1.9733e-06&amp;sourceID=11","1.9733e-06")</f>
        <v>1.9733e-06</v>
      </c>
      <c r="N180" s="4" t="str">
        <f>HYPERLINK("http://141.218.60.56/~jnz1568/getInfo.php?workbook=06_01.xlsx&amp;sheet=A0&amp;row=180&amp;col=14&amp;number=10603&amp;sourceID=12","10603")</f>
        <v>10603</v>
      </c>
      <c r="O180" s="4" t="str">
        <f>HYPERLINK("http://141.218.60.56/~jnz1568/getInfo.php?workbook=06_01.xlsx&amp;sheet=A0&amp;row=180&amp;col=15&amp;number=&amp;sourceID=12","")</f>
        <v/>
      </c>
      <c r="P180" s="4" t="str">
        <f>HYPERLINK("http://141.218.60.56/~jnz1568/getInfo.php?workbook=06_01.xlsx&amp;sheet=A0&amp;row=180&amp;col=16&amp;number=10603&amp;sourceID=12","10603")</f>
        <v>10603</v>
      </c>
      <c r="Q180" s="4" t="str">
        <f>HYPERLINK("http://141.218.60.56/~jnz1568/getInfo.php?workbook=06_01.xlsx&amp;sheet=A0&amp;row=180&amp;col=17&amp;number=&amp;sourceID=12","")</f>
        <v/>
      </c>
      <c r="R180" s="4" t="str">
        <f>HYPERLINK("http://141.218.60.56/~jnz1568/getInfo.php?workbook=06_01.xlsx&amp;sheet=A0&amp;row=180&amp;col=18&amp;number=0.00010657&amp;sourceID=12","0.00010657")</f>
        <v>0.00010657</v>
      </c>
      <c r="S180" s="4" t="str">
        <f>HYPERLINK("http://141.218.60.56/~jnz1568/getInfo.php?workbook=06_01.xlsx&amp;sheet=A0&amp;row=180&amp;col=19&amp;number=&amp;sourceID=12","")</f>
        <v/>
      </c>
      <c r="T180" s="4" t="str">
        <f>HYPERLINK("http://141.218.60.56/~jnz1568/getInfo.php?workbook=06_01.xlsx&amp;sheet=A0&amp;row=180&amp;col=20&amp;number=1.9733e-06&amp;sourceID=12","1.9733e-06")</f>
        <v>1.9733e-06</v>
      </c>
      <c r="U180" s="4" t="str">
        <f>HYPERLINK("http://141.218.60.56/~jnz1568/getInfo.php?workbook=06_01.xlsx&amp;sheet=A0&amp;row=180&amp;col=21&amp;number=&amp;sourceID=13","")</f>
        <v/>
      </c>
      <c r="V180" s="4" t="str">
        <f>HYPERLINK("http://141.218.60.56/~jnz1568/getInfo.php?workbook=06_01.xlsx&amp;sheet=A0&amp;row=180&amp;col=22&amp;number=&amp;sourceID=13","")</f>
        <v/>
      </c>
      <c r="W180" s="4" t="str">
        <f>HYPERLINK("http://141.218.60.56/~jnz1568/getInfo.php?workbook=06_01.xlsx&amp;sheet=A0&amp;row=180&amp;col=23&amp;number=&amp;sourceID=13","")</f>
        <v/>
      </c>
      <c r="X180" s="4" t="str">
        <f>HYPERLINK("http://141.218.60.56/~jnz1568/getInfo.php?workbook=06_01.xlsx&amp;sheet=A0&amp;row=180&amp;col=24&amp;number=&amp;sourceID=13","")</f>
        <v/>
      </c>
      <c r="Y180" s="4" t="str">
        <f>HYPERLINK("http://141.218.60.56/~jnz1568/getInfo.php?workbook=06_01.xlsx&amp;sheet=A0&amp;row=180&amp;col=25&amp;number=&amp;sourceID=13","")</f>
        <v/>
      </c>
      <c r="Z180" s="4" t="str">
        <f>HYPERLINK("http://141.218.60.56/~jnz1568/getInfo.php?workbook=06_01.xlsx&amp;sheet=A0&amp;row=180&amp;col=26&amp;number=&amp;sourceID=13","")</f>
        <v/>
      </c>
    </row>
    <row r="181" spans="1:26">
      <c r="A181" s="3">
        <v>6</v>
      </c>
      <c r="B181" s="3">
        <v>1</v>
      </c>
      <c r="C181" s="3">
        <v>20</v>
      </c>
      <c r="D181" s="3">
        <v>14</v>
      </c>
      <c r="E181" s="3">
        <f>((1/(INDEX(E0!J$4:J$28,C181,1)-INDEX(E0!J$4:J$28,D181,1))))*100000000</f>
        <v>0</v>
      </c>
      <c r="F181" s="4" t="str">
        <f>HYPERLINK("http://141.218.60.56/~jnz1568/getInfo.php?workbook=06_01.xlsx&amp;sheet=A0&amp;row=181&amp;col=6&amp;number=&amp;sourceID=18","")</f>
        <v/>
      </c>
      <c r="G181" s="4" t="str">
        <f>HYPERLINK("http://141.218.60.56/~jnz1568/getInfo.php?workbook=06_01.xlsx&amp;sheet=A0&amp;row=181&amp;col=7&amp;number==&amp;sourceID=11","=")</f>
        <v>=</v>
      </c>
      <c r="H181" s="4" t="str">
        <f>HYPERLINK("http://141.218.60.56/~jnz1568/getInfo.php?workbook=06_01.xlsx&amp;sheet=A0&amp;row=181&amp;col=8&amp;number=&amp;sourceID=11","")</f>
        <v/>
      </c>
      <c r="I181" s="4" t="str">
        <f>HYPERLINK("http://141.218.60.56/~jnz1568/getInfo.php?workbook=06_01.xlsx&amp;sheet=A0&amp;row=181&amp;col=9&amp;number=314.2&amp;sourceID=11","314.2")</f>
        <v>314.2</v>
      </c>
      <c r="J181" s="4" t="str">
        <f>HYPERLINK("http://141.218.60.56/~jnz1568/getInfo.php?workbook=06_01.xlsx&amp;sheet=A0&amp;row=181&amp;col=10&amp;number=&amp;sourceID=11","")</f>
        <v/>
      </c>
      <c r="K181" s="4" t="str">
        <f>HYPERLINK("http://141.218.60.56/~jnz1568/getInfo.php?workbook=06_01.xlsx&amp;sheet=A0&amp;row=181&amp;col=11&amp;number=2.5313e-09&amp;sourceID=11","2.5313e-09")</f>
        <v>2.5313e-09</v>
      </c>
      <c r="L181" s="4" t="str">
        <f>HYPERLINK("http://141.218.60.56/~jnz1568/getInfo.php?workbook=06_01.xlsx&amp;sheet=A0&amp;row=181&amp;col=12&amp;number=&amp;sourceID=11","")</f>
        <v/>
      </c>
      <c r="M181" s="4" t="str">
        <f>HYPERLINK("http://141.218.60.56/~jnz1568/getInfo.php?workbook=06_01.xlsx&amp;sheet=A0&amp;row=181&amp;col=13&amp;number=4.6392e-10&amp;sourceID=11","4.6392e-10")</f>
        <v>4.6392e-10</v>
      </c>
      <c r="N181" s="4" t="str">
        <f>HYPERLINK("http://141.218.60.56/~jnz1568/getInfo.php?workbook=06_01.xlsx&amp;sheet=A0&amp;row=181&amp;col=14&amp;number=314.21&amp;sourceID=12","314.21")</f>
        <v>314.21</v>
      </c>
      <c r="O181" s="4" t="str">
        <f>HYPERLINK("http://141.218.60.56/~jnz1568/getInfo.php?workbook=06_01.xlsx&amp;sheet=A0&amp;row=181&amp;col=15&amp;number=&amp;sourceID=12","")</f>
        <v/>
      </c>
      <c r="P181" s="4" t="str">
        <f>HYPERLINK("http://141.218.60.56/~jnz1568/getInfo.php?workbook=06_01.xlsx&amp;sheet=A0&amp;row=181&amp;col=16&amp;number=314.21&amp;sourceID=12","314.21")</f>
        <v>314.21</v>
      </c>
      <c r="Q181" s="4" t="str">
        <f>HYPERLINK("http://141.218.60.56/~jnz1568/getInfo.php?workbook=06_01.xlsx&amp;sheet=A0&amp;row=181&amp;col=17&amp;number=&amp;sourceID=12","")</f>
        <v/>
      </c>
      <c r="R181" s="4" t="str">
        <f>HYPERLINK("http://141.218.60.56/~jnz1568/getInfo.php?workbook=06_01.xlsx&amp;sheet=A0&amp;row=181&amp;col=18&amp;number=2.5315e-09&amp;sourceID=12","2.5315e-09")</f>
        <v>2.5315e-09</v>
      </c>
      <c r="S181" s="4" t="str">
        <f>HYPERLINK("http://141.218.60.56/~jnz1568/getInfo.php?workbook=06_01.xlsx&amp;sheet=A0&amp;row=181&amp;col=19&amp;number=&amp;sourceID=12","")</f>
        <v/>
      </c>
      <c r="T181" s="4" t="str">
        <f>HYPERLINK("http://141.218.60.56/~jnz1568/getInfo.php?workbook=06_01.xlsx&amp;sheet=A0&amp;row=181&amp;col=20&amp;number=4.6394e-10&amp;sourceID=12","4.6394e-10")</f>
        <v>4.6394e-10</v>
      </c>
      <c r="U181" s="4" t="str">
        <f>HYPERLINK("http://141.218.60.56/~jnz1568/getInfo.php?workbook=06_01.xlsx&amp;sheet=A0&amp;row=181&amp;col=21&amp;number=&amp;sourceID=13","")</f>
        <v/>
      </c>
      <c r="V181" s="4" t="str">
        <f>HYPERLINK("http://141.218.60.56/~jnz1568/getInfo.php?workbook=06_01.xlsx&amp;sheet=A0&amp;row=181&amp;col=22&amp;number=&amp;sourceID=13","")</f>
        <v/>
      </c>
      <c r="W181" s="4" t="str">
        <f>HYPERLINK("http://141.218.60.56/~jnz1568/getInfo.php?workbook=06_01.xlsx&amp;sheet=A0&amp;row=181&amp;col=23&amp;number=&amp;sourceID=13","")</f>
        <v/>
      </c>
      <c r="X181" s="4" t="str">
        <f>HYPERLINK("http://141.218.60.56/~jnz1568/getInfo.php?workbook=06_01.xlsx&amp;sheet=A0&amp;row=181&amp;col=24&amp;number=&amp;sourceID=13","")</f>
        <v/>
      </c>
      <c r="Y181" s="4" t="str">
        <f>HYPERLINK("http://141.218.60.56/~jnz1568/getInfo.php?workbook=06_01.xlsx&amp;sheet=A0&amp;row=181&amp;col=25&amp;number=&amp;sourceID=13","")</f>
        <v/>
      </c>
      <c r="Z181" s="4" t="str">
        <f>HYPERLINK("http://141.218.60.56/~jnz1568/getInfo.php?workbook=06_01.xlsx&amp;sheet=A0&amp;row=181&amp;col=26&amp;number=&amp;sourceID=13","")</f>
        <v/>
      </c>
    </row>
    <row r="182" spans="1:26">
      <c r="A182" s="3">
        <v>6</v>
      </c>
      <c r="B182" s="3">
        <v>1</v>
      </c>
      <c r="C182" s="3">
        <v>20</v>
      </c>
      <c r="D182" s="3">
        <v>15</v>
      </c>
      <c r="E182" s="3">
        <f>((1/(INDEX(E0!J$4:J$28,C182,1)-INDEX(E0!J$4:J$28,D182,1))))*100000000</f>
        <v>0</v>
      </c>
      <c r="F182" s="4" t="str">
        <f>HYPERLINK("http://141.218.60.56/~jnz1568/getInfo.php?workbook=06_01.xlsx&amp;sheet=A0&amp;row=182&amp;col=6&amp;number=&amp;sourceID=18","")</f>
        <v/>
      </c>
      <c r="G182" s="4" t="str">
        <f>HYPERLINK("http://141.218.60.56/~jnz1568/getInfo.php?workbook=06_01.xlsx&amp;sheet=A0&amp;row=182&amp;col=7&amp;number==&amp;sourceID=11","=")</f>
        <v>=</v>
      </c>
      <c r="H182" s="4" t="str">
        <f>HYPERLINK("http://141.218.60.56/~jnz1568/getInfo.php?workbook=06_01.xlsx&amp;sheet=A0&amp;row=182&amp;col=8&amp;number=220320000&amp;sourceID=11","220320000")</f>
        <v>220320000</v>
      </c>
      <c r="I182" s="4" t="str">
        <f>HYPERLINK("http://141.218.60.56/~jnz1568/getInfo.php?workbook=06_01.xlsx&amp;sheet=A0&amp;row=182&amp;col=9&amp;number=&amp;sourceID=11","")</f>
        <v/>
      </c>
      <c r="J182" s="4" t="str">
        <f>HYPERLINK("http://141.218.60.56/~jnz1568/getInfo.php?workbook=06_01.xlsx&amp;sheet=A0&amp;row=182&amp;col=10&amp;number=0.051714&amp;sourceID=11","0.051714")</f>
        <v>0.051714</v>
      </c>
      <c r="K182" s="4" t="str">
        <f>HYPERLINK("http://141.218.60.56/~jnz1568/getInfo.php?workbook=06_01.xlsx&amp;sheet=A0&amp;row=182&amp;col=11&amp;number=&amp;sourceID=11","")</f>
        <v/>
      </c>
      <c r="L182" s="4" t="str">
        <f>HYPERLINK("http://141.218.60.56/~jnz1568/getInfo.php?workbook=06_01.xlsx&amp;sheet=A0&amp;row=182&amp;col=12&amp;number=0.024908&amp;sourceID=11","0.024908")</f>
        <v>0.024908</v>
      </c>
      <c r="M182" s="4" t="str">
        <f>HYPERLINK("http://141.218.60.56/~jnz1568/getInfo.php?workbook=06_01.xlsx&amp;sheet=A0&amp;row=182&amp;col=13&amp;number=&amp;sourceID=11","")</f>
        <v/>
      </c>
      <c r="N182" s="4" t="str">
        <f>HYPERLINK("http://141.218.60.56/~jnz1568/getInfo.php?workbook=06_01.xlsx&amp;sheet=A0&amp;row=182&amp;col=14&amp;number=220330000&amp;sourceID=12","220330000")</f>
        <v>220330000</v>
      </c>
      <c r="O182" s="4" t="str">
        <f>HYPERLINK("http://141.218.60.56/~jnz1568/getInfo.php?workbook=06_01.xlsx&amp;sheet=A0&amp;row=182&amp;col=15&amp;number=220330000&amp;sourceID=12","220330000")</f>
        <v>220330000</v>
      </c>
      <c r="P182" s="4" t="str">
        <f>HYPERLINK("http://141.218.60.56/~jnz1568/getInfo.php?workbook=06_01.xlsx&amp;sheet=A0&amp;row=182&amp;col=16&amp;number=&amp;sourceID=12","")</f>
        <v/>
      </c>
      <c r="Q182" s="4" t="str">
        <f>HYPERLINK("http://141.218.60.56/~jnz1568/getInfo.php?workbook=06_01.xlsx&amp;sheet=A0&amp;row=182&amp;col=17&amp;number=0.051716&amp;sourceID=12","0.051716")</f>
        <v>0.051716</v>
      </c>
      <c r="R182" s="4" t="str">
        <f>HYPERLINK("http://141.218.60.56/~jnz1568/getInfo.php?workbook=06_01.xlsx&amp;sheet=A0&amp;row=182&amp;col=18&amp;number=&amp;sourceID=12","")</f>
        <v/>
      </c>
      <c r="S182" s="4" t="str">
        <f>HYPERLINK("http://141.218.60.56/~jnz1568/getInfo.php?workbook=06_01.xlsx&amp;sheet=A0&amp;row=182&amp;col=19&amp;number=0.024909&amp;sourceID=12","0.024909")</f>
        <v>0.024909</v>
      </c>
      <c r="T182" s="4" t="str">
        <f>HYPERLINK("http://141.218.60.56/~jnz1568/getInfo.php?workbook=06_01.xlsx&amp;sheet=A0&amp;row=182&amp;col=20&amp;number=&amp;sourceID=12","")</f>
        <v/>
      </c>
      <c r="U182" s="4" t="str">
        <f>HYPERLINK("http://141.218.60.56/~jnz1568/getInfo.php?workbook=06_01.xlsx&amp;sheet=A0&amp;row=182&amp;col=21&amp;number=&amp;sourceID=13","")</f>
        <v/>
      </c>
      <c r="V182" s="4" t="str">
        <f>HYPERLINK("http://141.218.60.56/~jnz1568/getInfo.php?workbook=06_01.xlsx&amp;sheet=A0&amp;row=182&amp;col=22&amp;number=&amp;sourceID=13","")</f>
        <v/>
      </c>
      <c r="W182" s="4" t="str">
        <f>HYPERLINK("http://141.218.60.56/~jnz1568/getInfo.php?workbook=06_01.xlsx&amp;sheet=A0&amp;row=182&amp;col=23&amp;number=&amp;sourceID=13","")</f>
        <v/>
      </c>
      <c r="X182" s="4" t="str">
        <f>HYPERLINK("http://141.218.60.56/~jnz1568/getInfo.php?workbook=06_01.xlsx&amp;sheet=A0&amp;row=182&amp;col=24&amp;number=&amp;sourceID=13","")</f>
        <v/>
      </c>
      <c r="Y182" s="4" t="str">
        <f>HYPERLINK("http://141.218.60.56/~jnz1568/getInfo.php?workbook=06_01.xlsx&amp;sheet=A0&amp;row=182&amp;col=25&amp;number=&amp;sourceID=13","")</f>
        <v/>
      </c>
      <c r="Z182" s="4" t="str">
        <f>HYPERLINK("http://141.218.60.56/~jnz1568/getInfo.php?workbook=06_01.xlsx&amp;sheet=A0&amp;row=182&amp;col=26&amp;number=&amp;sourceID=13","")</f>
        <v/>
      </c>
    </row>
    <row r="183" spans="1:26">
      <c r="A183" s="3">
        <v>6</v>
      </c>
      <c r="B183" s="3">
        <v>1</v>
      </c>
      <c r="C183" s="3">
        <v>20</v>
      </c>
      <c r="D183" s="3">
        <v>16</v>
      </c>
      <c r="E183" s="3">
        <f>((1/(INDEX(E0!J$4:J$28,C183,1)-INDEX(E0!J$4:J$28,D183,1))))*100000000</f>
        <v>0</v>
      </c>
      <c r="F183" s="4" t="str">
        <f>HYPERLINK("http://141.218.60.56/~jnz1568/getInfo.php?workbook=06_01.xlsx&amp;sheet=A0&amp;row=183&amp;col=6&amp;number=&amp;sourceID=18","")</f>
        <v/>
      </c>
      <c r="G183" s="4" t="str">
        <f>HYPERLINK("http://141.218.60.56/~jnz1568/getInfo.php?workbook=06_01.xlsx&amp;sheet=A0&amp;row=183&amp;col=7&amp;number==&amp;sourceID=11","=")</f>
        <v>=</v>
      </c>
      <c r="H183" s="4" t="str">
        <f>HYPERLINK("http://141.218.60.56/~jnz1568/getInfo.php?workbook=06_01.xlsx&amp;sheet=A0&amp;row=183&amp;col=8&amp;number=&amp;sourceID=11","")</f>
        <v/>
      </c>
      <c r="I183" s="4" t="str">
        <f>HYPERLINK("http://141.218.60.56/~jnz1568/getInfo.php?workbook=06_01.xlsx&amp;sheet=A0&amp;row=183&amp;col=9&amp;number=1885.5&amp;sourceID=11","1885.5")</f>
        <v>1885.5</v>
      </c>
      <c r="J183" s="4" t="str">
        <f>HYPERLINK("http://141.218.60.56/~jnz1568/getInfo.php?workbook=06_01.xlsx&amp;sheet=A0&amp;row=183&amp;col=10&amp;number=&amp;sourceID=11","")</f>
        <v/>
      </c>
      <c r="K183" s="4" t="str">
        <f>HYPERLINK("http://141.218.60.56/~jnz1568/getInfo.php?workbook=06_01.xlsx&amp;sheet=A0&amp;row=183&amp;col=11&amp;number=&amp;sourceID=11","")</f>
        <v/>
      </c>
      <c r="L183" s="4" t="str">
        <f>HYPERLINK("http://141.218.60.56/~jnz1568/getInfo.php?workbook=06_01.xlsx&amp;sheet=A0&amp;row=183&amp;col=12&amp;number=&amp;sourceID=11","")</f>
        <v/>
      </c>
      <c r="M183" s="4" t="str">
        <f>HYPERLINK("http://141.218.60.56/~jnz1568/getInfo.php?workbook=06_01.xlsx&amp;sheet=A0&amp;row=183&amp;col=13&amp;number=1.8788e-07&amp;sourceID=11","1.8788e-07")</f>
        <v>1.8788e-07</v>
      </c>
      <c r="N183" s="4" t="str">
        <f>HYPERLINK("http://141.218.60.56/~jnz1568/getInfo.php?workbook=06_01.xlsx&amp;sheet=A0&amp;row=183&amp;col=14&amp;number=1885.6&amp;sourceID=12","1885.6")</f>
        <v>1885.6</v>
      </c>
      <c r="O183" s="4" t="str">
        <f>HYPERLINK("http://141.218.60.56/~jnz1568/getInfo.php?workbook=06_01.xlsx&amp;sheet=A0&amp;row=183&amp;col=15&amp;number=&amp;sourceID=12","")</f>
        <v/>
      </c>
      <c r="P183" s="4" t="str">
        <f>HYPERLINK("http://141.218.60.56/~jnz1568/getInfo.php?workbook=06_01.xlsx&amp;sheet=A0&amp;row=183&amp;col=16&amp;number=1885.6&amp;sourceID=12","1885.6")</f>
        <v>1885.6</v>
      </c>
      <c r="Q183" s="4" t="str">
        <f>HYPERLINK("http://141.218.60.56/~jnz1568/getInfo.php?workbook=06_01.xlsx&amp;sheet=A0&amp;row=183&amp;col=17&amp;number=&amp;sourceID=12","")</f>
        <v/>
      </c>
      <c r="R183" s="4" t="str">
        <f>HYPERLINK("http://141.218.60.56/~jnz1568/getInfo.php?workbook=06_01.xlsx&amp;sheet=A0&amp;row=183&amp;col=18&amp;number=&amp;sourceID=12","")</f>
        <v/>
      </c>
      <c r="S183" s="4" t="str">
        <f>HYPERLINK("http://141.218.60.56/~jnz1568/getInfo.php?workbook=06_01.xlsx&amp;sheet=A0&amp;row=183&amp;col=19&amp;number=&amp;sourceID=12","")</f>
        <v/>
      </c>
      <c r="T183" s="4" t="str">
        <f>HYPERLINK("http://141.218.60.56/~jnz1568/getInfo.php?workbook=06_01.xlsx&amp;sheet=A0&amp;row=183&amp;col=20&amp;number=1.8789e-07&amp;sourceID=12","1.8789e-07")</f>
        <v>1.8789e-07</v>
      </c>
      <c r="U183" s="4" t="str">
        <f>HYPERLINK("http://141.218.60.56/~jnz1568/getInfo.php?workbook=06_01.xlsx&amp;sheet=A0&amp;row=183&amp;col=21&amp;number=&amp;sourceID=13","")</f>
        <v/>
      </c>
      <c r="V183" s="4" t="str">
        <f>HYPERLINK("http://141.218.60.56/~jnz1568/getInfo.php?workbook=06_01.xlsx&amp;sheet=A0&amp;row=183&amp;col=22&amp;number=&amp;sourceID=13","")</f>
        <v/>
      </c>
      <c r="W183" s="4" t="str">
        <f>HYPERLINK("http://141.218.60.56/~jnz1568/getInfo.php?workbook=06_01.xlsx&amp;sheet=A0&amp;row=183&amp;col=23&amp;number=&amp;sourceID=13","")</f>
        <v/>
      </c>
      <c r="X183" s="4" t="str">
        <f>HYPERLINK("http://141.218.60.56/~jnz1568/getInfo.php?workbook=06_01.xlsx&amp;sheet=A0&amp;row=183&amp;col=24&amp;number=&amp;sourceID=13","")</f>
        <v/>
      </c>
      <c r="Y183" s="4" t="str">
        <f>HYPERLINK("http://141.218.60.56/~jnz1568/getInfo.php?workbook=06_01.xlsx&amp;sheet=A0&amp;row=183&amp;col=25&amp;number=&amp;sourceID=13","")</f>
        <v/>
      </c>
      <c r="Z183" s="4" t="str">
        <f>HYPERLINK("http://141.218.60.56/~jnz1568/getInfo.php?workbook=06_01.xlsx&amp;sheet=A0&amp;row=183&amp;col=26&amp;number=&amp;sourceID=13","")</f>
        <v/>
      </c>
    </row>
    <row r="184" spans="1:26">
      <c r="A184" s="3">
        <v>6</v>
      </c>
      <c r="B184" s="3">
        <v>1</v>
      </c>
      <c r="C184" s="3">
        <v>20</v>
      </c>
      <c r="D184" s="3">
        <v>17</v>
      </c>
      <c r="E184" s="3">
        <f>((1/(INDEX(E0!J$4:J$28,C184,1)-INDEX(E0!J$4:J$28,D184,1))))*100000000</f>
        <v>0</v>
      </c>
      <c r="F184" s="4" t="str">
        <f>HYPERLINK("http://141.218.60.56/~jnz1568/getInfo.php?workbook=06_01.xlsx&amp;sheet=A0&amp;row=184&amp;col=6&amp;number=&amp;sourceID=18","")</f>
        <v/>
      </c>
      <c r="G184" s="4" t="str">
        <f>HYPERLINK("http://141.218.60.56/~jnz1568/getInfo.php?workbook=06_01.xlsx&amp;sheet=A0&amp;row=184&amp;col=7&amp;number==&amp;sourceID=11","=")</f>
        <v>=</v>
      </c>
      <c r="H184" s="4" t="str">
        <f>HYPERLINK("http://141.218.60.56/~jnz1568/getInfo.php?workbook=06_01.xlsx&amp;sheet=A0&amp;row=184&amp;col=8&amp;number=&amp;sourceID=11","")</f>
        <v/>
      </c>
      <c r="I184" s="4" t="str">
        <f>HYPERLINK("http://141.218.60.56/~jnz1568/getInfo.php?workbook=06_01.xlsx&amp;sheet=A0&amp;row=184&amp;col=9&amp;number=9.97e-13&amp;sourceID=11","9.97e-13")</f>
        <v>9.97e-13</v>
      </c>
      <c r="J184" s="4" t="str">
        <f>HYPERLINK("http://141.218.60.56/~jnz1568/getInfo.php?workbook=06_01.xlsx&amp;sheet=A0&amp;row=184&amp;col=10&amp;number=&amp;sourceID=11","")</f>
        <v/>
      </c>
      <c r="K184" s="4" t="str">
        <f>HYPERLINK("http://141.218.60.56/~jnz1568/getInfo.php?workbook=06_01.xlsx&amp;sheet=A0&amp;row=184&amp;col=11&amp;number=2.508e-07&amp;sourceID=11","2.508e-07")</f>
        <v>2.508e-07</v>
      </c>
      <c r="L184" s="4" t="str">
        <f>HYPERLINK("http://141.218.60.56/~jnz1568/getInfo.php?workbook=06_01.xlsx&amp;sheet=A0&amp;row=184&amp;col=12&amp;number=&amp;sourceID=11","")</f>
        <v/>
      </c>
      <c r="M184" s="4" t="str">
        <f>HYPERLINK("http://141.218.60.56/~jnz1568/getInfo.php?workbook=06_01.xlsx&amp;sheet=A0&amp;row=184&amp;col=13&amp;number=&amp;sourceID=11","")</f>
        <v/>
      </c>
      <c r="N184" s="4" t="str">
        <f>HYPERLINK("http://141.218.60.56/~jnz1568/getInfo.php?workbook=06_01.xlsx&amp;sheet=A0&amp;row=184&amp;col=14&amp;number=2.5085e-07&amp;sourceID=12","2.5085e-07")</f>
        <v>2.5085e-07</v>
      </c>
      <c r="O184" s="4" t="str">
        <f>HYPERLINK("http://141.218.60.56/~jnz1568/getInfo.php?workbook=06_01.xlsx&amp;sheet=A0&amp;row=184&amp;col=15&amp;number=&amp;sourceID=12","")</f>
        <v/>
      </c>
      <c r="P184" s="4" t="str">
        <f>HYPERLINK("http://141.218.60.56/~jnz1568/getInfo.php?workbook=06_01.xlsx&amp;sheet=A0&amp;row=184&amp;col=16&amp;number=9.97e-13&amp;sourceID=12","9.97e-13")</f>
        <v>9.97e-13</v>
      </c>
      <c r="Q184" s="4" t="str">
        <f>HYPERLINK("http://141.218.60.56/~jnz1568/getInfo.php?workbook=06_01.xlsx&amp;sheet=A0&amp;row=184&amp;col=17&amp;number=&amp;sourceID=12","")</f>
        <v/>
      </c>
      <c r="R184" s="4" t="str">
        <f>HYPERLINK("http://141.218.60.56/~jnz1568/getInfo.php?workbook=06_01.xlsx&amp;sheet=A0&amp;row=184&amp;col=18&amp;number=2.5085e-07&amp;sourceID=12","2.5085e-07")</f>
        <v>2.5085e-07</v>
      </c>
      <c r="S184" s="4" t="str">
        <f>HYPERLINK("http://141.218.60.56/~jnz1568/getInfo.php?workbook=06_01.xlsx&amp;sheet=A0&amp;row=184&amp;col=19&amp;number=&amp;sourceID=12","")</f>
        <v/>
      </c>
      <c r="T184" s="4" t="str">
        <f>HYPERLINK("http://141.218.60.56/~jnz1568/getInfo.php?workbook=06_01.xlsx&amp;sheet=A0&amp;row=184&amp;col=20&amp;number=&amp;sourceID=12","")</f>
        <v/>
      </c>
      <c r="U184" s="4" t="str">
        <f>HYPERLINK("http://141.218.60.56/~jnz1568/getInfo.php?workbook=06_01.xlsx&amp;sheet=A0&amp;row=184&amp;col=21&amp;number=&amp;sourceID=13","")</f>
        <v/>
      </c>
      <c r="V184" s="4" t="str">
        <f>HYPERLINK("http://141.218.60.56/~jnz1568/getInfo.php?workbook=06_01.xlsx&amp;sheet=A0&amp;row=184&amp;col=22&amp;number=&amp;sourceID=13","")</f>
        <v/>
      </c>
      <c r="W184" s="4" t="str">
        <f>HYPERLINK("http://141.218.60.56/~jnz1568/getInfo.php?workbook=06_01.xlsx&amp;sheet=A0&amp;row=184&amp;col=23&amp;number=&amp;sourceID=13","")</f>
        <v/>
      </c>
      <c r="X184" s="4" t="str">
        <f>HYPERLINK("http://141.218.60.56/~jnz1568/getInfo.php?workbook=06_01.xlsx&amp;sheet=A0&amp;row=184&amp;col=24&amp;number=&amp;sourceID=13","")</f>
        <v/>
      </c>
      <c r="Y184" s="4" t="str">
        <f>HYPERLINK("http://141.218.60.56/~jnz1568/getInfo.php?workbook=06_01.xlsx&amp;sheet=A0&amp;row=184&amp;col=25&amp;number=&amp;sourceID=13","")</f>
        <v/>
      </c>
      <c r="Z184" s="4" t="str">
        <f>HYPERLINK("http://141.218.60.56/~jnz1568/getInfo.php?workbook=06_01.xlsx&amp;sheet=A0&amp;row=184&amp;col=26&amp;number=&amp;sourceID=13","")</f>
        <v/>
      </c>
    </row>
    <row r="185" spans="1:26">
      <c r="A185" s="3">
        <v>6</v>
      </c>
      <c r="B185" s="3">
        <v>1</v>
      </c>
      <c r="C185" s="3">
        <v>20</v>
      </c>
      <c r="D185" s="3">
        <v>18</v>
      </c>
      <c r="E185" s="3">
        <f>((1/(INDEX(E0!J$4:J$28,C185,1)-INDEX(E0!J$4:J$28,D185,1))))*100000000</f>
        <v>0</v>
      </c>
      <c r="F185" s="4" t="str">
        <f>HYPERLINK("http://141.218.60.56/~jnz1568/getInfo.php?workbook=06_01.xlsx&amp;sheet=A0&amp;row=185&amp;col=6&amp;number=&amp;sourceID=18","")</f>
        <v/>
      </c>
      <c r="G185" s="4" t="str">
        <f>HYPERLINK("http://141.218.60.56/~jnz1568/getInfo.php?workbook=06_01.xlsx&amp;sheet=A0&amp;row=185&amp;col=7&amp;number==&amp;sourceID=11","=")</f>
        <v>=</v>
      </c>
      <c r="H185" s="4" t="str">
        <f>HYPERLINK("http://141.218.60.56/~jnz1568/getInfo.php?workbook=06_01.xlsx&amp;sheet=A0&amp;row=185&amp;col=8&amp;number=0.70626&amp;sourceID=11","0.70626")</f>
        <v>0.70626</v>
      </c>
      <c r="I185" s="4" t="str">
        <f>HYPERLINK("http://141.218.60.56/~jnz1568/getInfo.php?workbook=06_01.xlsx&amp;sheet=A0&amp;row=185&amp;col=9&amp;number=&amp;sourceID=11","")</f>
        <v/>
      </c>
      <c r="J185" s="4" t="str">
        <f>HYPERLINK("http://141.218.60.56/~jnz1568/getInfo.php?workbook=06_01.xlsx&amp;sheet=A0&amp;row=185&amp;col=10&amp;number=&amp;sourceID=11","")</f>
        <v/>
      </c>
      <c r="K185" s="4" t="str">
        <f>HYPERLINK("http://141.218.60.56/~jnz1568/getInfo.php?workbook=06_01.xlsx&amp;sheet=A0&amp;row=185&amp;col=11&amp;number=&amp;sourceID=11","")</f>
        <v/>
      </c>
      <c r="L185" s="4" t="str">
        <f>HYPERLINK("http://141.218.60.56/~jnz1568/getInfo.php?workbook=06_01.xlsx&amp;sheet=A0&amp;row=185&amp;col=12&amp;number=0&amp;sourceID=11","0")</f>
        <v>0</v>
      </c>
      <c r="M185" s="4" t="str">
        <f>HYPERLINK("http://141.218.60.56/~jnz1568/getInfo.php?workbook=06_01.xlsx&amp;sheet=A0&amp;row=185&amp;col=13&amp;number=&amp;sourceID=11","")</f>
        <v/>
      </c>
      <c r="N185" s="4" t="str">
        <f>HYPERLINK("http://141.218.60.56/~jnz1568/getInfo.php?workbook=06_01.xlsx&amp;sheet=A0&amp;row=185&amp;col=14&amp;number=0.70638&amp;sourceID=12","0.70638")</f>
        <v>0.70638</v>
      </c>
      <c r="O185" s="4" t="str">
        <f>HYPERLINK("http://141.218.60.56/~jnz1568/getInfo.php?workbook=06_01.xlsx&amp;sheet=A0&amp;row=185&amp;col=15&amp;number=0.70638&amp;sourceID=12","0.70638")</f>
        <v>0.70638</v>
      </c>
      <c r="P185" s="4" t="str">
        <f>HYPERLINK("http://141.218.60.56/~jnz1568/getInfo.php?workbook=06_01.xlsx&amp;sheet=A0&amp;row=185&amp;col=16&amp;number=&amp;sourceID=12","")</f>
        <v/>
      </c>
      <c r="Q185" s="4" t="str">
        <f>HYPERLINK("http://141.218.60.56/~jnz1568/getInfo.php?workbook=06_01.xlsx&amp;sheet=A0&amp;row=185&amp;col=17&amp;number=&amp;sourceID=12","")</f>
        <v/>
      </c>
      <c r="R185" s="4" t="str">
        <f>HYPERLINK("http://141.218.60.56/~jnz1568/getInfo.php?workbook=06_01.xlsx&amp;sheet=A0&amp;row=185&amp;col=18&amp;number=&amp;sourceID=12","")</f>
        <v/>
      </c>
      <c r="S185" s="4" t="str">
        <f>HYPERLINK("http://141.218.60.56/~jnz1568/getInfo.php?workbook=06_01.xlsx&amp;sheet=A0&amp;row=185&amp;col=19&amp;number=0&amp;sourceID=12","0")</f>
        <v>0</v>
      </c>
      <c r="T185" s="4" t="str">
        <f>HYPERLINK("http://141.218.60.56/~jnz1568/getInfo.php?workbook=06_01.xlsx&amp;sheet=A0&amp;row=185&amp;col=20&amp;number=&amp;sourceID=12","")</f>
        <v/>
      </c>
      <c r="U185" s="4" t="str">
        <f>HYPERLINK("http://141.218.60.56/~jnz1568/getInfo.php?workbook=06_01.xlsx&amp;sheet=A0&amp;row=185&amp;col=21&amp;number=&amp;sourceID=13","")</f>
        <v/>
      </c>
      <c r="V185" s="4" t="str">
        <f>HYPERLINK("http://141.218.60.56/~jnz1568/getInfo.php?workbook=06_01.xlsx&amp;sheet=A0&amp;row=185&amp;col=22&amp;number=&amp;sourceID=13","")</f>
        <v/>
      </c>
      <c r="W185" s="4" t="str">
        <f>HYPERLINK("http://141.218.60.56/~jnz1568/getInfo.php?workbook=06_01.xlsx&amp;sheet=A0&amp;row=185&amp;col=23&amp;number=&amp;sourceID=13","")</f>
        <v/>
      </c>
      <c r="X185" s="4" t="str">
        <f>HYPERLINK("http://141.218.60.56/~jnz1568/getInfo.php?workbook=06_01.xlsx&amp;sheet=A0&amp;row=185&amp;col=24&amp;number=&amp;sourceID=13","")</f>
        <v/>
      </c>
      <c r="Y185" s="4" t="str">
        <f>HYPERLINK("http://141.218.60.56/~jnz1568/getInfo.php?workbook=06_01.xlsx&amp;sheet=A0&amp;row=185&amp;col=25&amp;number=&amp;sourceID=13","")</f>
        <v/>
      </c>
      <c r="Z185" s="4" t="str">
        <f>HYPERLINK("http://141.218.60.56/~jnz1568/getInfo.php?workbook=06_01.xlsx&amp;sheet=A0&amp;row=185&amp;col=26&amp;number=&amp;sourceID=13","")</f>
        <v/>
      </c>
    </row>
    <row r="186" spans="1:26">
      <c r="A186" s="3">
        <v>6</v>
      </c>
      <c r="B186" s="3">
        <v>1</v>
      </c>
      <c r="C186" s="3">
        <v>21</v>
      </c>
      <c r="D186" s="3">
        <v>1</v>
      </c>
      <c r="E186" s="3">
        <f>((1/(INDEX(E0!J$4:J$28,C186,1)-INDEX(E0!J$4:J$28,D186,1))))*100000000</f>
        <v>0</v>
      </c>
      <c r="F186" s="4" t="str">
        <f>HYPERLINK("http://141.218.60.56/~jnz1568/getInfo.php?workbook=06_01.xlsx&amp;sheet=A0&amp;row=186&amp;col=6&amp;number=&amp;sourceID=18","")</f>
        <v/>
      </c>
      <c r="G186" s="4" t="str">
        <f>HYPERLINK("http://141.218.60.56/~jnz1568/getInfo.php?workbook=06_01.xlsx&amp;sheet=A0&amp;row=186&amp;col=7&amp;number==&amp;sourceID=11","=")</f>
        <v>=</v>
      </c>
      <c r="H186" s="4" t="str">
        <f>HYPERLINK("http://141.218.60.56/~jnz1568/getInfo.php?workbook=06_01.xlsx&amp;sheet=A0&amp;row=186&amp;col=8&amp;number=&amp;sourceID=11","")</f>
        <v/>
      </c>
      <c r="I186" s="4" t="str">
        <f>HYPERLINK("http://141.218.60.56/~jnz1568/getInfo.php?workbook=06_01.xlsx&amp;sheet=A0&amp;row=186&amp;col=9&amp;number=&amp;sourceID=11","")</f>
        <v/>
      </c>
      <c r="J186" s="4" t="str">
        <f>HYPERLINK("http://141.218.60.56/~jnz1568/getInfo.php?workbook=06_01.xlsx&amp;sheet=A0&amp;row=186&amp;col=10&amp;number=430.76&amp;sourceID=11","430.76")</f>
        <v>430.76</v>
      </c>
      <c r="K186" s="4" t="str">
        <f>HYPERLINK("http://141.218.60.56/~jnz1568/getInfo.php?workbook=06_01.xlsx&amp;sheet=A0&amp;row=186&amp;col=11&amp;number=&amp;sourceID=11","")</f>
        <v/>
      </c>
      <c r="L186" s="4" t="str">
        <f>HYPERLINK("http://141.218.60.56/~jnz1568/getInfo.php?workbook=06_01.xlsx&amp;sheet=A0&amp;row=186&amp;col=12&amp;number=3.0949e-06&amp;sourceID=11","3.0949e-06")</f>
        <v>3.0949e-06</v>
      </c>
      <c r="M186" s="4" t="str">
        <f>HYPERLINK("http://141.218.60.56/~jnz1568/getInfo.php?workbook=06_01.xlsx&amp;sheet=A0&amp;row=186&amp;col=13&amp;number=&amp;sourceID=11","")</f>
        <v/>
      </c>
      <c r="N186" s="4" t="str">
        <f>HYPERLINK("http://141.218.60.56/~jnz1568/getInfo.php?workbook=06_01.xlsx&amp;sheet=A0&amp;row=186&amp;col=14&amp;number=430.78&amp;sourceID=12","430.78")</f>
        <v>430.78</v>
      </c>
      <c r="O186" s="4" t="str">
        <f>HYPERLINK("http://141.218.60.56/~jnz1568/getInfo.php?workbook=06_01.xlsx&amp;sheet=A0&amp;row=186&amp;col=15&amp;number=&amp;sourceID=12","")</f>
        <v/>
      </c>
      <c r="P186" s="4" t="str">
        <f>HYPERLINK("http://141.218.60.56/~jnz1568/getInfo.php?workbook=06_01.xlsx&amp;sheet=A0&amp;row=186&amp;col=16&amp;number=&amp;sourceID=12","")</f>
        <v/>
      </c>
      <c r="Q186" s="4" t="str">
        <f>HYPERLINK("http://141.218.60.56/~jnz1568/getInfo.php?workbook=06_01.xlsx&amp;sheet=A0&amp;row=186&amp;col=17&amp;number=430.78&amp;sourceID=12","430.78")</f>
        <v>430.78</v>
      </c>
      <c r="R186" s="4" t="str">
        <f>HYPERLINK("http://141.218.60.56/~jnz1568/getInfo.php?workbook=06_01.xlsx&amp;sheet=A0&amp;row=186&amp;col=18&amp;number=&amp;sourceID=12","")</f>
        <v/>
      </c>
      <c r="S186" s="4" t="str">
        <f>HYPERLINK("http://141.218.60.56/~jnz1568/getInfo.php?workbook=06_01.xlsx&amp;sheet=A0&amp;row=186&amp;col=19&amp;number=3.1221e-06&amp;sourceID=12","3.1221e-06")</f>
        <v>3.1221e-06</v>
      </c>
      <c r="T186" s="4" t="str">
        <f>HYPERLINK("http://141.218.60.56/~jnz1568/getInfo.php?workbook=06_01.xlsx&amp;sheet=A0&amp;row=186&amp;col=20&amp;number=&amp;sourceID=12","")</f>
        <v/>
      </c>
      <c r="U186" s="4" t="str">
        <f>HYPERLINK("http://141.218.60.56/~jnz1568/getInfo.php?workbook=06_01.xlsx&amp;sheet=A0&amp;row=186&amp;col=21&amp;number=&amp;sourceID=13","")</f>
        <v/>
      </c>
      <c r="V186" s="4" t="str">
        <f>HYPERLINK("http://141.218.60.56/~jnz1568/getInfo.php?workbook=06_01.xlsx&amp;sheet=A0&amp;row=186&amp;col=22&amp;number=&amp;sourceID=13","")</f>
        <v/>
      </c>
      <c r="W186" s="4" t="str">
        <f>HYPERLINK("http://141.218.60.56/~jnz1568/getInfo.php?workbook=06_01.xlsx&amp;sheet=A0&amp;row=186&amp;col=23&amp;number=&amp;sourceID=13","")</f>
        <v/>
      </c>
      <c r="X186" s="4" t="str">
        <f>HYPERLINK("http://141.218.60.56/~jnz1568/getInfo.php?workbook=06_01.xlsx&amp;sheet=A0&amp;row=186&amp;col=24&amp;number=&amp;sourceID=13","")</f>
        <v/>
      </c>
      <c r="Y186" s="4" t="str">
        <f>HYPERLINK("http://141.218.60.56/~jnz1568/getInfo.php?workbook=06_01.xlsx&amp;sheet=A0&amp;row=186&amp;col=25&amp;number=&amp;sourceID=13","")</f>
        <v/>
      </c>
      <c r="Z186" s="4" t="str">
        <f>HYPERLINK("http://141.218.60.56/~jnz1568/getInfo.php?workbook=06_01.xlsx&amp;sheet=A0&amp;row=186&amp;col=26&amp;number=&amp;sourceID=13","")</f>
        <v/>
      </c>
    </row>
    <row r="187" spans="1:26">
      <c r="A187" s="3">
        <v>6</v>
      </c>
      <c r="B187" s="3">
        <v>1</v>
      </c>
      <c r="C187" s="3">
        <v>21</v>
      </c>
      <c r="D187" s="3">
        <v>2</v>
      </c>
      <c r="E187" s="3">
        <f>((1/(INDEX(E0!J$4:J$28,C187,1)-INDEX(E0!J$4:J$28,D187,1))))*100000000</f>
        <v>0</v>
      </c>
      <c r="F187" s="4" t="str">
        <f>HYPERLINK("http://141.218.60.56/~jnz1568/getInfo.php?workbook=06_01.xlsx&amp;sheet=A0&amp;row=187&amp;col=6&amp;number=&amp;sourceID=18","")</f>
        <v/>
      </c>
      <c r="G187" s="4" t="str">
        <f>HYPERLINK("http://141.218.60.56/~jnz1568/getInfo.php?workbook=06_01.xlsx&amp;sheet=A0&amp;row=187&amp;col=7&amp;number==&amp;sourceID=11","=")</f>
        <v>=</v>
      </c>
      <c r="H187" s="4" t="str">
        <f>HYPERLINK("http://141.218.60.56/~jnz1568/getInfo.php?workbook=06_01.xlsx&amp;sheet=A0&amp;row=187&amp;col=8&amp;number=&amp;sourceID=11","")</f>
        <v/>
      </c>
      <c r="I187" s="4" t="str">
        <f>HYPERLINK("http://141.218.60.56/~jnz1568/getInfo.php?workbook=06_01.xlsx&amp;sheet=A0&amp;row=187&amp;col=9&amp;number=1499700&amp;sourceID=11","1499700")</f>
        <v>1499700</v>
      </c>
      <c r="J187" s="4" t="str">
        <f>HYPERLINK("http://141.218.60.56/~jnz1568/getInfo.php?workbook=06_01.xlsx&amp;sheet=A0&amp;row=187&amp;col=10&amp;number=&amp;sourceID=11","")</f>
        <v/>
      </c>
      <c r="K187" s="4" t="str">
        <f>HYPERLINK("http://141.218.60.56/~jnz1568/getInfo.php?workbook=06_01.xlsx&amp;sheet=A0&amp;row=187&amp;col=11&amp;number=&amp;sourceID=11","")</f>
        <v/>
      </c>
      <c r="L187" s="4" t="str">
        <f>HYPERLINK("http://141.218.60.56/~jnz1568/getInfo.php?workbook=06_01.xlsx&amp;sheet=A0&amp;row=187&amp;col=12&amp;number=&amp;sourceID=11","")</f>
        <v/>
      </c>
      <c r="M187" s="4" t="str">
        <f>HYPERLINK("http://141.218.60.56/~jnz1568/getInfo.php?workbook=06_01.xlsx&amp;sheet=A0&amp;row=187&amp;col=13&amp;number=0.00027587&amp;sourceID=11","0.00027587")</f>
        <v>0.00027587</v>
      </c>
      <c r="N187" s="4" t="str">
        <f>HYPERLINK("http://141.218.60.56/~jnz1568/getInfo.php?workbook=06_01.xlsx&amp;sheet=A0&amp;row=187&amp;col=14&amp;number=1499700&amp;sourceID=12","1499700")</f>
        <v>1499700</v>
      </c>
      <c r="O187" s="4" t="str">
        <f>HYPERLINK("http://141.218.60.56/~jnz1568/getInfo.php?workbook=06_01.xlsx&amp;sheet=A0&amp;row=187&amp;col=15&amp;number=&amp;sourceID=12","")</f>
        <v/>
      </c>
      <c r="P187" s="4" t="str">
        <f>HYPERLINK("http://141.218.60.56/~jnz1568/getInfo.php?workbook=06_01.xlsx&amp;sheet=A0&amp;row=187&amp;col=16&amp;number=1499700&amp;sourceID=12","1499700")</f>
        <v>1499700</v>
      </c>
      <c r="Q187" s="4" t="str">
        <f>HYPERLINK("http://141.218.60.56/~jnz1568/getInfo.php?workbook=06_01.xlsx&amp;sheet=A0&amp;row=187&amp;col=17&amp;number=&amp;sourceID=12","")</f>
        <v/>
      </c>
      <c r="R187" s="4" t="str">
        <f>HYPERLINK("http://141.218.60.56/~jnz1568/getInfo.php?workbook=06_01.xlsx&amp;sheet=A0&amp;row=187&amp;col=18&amp;number=&amp;sourceID=12","")</f>
        <v/>
      </c>
      <c r="S187" s="4" t="str">
        <f>HYPERLINK("http://141.218.60.56/~jnz1568/getInfo.php?workbook=06_01.xlsx&amp;sheet=A0&amp;row=187&amp;col=19&amp;number=&amp;sourceID=12","")</f>
        <v/>
      </c>
      <c r="T187" s="4" t="str">
        <f>HYPERLINK("http://141.218.60.56/~jnz1568/getInfo.php?workbook=06_01.xlsx&amp;sheet=A0&amp;row=187&amp;col=20&amp;number=0.00027588&amp;sourceID=12","0.00027588")</f>
        <v>0.00027588</v>
      </c>
      <c r="U187" s="4" t="str">
        <f>HYPERLINK("http://141.218.60.56/~jnz1568/getInfo.php?workbook=06_01.xlsx&amp;sheet=A0&amp;row=187&amp;col=21&amp;number=&amp;sourceID=13","")</f>
        <v/>
      </c>
      <c r="V187" s="4" t="str">
        <f>HYPERLINK("http://141.218.60.56/~jnz1568/getInfo.php?workbook=06_01.xlsx&amp;sheet=A0&amp;row=187&amp;col=22&amp;number=&amp;sourceID=13","")</f>
        <v/>
      </c>
      <c r="W187" s="4" t="str">
        <f>HYPERLINK("http://141.218.60.56/~jnz1568/getInfo.php?workbook=06_01.xlsx&amp;sheet=A0&amp;row=187&amp;col=23&amp;number=&amp;sourceID=13","")</f>
        <v/>
      </c>
      <c r="X187" s="4" t="str">
        <f>HYPERLINK("http://141.218.60.56/~jnz1568/getInfo.php?workbook=06_01.xlsx&amp;sheet=A0&amp;row=187&amp;col=24&amp;number=&amp;sourceID=13","")</f>
        <v/>
      </c>
      <c r="Y187" s="4" t="str">
        <f>HYPERLINK("http://141.218.60.56/~jnz1568/getInfo.php?workbook=06_01.xlsx&amp;sheet=A0&amp;row=187&amp;col=25&amp;number=&amp;sourceID=13","")</f>
        <v/>
      </c>
      <c r="Z187" s="4" t="str">
        <f>HYPERLINK("http://141.218.60.56/~jnz1568/getInfo.php?workbook=06_01.xlsx&amp;sheet=A0&amp;row=187&amp;col=26&amp;number=&amp;sourceID=13","")</f>
        <v/>
      </c>
    </row>
    <row r="188" spans="1:26">
      <c r="A188" s="3">
        <v>6</v>
      </c>
      <c r="B188" s="3">
        <v>1</v>
      </c>
      <c r="C188" s="3">
        <v>21</v>
      </c>
      <c r="D188" s="3">
        <v>3</v>
      </c>
      <c r="E188" s="3">
        <f>((1/(INDEX(E0!J$4:J$28,C188,1)-INDEX(E0!J$4:J$28,D188,1))))*100000000</f>
        <v>0</v>
      </c>
      <c r="F188" s="4" t="str">
        <f>HYPERLINK("http://141.218.60.56/~jnz1568/getInfo.php?workbook=06_01.xlsx&amp;sheet=A0&amp;row=188&amp;col=6&amp;number=&amp;sourceID=18","")</f>
        <v/>
      </c>
      <c r="G188" s="4" t="str">
        <f>HYPERLINK("http://141.218.60.56/~jnz1568/getInfo.php?workbook=06_01.xlsx&amp;sheet=A0&amp;row=188&amp;col=7&amp;number==&amp;sourceID=11","=")</f>
        <v>=</v>
      </c>
      <c r="H188" s="4" t="str">
        <f>HYPERLINK("http://141.218.60.56/~jnz1568/getInfo.php?workbook=06_01.xlsx&amp;sheet=A0&amp;row=188&amp;col=8&amp;number=&amp;sourceID=11","")</f>
        <v/>
      </c>
      <c r="I188" s="4" t="str">
        <f>HYPERLINK("http://141.218.60.56/~jnz1568/getInfo.php?workbook=06_01.xlsx&amp;sheet=A0&amp;row=188&amp;col=9&amp;number=&amp;sourceID=11","")</f>
        <v/>
      </c>
      <c r="J188" s="4" t="str">
        <f>HYPERLINK("http://141.218.60.56/~jnz1568/getInfo.php?workbook=06_01.xlsx&amp;sheet=A0&amp;row=188&amp;col=10&amp;number=118.59&amp;sourceID=11","118.59")</f>
        <v>118.59</v>
      </c>
      <c r="K188" s="4" t="str">
        <f>HYPERLINK("http://141.218.60.56/~jnz1568/getInfo.php?workbook=06_01.xlsx&amp;sheet=A0&amp;row=188&amp;col=11&amp;number=&amp;sourceID=11","")</f>
        <v/>
      </c>
      <c r="L188" s="4" t="str">
        <f>HYPERLINK("http://141.218.60.56/~jnz1568/getInfo.php?workbook=06_01.xlsx&amp;sheet=A0&amp;row=188&amp;col=12&amp;number=1.5683e-07&amp;sourceID=11","1.5683e-07")</f>
        <v>1.5683e-07</v>
      </c>
      <c r="M188" s="4" t="str">
        <f>HYPERLINK("http://141.218.60.56/~jnz1568/getInfo.php?workbook=06_01.xlsx&amp;sheet=A0&amp;row=188&amp;col=13&amp;number=&amp;sourceID=11","")</f>
        <v/>
      </c>
      <c r="N188" s="4" t="str">
        <f>HYPERLINK("http://141.218.60.56/~jnz1568/getInfo.php?workbook=06_01.xlsx&amp;sheet=A0&amp;row=188&amp;col=14&amp;number=118.6&amp;sourceID=12","118.6")</f>
        <v>118.6</v>
      </c>
      <c r="O188" s="4" t="str">
        <f>HYPERLINK("http://141.218.60.56/~jnz1568/getInfo.php?workbook=06_01.xlsx&amp;sheet=A0&amp;row=188&amp;col=15&amp;number=&amp;sourceID=12","")</f>
        <v/>
      </c>
      <c r="P188" s="4" t="str">
        <f>HYPERLINK("http://141.218.60.56/~jnz1568/getInfo.php?workbook=06_01.xlsx&amp;sheet=A0&amp;row=188&amp;col=16&amp;number=&amp;sourceID=12","")</f>
        <v/>
      </c>
      <c r="Q188" s="4" t="str">
        <f>HYPERLINK("http://141.218.60.56/~jnz1568/getInfo.php?workbook=06_01.xlsx&amp;sheet=A0&amp;row=188&amp;col=17&amp;number=118.6&amp;sourceID=12","118.6")</f>
        <v>118.6</v>
      </c>
      <c r="R188" s="4" t="str">
        <f>HYPERLINK("http://141.218.60.56/~jnz1568/getInfo.php?workbook=06_01.xlsx&amp;sheet=A0&amp;row=188&amp;col=18&amp;number=&amp;sourceID=12","")</f>
        <v/>
      </c>
      <c r="S188" s="4" t="str">
        <f>HYPERLINK("http://141.218.60.56/~jnz1568/getInfo.php?workbook=06_01.xlsx&amp;sheet=A0&amp;row=188&amp;col=19&amp;number=1.5744e-07&amp;sourceID=12","1.5744e-07")</f>
        <v>1.5744e-07</v>
      </c>
      <c r="T188" s="4" t="str">
        <f>HYPERLINK("http://141.218.60.56/~jnz1568/getInfo.php?workbook=06_01.xlsx&amp;sheet=A0&amp;row=188&amp;col=20&amp;number=&amp;sourceID=12","")</f>
        <v/>
      </c>
      <c r="U188" s="4" t="str">
        <f>HYPERLINK("http://141.218.60.56/~jnz1568/getInfo.php?workbook=06_01.xlsx&amp;sheet=A0&amp;row=188&amp;col=21&amp;number=&amp;sourceID=13","")</f>
        <v/>
      </c>
      <c r="V188" s="4" t="str">
        <f>HYPERLINK("http://141.218.60.56/~jnz1568/getInfo.php?workbook=06_01.xlsx&amp;sheet=A0&amp;row=188&amp;col=22&amp;number=&amp;sourceID=13","")</f>
        <v/>
      </c>
      <c r="W188" s="4" t="str">
        <f>HYPERLINK("http://141.218.60.56/~jnz1568/getInfo.php?workbook=06_01.xlsx&amp;sheet=A0&amp;row=188&amp;col=23&amp;number=&amp;sourceID=13","")</f>
        <v/>
      </c>
      <c r="X188" s="4" t="str">
        <f>HYPERLINK("http://141.218.60.56/~jnz1568/getInfo.php?workbook=06_01.xlsx&amp;sheet=A0&amp;row=188&amp;col=24&amp;number=&amp;sourceID=13","")</f>
        <v/>
      </c>
      <c r="Y188" s="4" t="str">
        <f>HYPERLINK("http://141.218.60.56/~jnz1568/getInfo.php?workbook=06_01.xlsx&amp;sheet=A0&amp;row=188&amp;col=25&amp;number=&amp;sourceID=13","")</f>
        <v/>
      </c>
      <c r="Z188" s="4" t="str">
        <f>HYPERLINK("http://141.218.60.56/~jnz1568/getInfo.php?workbook=06_01.xlsx&amp;sheet=A0&amp;row=188&amp;col=26&amp;number=&amp;sourceID=13","")</f>
        <v/>
      </c>
    </row>
    <row r="189" spans="1:26">
      <c r="A189" s="3">
        <v>6</v>
      </c>
      <c r="B189" s="3">
        <v>1</v>
      </c>
      <c r="C189" s="3">
        <v>21</v>
      </c>
      <c r="D189" s="3">
        <v>4</v>
      </c>
      <c r="E189" s="3">
        <f>((1/(INDEX(E0!J$4:J$28,C189,1)-INDEX(E0!J$4:J$28,D189,1))))*100000000</f>
        <v>0</v>
      </c>
      <c r="F189" s="4" t="str">
        <f>HYPERLINK("http://141.218.60.56/~jnz1568/getInfo.php?workbook=06_01.xlsx&amp;sheet=A0&amp;row=189&amp;col=6&amp;number=&amp;sourceID=18","")</f>
        <v/>
      </c>
      <c r="G189" s="4" t="str">
        <f>HYPERLINK("http://141.218.60.56/~jnz1568/getInfo.php?workbook=06_01.xlsx&amp;sheet=A0&amp;row=189&amp;col=7&amp;number==&amp;sourceID=11","=")</f>
        <v>=</v>
      </c>
      <c r="H189" s="4" t="str">
        <f>HYPERLINK("http://141.218.60.56/~jnz1568/getInfo.php?workbook=06_01.xlsx&amp;sheet=A0&amp;row=189&amp;col=8&amp;number=&amp;sourceID=11","")</f>
        <v/>
      </c>
      <c r="I189" s="4" t="str">
        <f>HYPERLINK("http://141.218.60.56/~jnz1568/getInfo.php?workbook=06_01.xlsx&amp;sheet=A0&amp;row=189&amp;col=9&amp;number=428320&amp;sourceID=11","428320")</f>
        <v>428320</v>
      </c>
      <c r="J189" s="4" t="str">
        <f>HYPERLINK("http://141.218.60.56/~jnz1568/getInfo.php?workbook=06_01.xlsx&amp;sheet=A0&amp;row=189&amp;col=10&amp;number=&amp;sourceID=11","")</f>
        <v/>
      </c>
      <c r="K189" s="4" t="str">
        <f>HYPERLINK("http://141.218.60.56/~jnz1568/getInfo.php?workbook=06_01.xlsx&amp;sheet=A0&amp;row=189&amp;col=11&amp;number=0.0023385&amp;sourceID=11","0.0023385")</f>
        <v>0.0023385</v>
      </c>
      <c r="L189" s="4" t="str">
        <f>HYPERLINK("http://141.218.60.56/~jnz1568/getInfo.php?workbook=06_01.xlsx&amp;sheet=A0&amp;row=189&amp;col=12&amp;number=&amp;sourceID=11","")</f>
        <v/>
      </c>
      <c r="M189" s="4" t="str">
        <f>HYPERLINK("http://141.218.60.56/~jnz1568/getInfo.php?workbook=06_01.xlsx&amp;sheet=A0&amp;row=189&amp;col=13&amp;number=5.5115e-05&amp;sourceID=11","5.5115e-05")</f>
        <v>5.5115e-05</v>
      </c>
      <c r="N189" s="4" t="str">
        <f>HYPERLINK("http://141.218.60.56/~jnz1568/getInfo.php?workbook=06_01.xlsx&amp;sheet=A0&amp;row=189&amp;col=14&amp;number=428340&amp;sourceID=12","428340")</f>
        <v>428340</v>
      </c>
      <c r="O189" s="4" t="str">
        <f>HYPERLINK("http://141.218.60.56/~jnz1568/getInfo.php?workbook=06_01.xlsx&amp;sheet=A0&amp;row=189&amp;col=15&amp;number=&amp;sourceID=12","")</f>
        <v/>
      </c>
      <c r="P189" s="4" t="str">
        <f>HYPERLINK("http://141.218.60.56/~jnz1568/getInfo.php?workbook=06_01.xlsx&amp;sheet=A0&amp;row=189&amp;col=16&amp;number=428340&amp;sourceID=12","428340")</f>
        <v>428340</v>
      </c>
      <c r="Q189" s="4" t="str">
        <f>HYPERLINK("http://141.218.60.56/~jnz1568/getInfo.php?workbook=06_01.xlsx&amp;sheet=A0&amp;row=189&amp;col=17&amp;number=&amp;sourceID=12","")</f>
        <v/>
      </c>
      <c r="R189" s="4" t="str">
        <f>HYPERLINK("http://141.218.60.56/~jnz1568/getInfo.php?workbook=06_01.xlsx&amp;sheet=A0&amp;row=189&amp;col=18&amp;number=0.002341&amp;sourceID=12","0.002341")</f>
        <v>0.002341</v>
      </c>
      <c r="S189" s="4" t="str">
        <f>HYPERLINK("http://141.218.60.56/~jnz1568/getInfo.php?workbook=06_01.xlsx&amp;sheet=A0&amp;row=189&amp;col=19&amp;number=&amp;sourceID=12","")</f>
        <v/>
      </c>
      <c r="T189" s="4" t="str">
        <f>HYPERLINK("http://141.218.60.56/~jnz1568/getInfo.php?workbook=06_01.xlsx&amp;sheet=A0&amp;row=189&amp;col=20&amp;number=5.5118e-05&amp;sourceID=12","5.5118e-05")</f>
        <v>5.5118e-05</v>
      </c>
      <c r="U189" s="4" t="str">
        <f>HYPERLINK("http://141.218.60.56/~jnz1568/getInfo.php?workbook=06_01.xlsx&amp;sheet=A0&amp;row=189&amp;col=21&amp;number=&amp;sourceID=13","")</f>
        <v/>
      </c>
      <c r="V189" s="4" t="str">
        <f>HYPERLINK("http://141.218.60.56/~jnz1568/getInfo.php?workbook=06_01.xlsx&amp;sheet=A0&amp;row=189&amp;col=22&amp;number=&amp;sourceID=13","")</f>
        <v/>
      </c>
      <c r="W189" s="4" t="str">
        <f>HYPERLINK("http://141.218.60.56/~jnz1568/getInfo.php?workbook=06_01.xlsx&amp;sheet=A0&amp;row=189&amp;col=23&amp;number=&amp;sourceID=13","")</f>
        <v/>
      </c>
      <c r="X189" s="4" t="str">
        <f>HYPERLINK("http://141.218.60.56/~jnz1568/getInfo.php?workbook=06_01.xlsx&amp;sheet=A0&amp;row=189&amp;col=24&amp;number=&amp;sourceID=13","")</f>
        <v/>
      </c>
      <c r="Y189" s="4" t="str">
        <f>HYPERLINK("http://141.218.60.56/~jnz1568/getInfo.php?workbook=06_01.xlsx&amp;sheet=A0&amp;row=189&amp;col=25&amp;number=&amp;sourceID=13","")</f>
        <v/>
      </c>
      <c r="Z189" s="4" t="str">
        <f>HYPERLINK("http://141.218.60.56/~jnz1568/getInfo.php?workbook=06_01.xlsx&amp;sheet=A0&amp;row=189&amp;col=26&amp;number=&amp;sourceID=13","")</f>
        <v/>
      </c>
    </row>
    <row r="190" spans="1:26">
      <c r="A190" s="3">
        <v>6</v>
      </c>
      <c r="B190" s="3">
        <v>1</v>
      </c>
      <c r="C190" s="3">
        <v>21</v>
      </c>
      <c r="D190" s="3">
        <v>5</v>
      </c>
      <c r="E190" s="3">
        <f>((1/(INDEX(E0!J$4:J$28,C190,1)-INDEX(E0!J$4:J$28,D190,1))))*100000000</f>
        <v>0</v>
      </c>
      <c r="F190" s="4" t="str">
        <f>HYPERLINK("http://141.218.60.56/~jnz1568/getInfo.php?workbook=06_01.xlsx&amp;sheet=A0&amp;row=190&amp;col=6&amp;number=&amp;sourceID=18","")</f>
        <v/>
      </c>
      <c r="G190" s="4" t="str">
        <f>HYPERLINK("http://141.218.60.56/~jnz1568/getInfo.php?workbook=06_01.xlsx&amp;sheet=A0&amp;row=190&amp;col=7&amp;number==&amp;sourceID=11","=")</f>
        <v>=</v>
      </c>
      <c r="H190" s="4" t="str">
        <f>HYPERLINK("http://141.218.60.56/~jnz1568/getInfo.php?workbook=06_01.xlsx&amp;sheet=A0&amp;row=190&amp;col=8&amp;number=&amp;sourceID=11","")</f>
        <v/>
      </c>
      <c r="I190" s="4" t="str">
        <f>HYPERLINK("http://141.218.60.56/~jnz1568/getInfo.php?workbook=06_01.xlsx&amp;sheet=A0&amp;row=190&amp;col=9&amp;number=974.65&amp;sourceID=11","974.65")</f>
        <v>974.65</v>
      </c>
      <c r="J190" s="4" t="str">
        <f>HYPERLINK("http://141.218.60.56/~jnz1568/getInfo.php?workbook=06_01.xlsx&amp;sheet=A0&amp;row=190&amp;col=10&amp;number=&amp;sourceID=11","")</f>
        <v/>
      </c>
      <c r="K190" s="4" t="str">
        <f>HYPERLINK("http://141.218.60.56/~jnz1568/getInfo.php?workbook=06_01.xlsx&amp;sheet=A0&amp;row=190&amp;col=11&amp;number=&amp;sourceID=11","")</f>
        <v/>
      </c>
      <c r="L190" s="4" t="str">
        <f>HYPERLINK("http://141.218.60.56/~jnz1568/getInfo.php?workbook=06_01.xlsx&amp;sheet=A0&amp;row=190&amp;col=12&amp;number=&amp;sourceID=11","")</f>
        <v/>
      </c>
      <c r="M190" s="4" t="str">
        <f>HYPERLINK("http://141.218.60.56/~jnz1568/getInfo.php?workbook=06_01.xlsx&amp;sheet=A0&amp;row=190&amp;col=13&amp;number=2.0535e-08&amp;sourceID=11","2.0535e-08")</f>
        <v>2.0535e-08</v>
      </c>
      <c r="N190" s="4" t="str">
        <f>HYPERLINK("http://141.218.60.56/~jnz1568/getInfo.php?workbook=06_01.xlsx&amp;sheet=A0&amp;row=190&amp;col=14&amp;number=974.69&amp;sourceID=12","974.69")</f>
        <v>974.69</v>
      </c>
      <c r="O190" s="4" t="str">
        <f>HYPERLINK("http://141.218.60.56/~jnz1568/getInfo.php?workbook=06_01.xlsx&amp;sheet=A0&amp;row=190&amp;col=15&amp;number=&amp;sourceID=12","")</f>
        <v/>
      </c>
      <c r="P190" s="4" t="str">
        <f>HYPERLINK("http://141.218.60.56/~jnz1568/getInfo.php?workbook=06_01.xlsx&amp;sheet=A0&amp;row=190&amp;col=16&amp;number=974.69&amp;sourceID=12","974.69")</f>
        <v>974.69</v>
      </c>
      <c r="Q190" s="4" t="str">
        <f>HYPERLINK("http://141.218.60.56/~jnz1568/getInfo.php?workbook=06_01.xlsx&amp;sheet=A0&amp;row=190&amp;col=17&amp;number=&amp;sourceID=12","")</f>
        <v/>
      </c>
      <c r="R190" s="4" t="str">
        <f>HYPERLINK("http://141.218.60.56/~jnz1568/getInfo.php?workbook=06_01.xlsx&amp;sheet=A0&amp;row=190&amp;col=18&amp;number=&amp;sourceID=12","")</f>
        <v/>
      </c>
      <c r="S190" s="4" t="str">
        <f>HYPERLINK("http://141.218.60.56/~jnz1568/getInfo.php?workbook=06_01.xlsx&amp;sheet=A0&amp;row=190&amp;col=19&amp;number=&amp;sourceID=12","")</f>
        <v/>
      </c>
      <c r="T190" s="4" t="str">
        <f>HYPERLINK("http://141.218.60.56/~jnz1568/getInfo.php?workbook=06_01.xlsx&amp;sheet=A0&amp;row=190&amp;col=20&amp;number=2.0536e-08&amp;sourceID=12","2.0536e-08")</f>
        <v>2.0536e-08</v>
      </c>
      <c r="U190" s="4" t="str">
        <f>HYPERLINK("http://141.218.60.56/~jnz1568/getInfo.php?workbook=06_01.xlsx&amp;sheet=A0&amp;row=190&amp;col=21&amp;number=&amp;sourceID=13","")</f>
        <v/>
      </c>
      <c r="V190" s="4" t="str">
        <f>HYPERLINK("http://141.218.60.56/~jnz1568/getInfo.php?workbook=06_01.xlsx&amp;sheet=A0&amp;row=190&amp;col=22&amp;number=&amp;sourceID=13","")</f>
        <v/>
      </c>
      <c r="W190" s="4" t="str">
        <f>HYPERLINK("http://141.218.60.56/~jnz1568/getInfo.php?workbook=06_01.xlsx&amp;sheet=A0&amp;row=190&amp;col=23&amp;number=&amp;sourceID=13","")</f>
        <v/>
      </c>
      <c r="X190" s="4" t="str">
        <f>HYPERLINK("http://141.218.60.56/~jnz1568/getInfo.php?workbook=06_01.xlsx&amp;sheet=A0&amp;row=190&amp;col=24&amp;number=&amp;sourceID=13","")</f>
        <v/>
      </c>
      <c r="Y190" s="4" t="str">
        <f>HYPERLINK("http://141.218.60.56/~jnz1568/getInfo.php?workbook=06_01.xlsx&amp;sheet=A0&amp;row=190&amp;col=25&amp;number=&amp;sourceID=13","")</f>
        <v/>
      </c>
      <c r="Z190" s="4" t="str">
        <f>HYPERLINK("http://141.218.60.56/~jnz1568/getInfo.php?workbook=06_01.xlsx&amp;sheet=A0&amp;row=190&amp;col=26&amp;number=&amp;sourceID=13","")</f>
        <v/>
      </c>
    </row>
    <row r="191" spans="1:26">
      <c r="A191" s="3">
        <v>6</v>
      </c>
      <c r="B191" s="3">
        <v>1</v>
      </c>
      <c r="C191" s="3">
        <v>21</v>
      </c>
      <c r="D191" s="3">
        <v>6</v>
      </c>
      <c r="E191" s="3">
        <f>((1/(INDEX(E0!J$4:J$28,C191,1)-INDEX(E0!J$4:J$28,D191,1))))*100000000</f>
        <v>0</v>
      </c>
      <c r="F191" s="4" t="str">
        <f>HYPERLINK("http://141.218.60.56/~jnz1568/getInfo.php?workbook=06_01.xlsx&amp;sheet=A0&amp;row=191&amp;col=6&amp;number=&amp;sourceID=18","")</f>
        <v/>
      </c>
      <c r="G191" s="4" t="str">
        <f>HYPERLINK("http://141.218.60.56/~jnz1568/getInfo.php?workbook=06_01.xlsx&amp;sheet=A0&amp;row=191&amp;col=7&amp;number==&amp;sourceID=11","=")</f>
        <v>=</v>
      </c>
      <c r="H191" s="4" t="str">
        <f>HYPERLINK("http://141.218.60.56/~jnz1568/getInfo.php?workbook=06_01.xlsx&amp;sheet=A0&amp;row=191&amp;col=8&amp;number=&amp;sourceID=11","")</f>
        <v/>
      </c>
      <c r="I191" s="4" t="str">
        <f>HYPERLINK("http://141.218.60.56/~jnz1568/getInfo.php?workbook=06_01.xlsx&amp;sheet=A0&amp;row=191&amp;col=9&amp;number=&amp;sourceID=11","")</f>
        <v/>
      </c>
      <c r="J191" s="4" t="str">
        <f>HYPERLINK("http://141.218.60.56/~jnz1568/getInfo.php?workbook=06_01.xlsx&amp;sheet=A0&amp;row=191&amp;col=10&amp;number=1.7846&amp;sourceID=11","1.7846")</f>
        <v>1.7846</v>
      </c>
      <c r="K191" s="4" t="str">
        <f>HYPERLINK("http://141.218.60.56/~jnz1568/getInfo.php?workbook=06_01.xlsx&amp;sheet=A0&amp;row=191&amp;col=11&amp;number=&amp;sourceID=11","")</f>
        <v/>
      </c>
      <c r="L191" s="4" t="str">
        <f>HYPERLINK("http://141.218.60.56/~jnz1568/getInfo.php?workbook=06_01.xlsx&amp;sheet=A0&amp;row=191&amp;col=12&amp;number=1.792e-10&amp;sourceID=11","1.792e-10")</f>
        <v>1.792e-10</v>
      </c>
      <c r="M191" s="4" t="str">
        <f>HYPERLINK("http://141.218.60.56/~jnz1568/getInfo.php?workbook=06_01.xlsx&amp;sheet=A0&amp;row=191&amp;col=13&amp;number=&amp;sourceID=11","")</f>
        <v/>
      </c>
      <c r="N191" s="4" t="str">
        <f>HYPERLINK("http://141.218.60.56/~jnz1568/getInfo.php?workbook=06_01.xlsx&amp;sheet=A0&amp;row=191&amp;col=14&amp;number=1.7847&amp;sourceID=12","1.7847")</f>
        <v>1.7847</v>
      </c>
      <c r="O191" s="4" t="str">
        <f>HYPERLINK("http://141.218.60.56/~jnz1568/getInfo.php?workbook=06_01.xlsx&amp;sheet=A0&amp;row=191&amp;col=15&amp;number=&amp;sourceID=12","")</f>
        <v/>
      </c>
      <c r="P191" s="4" t="str">
        <f>HYPERLINK("http://141.218.60.56/~jnz1568/getInfo.php?workbook=06_01.xlsx&amp;sheet=A0&amp;row=191&amp;col=16&amp;number=&amp;sourceID=12","")</f>
        <v/>
      </c>
      <c r="Q191" s="4" t="str">
        <f>HYPERLINK("http://141.218.60.56/~jnz1568/getInfo.php?workbook=06_01.xlsx&amp;sheet=A0&amp;row=191&amp;col=17&amp;number=1.7847&amp;sourceID=12","1.7847")</f>
        <v>1.7847</v>
      </c>
      <c r="R191" s="4" t="str">
        <f>HYPERLINK("http://141.218.60.56/~jnz1568/getInfo.php?workbook=06_01.xlsx&amp;sheet=A0&amp;row=191&amp;col=18&amp;number=&amp;sourceID=12","")</f>
        <v/>
      </c>
      <c r="S191" s="4" t="str">
        <f>HYPERLINK("http://141.218.60.56/~jnz1568/getInfo.php?workbook=06_01.xlsx&amp;sheet=A0&amp;row=191&amp;col=19&amp;number=1.7929e-10&amp;sourceID=12","1.7929e-10")</f>
        <v>1.7929e-10</v>
      </c>
      <c r="T191" s="4" t="str">
        <f>HYPERLINK("http://141.218.60.56/~jnz1568/getInfo.php?workbook=06_01.xlsx&amp;sheet=A0&amp;row=191&amp;col=20&amp;number=&amp;sourceID=12","")</f>
        <v/>
      </c>
      <c r="U191" s="4" t="str">
        <f>HYPERLINK("http://141.218.60.56/~jnz1568/getInfo.php?workbook=06_01.xlsx&amp;sheet=A0&amp;row=191&amp;col=21&amp;number=&amp;sourceID=13","")</f>
        <v/>
      </c>
      <c r="V191" s="4" t="str">
        <f>HYPERLINK("http://141.218.60.56/~jnz1568/getInfo.php?workbook=06_01.xlsx&amp;sheet=A0&amp;row=191&amp;col=22&amp;number=&amp;sourceID=13","")</f>
        <v/>
      </c>
      <c r="W191" s="4" t="str">
        <f>HYPERLINK("http://141.218.60.56/~jnz1568/getInfo.php?workbook=06_01.xlsx&amp;sheet=A0&amp;row=191&amp;col=23&amp;number=&amp;sourceID=13","")</f>
        <v/>
      </c>
      <c r="X191" s="4" t="str">
        <f>HYPERLINK("http://141.218.60.56/~jnz1568/getInfo.php?workbook=06_01.xlsx&amp;sheet=A0&amp;row=191&amp;col=24&amp;number=&amp;sourceID=13","")</f>
        <v/>
      </c>
      <c r="Y191" s="4" t="str">
        <f>HYPERLINK("http://141.218.60.56/~jnz1568/getInfo.php?workbook=06_01.xlsx&amp;sheet=A0&amp;row=191&amp;col=25&amp;number=&amp;sourceID=13","")</f>
        <v/>
      </c>
      <c r="Z191" s="4" t="str">
        <f>HYPERLINK("http://141.218.60.56/~jnz1568/getInfo.php?workbook=06_01.xlsx&amp;sheet=A0&amp;row=191&amp;col=26&amp;number=&amp;sourceID=13","")</f>
        <v/>
      </c>
    </row>
    <row r="192" spans="1:26">
      <c r="A192" s="3">
        <v>6</v>
      </c>
      <c r="B192" s="3">
        <v>1</v>
      </c>
      <c r="C192" s="3">
        <v>21</v>
      </c>
      <c r="D192" s="3">
        <v>7</v>
      </c>
      <c r="E192" s="3">
        <f>((1/(INDEX(E0!J$4:J$28,C192,1)-INDEX(E0!J$4:J$28,D192,1))))*100000000</f>
        <v>0</v>
      </c>
      <c r="F192" s="4" t="str">
        <f>HYPERLINK("http://141.218.60.56/~jnz1568/getInfo.php?workbook=06_01.xlsx&amp;sheet=A0&amp;row=192&amp;col=6&amp;number=&amp;sourceID=18","")</f>
        <v/>
      </c>
      <c r="G192" s="4" t="str">
        <f>HYPERLINK("http://141.218.60.56/~jnz1568/getInfo.php?workbook=06_01.xlsx&amp;sheet=A0&amp;row=192&amp;col=7&amp;number==&amp;sourceID=11","=")</f>
        <v>=</v>
      </c>
      <c r="H192" s="4" t="str">
        <f>HYPERLINK("http://141.218.60.56/~jnz1568/getInfo.php?workbook=06_01.xlsx&amp;sheet=A0&amp;row=192&amp;col=8&amp;number=5499000000&amp;sourceID=11","5499000000")</f>
        <v>5499000000</v>
      </c>
      <c r="I192" s="4" t="str">
        <f>HYPERLINK("http://141.218.60.56/~jnz1568/getInfo.php?workbook=06_01.xlsx&amp;sheet=A0&amp;row=192&amp;col=9&amp;number=&amp;sourceID=11","")</f>
        <v/>
      </c>
      <c r="J192" s="4" t="str">
        <f>HYPERLINK("http://141.218.60.56/~jnz1568/getInfo.php?workbook=06_01.xlsx&amp;sheet=A0&amp;row=192&amp;col=10&amp;number=0.046841&amp;sourceID=11","0.046841")</f>
        <v>0.046841</v>
      </c>
      <c r="K192" s="4" t="str">
        <f>HYPERLINK("http://141.218.60.56/~jnz1568/getInfo.php?workbook=06_01.xlsx&amp;sheet=A0&amp;row=192&amp;col=11&amp;number=&amp;sourceID=11","")</f>
        <v/>
      </c>
      <c r="L192" s="4" t="str">
        <f>HYPERLINK("http://141.218.60.56/~jnz1568/getInfo.php?workbook=06_01.xlsx&amp;sheet=A0&amp;row=192&amp;col=12&amp;number=1.1408&amp;sourceID=11","1.1408")</f>
        <v>1.1408</v>
      </c>
      <c r="M192" s="4" t="str">
        <f>HYPERLINK("http://141.218.60.56/~jnz1568/getInfo.php?workbook=06_01.xlsx&amp;sheet=A0&amp;row=192&amp;col=13&amp;number=&amp;sourceID=11","")</f>
        <v/>
      </c>
      <c r="N192" s="4" t="str">
        <f>HYPERLINK("http://141.218.60.56/~jnz1568/getInfo.php?workbook=06_01.xlsx&amp;sheet=A0&amp;row=192&amp;col=14&amp;number=5499300000&amp;sourceID=12","5499300000")</f>
        <v>5499300000</v>
      </c>
      <c r="O192" s="4" t="str">
        <f>HYPERLINK("http://141.218.60.56/~jnz1568/getInfo.php?workbook=06_01.xlsx&amp;sheet=A0&amp;row=192&amp;col=15&amp;number=5499300000&amp;sourceID=12","5499300000")</f>
        <v>5499300000</v>
      </c>
      <c r="P192" s="4" t="str">
        <f>HYPERLINK("http://141.218.60.56/~jnz1568/getInfo.php?workbook=06_01.xlsx&amp;sheet=A0&amp;row=192&amp;col=16&amp;number=&amp;sourceID=12","")</f>
        <v/>
      </c>
      <c r="Q192" s="4" t="str">
        <f>HYPERLINK("http://141.218.60.56/~jnz1568/getInfo.php?workbook=06_01.xlsx&amp;sheet=A0&amp;row=192&amp;col=17&amp;number=0.046843&amp;sourceID=12","0.046843")</f>
        <v>0.046843</v>
      </c>
      <c r="R192" s="4" t="str">
        <f>HYPERLINK("http://141.218.60.56/~jnz1568/getInfo.php?workbook=06_01.xlsx&amp;sheet=A0&amp;row=192&amp;col=18&amp;number=&amp;sourceID=12","")</f>
        <v/>
      </c>
      <c r="S192" s="4" t="str">
        <f>HYPERLINK("http://141.218.60.56/~jnz1568/getInfo.php?workbook=06_01.xlsx&amp;sheet=A0&amp;row=192&amp;col=19&amp;number=1.1408&amp;sourceID=12","1.1408")</f>
        <v>1.1408</v>
      </c>
      <c r="T192" s="4" t="str">
        <f>HYPERLINK("http://141.218.60.56/~jnz1568/getInfo.php?workbook=06_01.xlsx&amp;sheet=A0&amp;row=192&amp;col=20&amp;number=&amp;sourceID=12","")</f>
        <v/>
      </c>
      <c r="U192" s="4" t="str">
        <f>HYPERLINK("http://141.218.60.56/~jnz1568/getInfo.php?workbook=06_01.xlsx&amp;sheet=A0&amp;row=192&amp;col=21&amp;number=&amp;sourceID=13","")</f>
        <v/>
      </c>
      <c r="V192" s="4" t="str">
        <f>HYPERLINK("http://141.218.60.56/~jnz1568/getInfo.php?workbook=06_01.xlsx&amp;sheet=A0&amp;row=192&amp;col=22&amp;number=&amp;sourceID=13","")</f>
        <v/>
      </c>
      <c r="W192" s="4" t="str">
        <f>HYPERLINK("http://141.218.60.56/~jnz1568/getInfo.php?workbook=06_01.xlsx&amp;sheet=A0&amp;row=192&amp;col=23&amp;number=&amp;sourceID=13","")</f>
        <v/>
      </c>
      <c r="X192" s="4" t="str">
        <f>HYPERLINK("http://141.218.60.56/~jnz1568/getInfo.php?workbook=06_01.xlsx&amp;sheet=A0&amp;row=192&amp;col=24&amp;number=&amp;sourceID=13","")</f>
        <v/>
      </c>
      <c r="Y192" s="4" t="str">
        <f>HYPERLINK("http://141.218.60.56/~jnz1568/getInfo.php?workbook=06_01.xlsx&amp;sheet=A0&amp;row=192&amp;col=25&amp;number=&amp;sourceID=13","")</f>
        <v/>
      </c>
      <c r="Z192" s="4" t="str">
        <f>HYPERLINK("http://141.218.60.56/~jnz1568/getInfo.php?workbook=06_01.xlsx&amp;sheet=A0&amp;row=192&amp;col=26&amp;number=&amp;sourceID=13","")</f>
        <v/>
      </c>
    </row>
    <row r="193" spans="1:26">
      <c r="A193" s="3">
        <v>6</v>
      </c>
      <c r="B193" s="3">
        <v>1</v>
      </c>
      <c r="C193" s="3">
        <v>21</v>
      </c>
      <c r="D193" s="3">
        <v>8</v>
      </c>
      <c r="E193" s="3">
        <f>((1/(INDEX(E0!J$4:J$28,C193,1)-INDEX(E0!J$4:J$28,D193,1))))*100000000</f>
        <v>0</v>
      </c>
      <c r="F193" s="4" t="str">
        <f>HYPERLINK("http://141.218.60.56/~jnz1568/getInfo.php?workbook=06_01.xlsx&amp;sheet=A0&amp;row=193&amp;col=6&amp;number=&amp;sourceID=18","")</f>
        <v/>
      </c>
      <c r="G193" s="4" t="str">
        <f>HYPERLINK("http://141.218.60.56/~jnz1568/getInfo.php?workbook=06_01.xlsx&amp;sheet=A0&amp;row=193&amp;col=7&amp;number==&amp;sourceID=11","=")</f>
        <v>=</v>
      </c>
      <c r="H193" s="4" t="str">
        <f>HYPERLINK("http://141.218.60.56/~jnz1568/getInfo.php?workbook=06_01.xlsx&amp;sheet=A0&amp;row=193&amp;col=8&amp;number=&amp;sourceID=11","")</f>
        <v/>
      </c>
      <c r="I193" s="4" t="str">
        <f>HYPERLINK("http://141.218.60.56/~jnz1568/getInfo.php?workbook=06_01.xlsx&amp;sheet=A0&amp;row=193&amp;col=9&amp;number=269.18&amp;sourceID=11","269.18")</f>
        <v>269.18</v>
      </c>
      <c r="J193" s="4" t="str">
        <f>HYPERLINK("http://141.218.60.56/~jnz1568/getInfo.php?workbook=06_01.xlsx&amp;sheet=A0&amp;row=193&amp;col=10&amp;number=&amp;sourceID=11","")</f>
        <v/>
      </c>
      <c r="K193" s="4" t="str">
        <f>HYPERLINK("http://141.218.60.56/~jnz1568/getInfo.php?workbook=06_01.xlsx&amp;sheet=A0&amp;row=193&amp;col=11&amp;number=4.1113e-05&amp;sourceID=11","4.1113e-05")</f>
        <v>4.1113e-05</v>
      </c>
      <c r="L193" s="4" t="str">
        <f>HYPERLINK("http://141.218.60.56/~jnz1568/getInfo.php?workbook=06_01.xlsx&amp;sheet=A0&amp;row=193&amp;col=12&amp;number=&amp;sourceID=11","")</f>
        <v/>
      </c>
      <c r="M193" s="4" t="str">
        <f>HYPERLINK("http://141.218.60.56/~jnz1568/getInfo.php?workbook=06_01.xlsx&amp;sheet=A0&amp;row=193&amp;col=13&amp;number=3.9689e-09&amp;sourceID=11","3.9689e-09")</f>
        <v>3.9689e-09</v>
      </c>
      <c r="N193" s="4" t="str">
        <f>HYPERLINK("http://141.218.60.56/~jnz1568/getInfo.php?workbook=06_01.xlsx&amp;sheet=A0&amp;row=193&amp;col=14&amp;number=269.2&amp;sourceID=12","269.2")</f>
        <v>269.2</v>
      </c>
      <c r="O193" s="4" t="str">
        <f>HYPERLINK("http://141.218.60.56/~jnz1568/getInfo.php?workbook=06_01.xlsx&amp;sheet=A0&amp;row=193&amp;col=15&amp;number=&amp;sourceID=12","")</f>
        <v/>
      </c>
      <c r="P193" s="4" t="str">
        <f>HYPERLINK("http://141.218.60.56/~jnz1568/getInfo.php?workbook=06_01.xlsx&amp;sheet=A0&amp;row=193&amp;col=16&amp;number=269.2&amp;sourceID=12","269.2")</f>
        <v>269.2</v>
      </c>
      <c r="Q193" s="4" t="str">
        <f>HYPERLINK("http://141.218.60.56/~jnz1568/getInfo.php?workbook=06_01.xlsx&amp;sheet=A0&amp;row=193&amp;col=17&amp;number=&amp;sourceID=12","")</f>
        <v/>
      </c>
      <c r="R193" s="4" t="str">
        <f>HYPERLINK("http://141.218.60.56/~jnz1568/getInfo.php?workbook=06_01.xlsx&amp;sheet=A0&amp;row=193&amp;col=18&amp;number=4.1116e-05&amp;sourceID=12","4.1116e-05")</f>
        <v>4.1116e-05</v>
      </c>
      <c r="S193" s="4" t="str">
        <f>HYPERLINK("http://141.218.60.56/~jnz1568/getInfo.php?workbook=06_01.xlsx&amp;sheet=A0&amp;row=193&amp;col=19&amp;number=&amp;sourceID=12","")</f>
        <v/>
      </c>
      <c r="T193" s="4" t="str">
        <f>HYPERLINK("http://141.218.60.56/~jnz1568/getInfo.php?workbook=06_01.xlsx&amp;sheet=A0&amp;row=193&amp;col=20&amp;number=3.9691e-09&amp;sourceID=12","3.9691e-09")</f>
        <v>3.9691e-09</v>
      </c>
      <c r="U193" s="4" t="str">
        <f>HYPERLINK("http://141.218.60.56/~jnz1568/getInfo.php?workbook=06_01.xlsx&amp;sheet=A0&amp;row=193&amp;col=21&amp;number=&amp;sourceID=13","")</f>
        <v/>
      </c>
      <c r="V193" s="4" t="str">
        <f>HYPERLINK("http://141.218.60.56/~jnz1568/getInfo.php?workbook=06_01.xlsx&amp;sheet=A0&amp;row=193&amp;col=22&amp;number=&amp;sourceID=13","")</f>
        <v/>
      </c>
      <c r="W193" s="4" t="str">
        <f>HYPERLINK("http://141.218.60.56/~jnz1568/getInfo.php?workbook=06_01.xlsx&amp;sheet=A0&amp;row=193&amp;col=23&amp;number=&amp;sourceID=13","")</f>
        <v/>
      </c>
      <c r="X193" s="4" t="str">
        <f>HYPERLINK("http://141.218.60.56/~jnz1568/getInfo.php?workbook=06_01.xlsx&amp;sheet=A0&amp;row=193&amp;col=24&amp;number=&amp;sourceID=13","")</f>
        <v/>
      </c>
      <c r="Y193" s="4" t="str">
        <f>HYPERLINK("http://141.218.60.56/~jnz1568/getInfo.php?workbook=06_01.xlsx&amp;sheet=A0&amp;row=193&amp;col=25&amp;number=&amp;sourceID=13","")</f>
        <v/>
      </c>
      <c r="Z193" s="4" t="str">
        <f>HYPERLINK("http://141.218.60.56/~jnz1568/getInfo.php?workbook=06_01.xlsx&amp;sheet=A0&amp;row=193&amp;col=26&amp;number=&amp;sourceID=13","")</f>
        <v/>
      </c>
    </row>
    <row r="194" spans="1:26">
      <c r="A194" s="3">
        <v>6</v>
      </c>
      <c r="B194" s="3">
        <v>1</v>
      </c>
      <c r="C194" s="3">
        <v>21</v>
      </c>
      <c r="D194" s="3">
        <v>9</v>
      </c>
      <c r="E194" s="3">
        <f>((1/(INDEX(E0!J$4:J$28,C194,1)-INDEX(E0!J$4:J$28,D194,1))))*100000000</f>
        <v>0</v>
      </c>
      <c r="F194" s="4" t="str">
        <f>HYPERLINK("http://141.218.60.56/~jnz1568/getInfo.php?workbook=06_01.xlsx&amp;sheet=A0&amp;row=194&amp;col=6&amp;number=&amp;sourceID=18","")</f>
        <v/>
      </c>
      <c r="G194" s="4" t="str">
        <f>HYPERLINK("http://141.218.60.56/~jnz1568/getInfo.php?workbook=06_01.xlsx&amp;sheet=A0&amp;row=194&amp;col=7&amp;number==&amp;sourceID=11","=")</f>
        <v>=</v>
      </c>
      <c r="H194" s="4" t="str">
        <f>HYPERLINK("http://141.218.60.56/~jnz1568/getInfo.php?workbook=06_01.xlsx&amp;sheet=A0&amp;row=194&amp;col=8&amp;number=392530000&amp;sourceID=11","392530000")</f>
        <v>392530000</v>
      </c>
      <c r="I194" s="4" t="str">
        <f>HYPERLINK("http://141.218.60.56/~jnz1568/getInfo.php?workbook=06_01.xlsx&amp;sheet=A0&amp;row=194&amp;col=9&amp;number=&amp;sourceID=11","")</f>
        <v/>
      </c>
      <c r="J194" s="4" t="str">
        <f>HYPERLINK("http://141.218.60.56/~jnz1568/getInfo.php?workbook=06_01.xlsx&amp;sheet=A0&amp;row=194&amp;col=10&amp;number=0.031327&amp;sourceID=11","0.031327")</f>
        <v>0.031327</v>
      </c>
      <c r="K194" s="4" t="str">
        <f>HYPERLINK("http://141.218.60.56/~jnz1568/getInfo.php?workbook=06_01.xlsx&amp;sheet=A0&amp;row=194&amp;col=11&amp;number=&amp;sourceID=11","")</f>
        <v/>
      </c>
      <c r="L194" s="4" t="str">
        <f>HYPERLINK("http://141.218.60.56/~jnz1568/getInfo.php?workbook=06_01.xlsx&amp;sheet=A0&amp;row=194&amp;col=12&amp;number=&amp;sourceID=11","")</f>
        <v/>
      </c>
      <c r="M194" s="4" t="str">
        <f>HYPERLINK("http://141.218.60.56/~jnz1568/getInfo.php?workbook=06_01.xlsx&amp;sheet=A0&amp;row=194&amp;col=13&amp;number=&amp;sourceID=11","")</f>
        <v/>
      </c>
      <c r="N194" s="4" t="str">
        <f>HYPERLINK("http://141.218.60.56/~jnz1568/getInfo.php?workbook=06_01.xlsx&amp;sheet=A0&amp;row=194&amp;col=14&amp;number=392550000&amp;sourceID=12","392550000")</f>
        <v>392550000</v>
      </c>
      <c r="O194" s="4" t="str">
        <f>HYPERLINK("http://141.218.60.56/~jnz1568/getInfo.php?workbook=06_01.xlsx&amp;sheet=A0&amp;row=194&amp;col=15&amp;number=392550000&amp;sourceID=12","392550000")</f>
        <v>392550000</v>
      </c>
      <c r="P194" s="4" t="str">
        <f>HYPERLINK("http://141.218.60.56/~jnz1568/getInfo.php?workbook=06_01.xlsx&amp;sheet=A0&amp;row=194&amp;col=16&amp;number=&amp;sourceID=12","")</f>
        <v/>
      </c>
      <c r="Q194" s="4" t="str">
        <f>HYPERLINK("http://141.218.60.56/~jnz1568/getInfo.php?workbook=06_01.xlsx&amp;sheet=A0&amp;row=194&amp;col=17&amp;number=0.031329&amp;sourceID=12","0.031329")</f>
        <v>0.031329</v>
      </c>
      <c r="R194" s="4" t="str">
        <f>HYPERLINK("http://141.218.60.56/~jnz1568/getInfo.php?workbook=06_01.xlsx&amp;sheet=A0&amp;row=194&amp;col=18&amp;number=&amp;sourceID=12","")</f>
        <v/>
      </c>
      <c r="S194" s="4" t="str">
        <f>HYPERLINK("http://141.218.60.56/~jnz1568/getInfo.php?workbook=06_01.xlsx&amp;sheet=A0&amp;row=194&amp;col=19&amp;number=&amp;sourceID=12","")</f>
        <v/>
      </c>
      <c r="T194" s="4" t="str">
        <f>HYPERLINK("http://141.218.60.56/~jnz1568/getInfo.php?workbook=06_01.xlsx&amp;sheet=A0&amp;row=194&amp;col=20&amp;number=&amp;sourceID=12","")</f>
        <v/>
      </c>
      <c r="U194" s="4" t="str">
        <f>HYPERLINK("http://141.218.60.56/~jnz1568/getInfo.php?workbook=06_01.xlsx&amp;sheet=A0&amp;row=194&amp;col=21&amp;number=&amp;sourceID=13","")</f>
        <v/>
      </c>
      <c r="V194" s="4" t="str">
        <f>HYPERLINK("http://141.218.60.56/~jnz1568/getInfo.php?workbook=06_01.xlsx&amp;sheet=A0&amp;row=194&amp;col=22&amp;number=&amp;sourceID=13","")</f>
        <v/>
      </c>
      <c r="W194" s="4" t="str">
        <f>HYPERLINK("http://141.218.60.56/~jnz1568/getInfo.php?workbook=06_01.xlsx&amp;sheet=A0&amp;row=194&amp;col=23&amp;number=&amp;sourceID=13","")</f>
        <v/>
      </c>
      <c r="X194" s="4" t="str">
        <f>HYPERLINK("http://141.218.60.56/~jnz1568/getInfo.php?workbook=06_01.xlsx&amp;sheet=A0&amp;row=194&amp;col=24&amp;number=&amp;sourceID=13","")</f>
        <v/>
      </c>
      <c r="Y194" s="4" t="str">
        <f>HYPERLINK("http://141.218.60.56/~jnz1568/getInfo.php?workbook=06_01.xlsx&amp;sheet=A0&amp;row=194&amp;col=25&amp;number=&amp;sourceID=13","")</f>
        <v/>
      </c>
      <c r="Z194" s="4" t="str">
        <f>HYPERLINK("http://141.218.60.56/~jnz1568/getInfo.php?workbook=06_01.xlsx&amp;sheet=A0&amp;row=194&amp;col=26&amp;number=&amp;sourceID=13","")</f>
        <v/>
      </c>
    </row>
    <row r="195" spans="1:26">
      <c r="A195" s="3">
        <v>6</v>
      </c>
      <c r="B195" s="3">
        <v>1</v>
      </c>
      <c r="C195" s="3">
        <v>21</v>
      </c>
      <c r="D195" s="3">
        <v>10</v>
      </c>
      <c r="E195" s="3">
        <f>((1/(INDEX(E0!J$4:J$28,C195,1)-INDEX(E0!J$4:J$28,D195,1))))*100000000</f>
        <v>0</v>
      </c>
      <c r="F195" s="4" t="str">
        <f>HYPERLINK("http://141.218.60.56/~jnz1568/getInfo.php?workbook=06_01.xlsx&amp;sheet=A0&amp;row=195&amp;col=6&amp;number=&amp;sourceID=18","")</f>
        <v/>
      </c>
      <c r="G195" s="4" t="str">
        <f>HYPERLINK("http://141.218.60.56/~jnz1568/getInfo.php?workbook=06_01.xlsx&amp;sheet=A0&amp;row=195&amp;col=7&amp;number==&amp;sourceID=11","=")</f>
        <v>=</v>
      </c>
      <c r="H195" s="4" t="str">
        <f>HYPERLINK("http://141.218.60.56/~jnz1568/getInfo.php?workbook=06_01.xlsx&amp;sheet=A0&amp;row=195&amp;col=8&amp;number=&amp;sourceID=11","")</f>
        <v/>
      </c>
      <c r="I195" s="4" t="str">
        <f>HYPERLINK("http://141.218.60.56/~jnz1568/getInfo.php?workbook=06_01.xlsx&amp;sheet=A0&amp;row=195&amp;col=9&amp;number=34092&amp;sourceID=11","34092")</f>
        <v>34092</v>
      </c>
      <c r="J195" s="4" t="str">
        <f>HYPERLINK("http://141.218.60.56/~jnz1568/getInfo.php?workbook=06_01.xlsx&amp;sheet=A0&amp;row=195&amp;col=10&amp;number=&amp;sourceID=11","")</f>
        <v/>
      </c>
      <c r="K195" s="4" t="str">
        <f>HYPERLINK("http://141.218.60.56/~jnz1568/getInfo.php?workbook=06_01.xlsx&amp;sheet=A0&amp;row=195&amp;col=11&amp;number=&amp;sourceID=11","")</f>
        <v/>
      </c>
      <c r="L195" s="4" t="str">
        <f>HYPERLINK("http://141.218.60.56/~jnz1568/getInfo.php?workbook=06_01.xlsx&amp;sheet=A0&amp;row=195&amp;col=12&amp;number=&amp;sourceID=11","")</f>
        <v/>
      </c>
      <c r="M195" s="4" t="str">
        <f>HYPERLINK("http://141.218.60.56/~jnz1568/getInfo.php?workbook=06_01.xlsx&amp;sheet=A0&amp;row=195&amp;col=13&amp;number=7.2046e-08&amp;sourceID=11","7.2046e-08")</f>
        <v>7.2046e-08</v>
      </c>
      <c r="N195" s="4" t="str">
        <f>HYPERLINK("http://141.218.60.56/~jnz1568/getInfo.php?workbook=06_01.xlsx&amp;sheet=A0&amp;row=195&amp;col=14&amp;number=34094&amp;sourceID=12","34094")</f>
        <v>34094</v>
      </c>
      <c r="O195" s="4" t="str">
        <f>HYPERLINK("http://141.218.60.56/~jnz1568/getInfo.php?workbook=06_01.xlsx&amp;sheet=A0&amp;row=195&amp;col=15&amp;number=&amp;sourceID=12","")</f>
        <v/>
      </c>
      <c r="P195" s="4" t="str">
        <f>HYPERLINK("http://141.218.60.56/~jnz1568/getInfo.php?workbook=06_01.xlsx&amp;sheet=A0&amp;row=195&amp;col=16&amp;number=34094&amp;sourceID=12","34094")</f>
        <v>34094</v>
      </c>
      <c r="Q195" s="4" t="str">
        <f>HYPERLINK("http://141.218.60.56/~jnz1568/getInfo.php?workbook=06_01.xlsx&amp;sheet=A0&amp;row=195&amp;col=17&amp;number=&amp;sourceID=12","")</f>
        <v/>
      </c>
      <c r="R195" s="4" t="str">
        <f>HYPERLINK("http://141.218.60.56/~jnz1568/getInfo.php?workbook=06_01.xlsx&amp;sheet=A0&amp;row=195&amp;col=18&amp;number=&amp;sourceID=12","")</f>
        <v/>
      </c>
      <c r="S195" s="4" t="str">
        <f>HYPERLINK("http://141.218.60.56/~jnz1568/getInfo.php?workbook=06_01.xlsx&amp;sheet=A0&amp;row=195&amp;col=19&amp;number=&amp;sourceID=12","")</f>
        <v/>
      </c>
      <c r="T195" s="4" t="str">
        <f>HYPERLINK("http://141.218.60.56/~jnz1568/getInfo.php?workbook=06_01.xlsx&amp;sheet=A0&amp;row=195&amp;col=20&amp;number=7.205e-08&amp;sourceID=12","7.205e-08")</f>
        <v>7.205e-08</v>
      </c>
      <c r="U195" s="4" t="str">
        <f>HYPERLINK("http://141.218.60.56/~jnz1568/getInfo.php?workbook=06_01.xlsx&amp;sheet=A0&amp;row=195&amp;col=21&amp;number=&amp;sourceID=13","")</f>
        <v/>
      </c>
      <c r="V195" s="4" t="str">
        <f>HYPERLINK("http://141.218.60.56/~jnz1568/getInfo.php?workbook=06_01.xlsx&amp;sheet=A0&amp;row=195&amp;col=22&amp;number=&amp;sourceID=13","")</f>
        <v/>
      </c>
      <c r="W195" s="4" t="str">
        <f>HYPERLINK("http://141.218.60.56/~jnz1568/getInfo.php?workbook=06_01.xlsx&amp;sheet=A0&amp;row=195&amp;col=23&amp;number=&amp;sourceID=13","")</f>
        <v/>
      </c>
      <c r="X195" s="4" t="str">
        <f>HYPERLINK("http://141.218.60.56/~jnz1568/getInfo.php?workbook=06_01.xlsx&amp;sheet=A0&amp;row=195&amp;col=24&amp;number=&amp;sourceID=13","")</f>
        <v/>
      </c>
      <c r="Y195" s="4" t="str">
        <f>HYPERLINK("http://141.218.60.56/~jnz1568/getInfo.php?workbook=06_01.xlsx&amp;sheet=A0&amp;row=195&amp;col=25&amp;number=&amp;sourceID=13","")</f>
        <v/>
      </c>
      <c r="Z195" s="4" t="str">
        <f>HYPERLINK("http://141.218.60.56/~jnz1568/getInfo.php?workbook=06_01.xlsx&amp;sheet=A0&amp;row=195&amp;col=26&amp;number=&amp;sourceID=13","")</f>
        <v/>
      </c>
    </row>
    <row r="196" spans="1:26">
      <c r="A196" s="3">
        <v>6</v>
      </c>
      <c r="B196" s="3">
        <v>1</v>
      </c>
      <c r="C196" s="3">
        <v>21</v>
      </c>
      <c r="D196" s="3">
        <v>11</v>
      </c>
      <c r="E196" s="3">
        <f>((1/(INDEX(E0!J$4:J$28,C196,1)-INDEX(E0!J$4:J$28,D196,1))))*100000000</f>
        <v>0</v>
      </c>
      <c r="F196" s="4" t="str">
        <f>HYPERLINK("http://141.218.60.56/~jnz1568/getInfo.php?workbook=06_01.xlsx&amp;sheet=A0&amp;row=196&amp;col=6&amp;number=&amp;sourceID=18","")</f>
        <v/>
      </c>
      <c r="G196" s="4" t="str">
        <f>HYPERLINK("http://141.218.60.56/~jnz1568/getInfo.php?workbook=06_01.xlsx&amp;sheet=A0&amp;row=196&amp;col=7&amp;number==&amp;sourceID=11","=")</f>
        <v>=</v>
      </c>
      <c r="H196" s="4" t="str">
        <f>HYPERLINK("http://141.218.60.56/~jnz1568/getInfo.php?workbook=06_01.xlsx&amp;sheet=A0&amp;row=196&amp;col=8&amp;number=&amp;sourceID=11","")</f>
        <v/>
      </c>
      <c r="I196" s="4" t="str">
        <f>HYPERLINK("http://141.218.60.56/~jnz1568/getInfo.php?workbook=06_01.xlsx&amp;sheet=A0&amp;row=196&amp;col=9&amp;number=&amp;sourceID=11","")</f>
        <v/>
      </c>
      <c r="J196" s="4" t="str">
        <f>HYPERLINK("http://141.218.60.56/~jnz1568/getInfo.php?workbook=06_01.xlsx&amp;sheet=A0&amp;row=196&amp;col=10&amp;number=0.20955&amp;sourceID=11","0.20955")</f>
        <v>0.20955</v>
      </c>
      <c r="K196" s="4" t="str">
        <f>HYPERLINK("http://141.218.60.56/~jnz1568/getInfo.php?workbook=06_01.xlsx&amp;sheet=A0&amp;row=196&amp;col=11&amp;number=&amp;sourceID=11","")</f>
        <v/>
      </c>
      <c r="L196" s="4" t="str">
        <f>HYPERLINK("http://141.218.60.56/~jnz1568/getInfo.php?workbook=06_01.xlsx&amp;sheet=A0&amp;row=196&amp;col=12&amp;number=1.4092e-11&amp;sourceID=11","1.4092e-11")</f>
        <v>1.4092e-11</v>
      </c>
      <c r="M196" s="4" t="str">
        <f>HYPERLINK("http://141.218.60.56/~jnz1568/getInfo.php?workbook=06_01.xlsx&amp;sheet=A0&amp;row=196&amp;col=13&amp;number=&amp;sourceID=11","")</f>
        <v/>
      </c>
      <c r="N196" s="4" t="str">
        <f>HYPERLINK("http://141.218.60.56/~jnz1568/getInfo.php?workbook=06_01.xlsx&amp;sheet=A0&amp;row=196&amp;col=14&amp;number=0.20956&amp;sourceID=12","0.20956")</f>
        <v>0.20956</v>
      </c>
      <c r="O196" s="4" t="str">
        <f>HYPERLINK("http://141.218.60.56/~jnz1568/getInfo.php?workbook=06_01.xlsx&amp;sheet=A0&amp;row=196&amp;col=15&amp;number=&amp;sourceID=12","")</f>
        <v/>
      </c>
      <c r="P196" s="4" t="str">
        <f>HYPERLINK("http://141.218.60.56/~jnz1568/getInfo.php?workbook=06_01.xlsx&amp;sheet=A0&amp;row=196&amp;col=16&amp;number=&amp;sourceID=12","")</f>
        <v/>
      </c>
      <c r="Q196" s="4" t="str">
        <f>HYPERLINK("http://141.218.60.56/~jnz1568/getInfo.php?workbook=06_01.xlsx&amp;sheet=A0&amp;row=196&amp;col=17&amp;number=0.20956&amp;sourceID=12","0.20956")</f>
        <v>0.20956</v>
      </c>
      <c r="R196" s="4" t="str">
        <f>HYPERLINK("http://141.218.60.56/~jnz1568/getInfo.php?workbook=06_01.xlsx&amp;sheet=A0&amp;row=196&amp;col=18&amp;number=&amp;sourceID=12","")</f>
        <v/>
      </c>
      <c r="S196" s="4" t="str">
        <f>HYPERLINK("http://141.218.60.56/~jnz1568/getInfo.php?workbook=06_01.xlsx&amp;sheet=A0&amp;row=196&amp;col=19&amp;number=1.4093e-11&amp;sourceID=12","1.4093e-11")</f>
        <v>1.4093e-11</v>
      </c>
      <c r="T196" s="4" t="str">
        <f>HYPERLINK("http://141.218.60.56/~jnz1568/getInfo.php?workbook=06_01.xlsx&amp;sheet=A0&amp;row=196&amp;col=20&amp;number=&amp;sourceID=12","")</f>
        <v/>
      </c>
      <c r="U196" s="4" t="str">
        <f>HYPERLINK("http://141.218.60.56/~jnz1568/getInfo.php?workbook=06_01.xlsx&amp;sheet=A0&amp;row=196&amp;col=21&amp;number=&amp;sourceID=13","")</f>
        <v/>
      </c>
      <c r="V196" s="4" t="str">
        <f>HYPERLINK("http://141.218.60.56/~jnz1568/getInfo.php?workbook=06_01.xlsx&amp;sheet=A0&amp;row=196&amp;col=22&amp;number=&amp;sourceID=13","")</f>
        <v/>
      </c>
      <c r="W196" s="4" t="str">
        <f>HYPERLINK("http://141.218.60.56/~jnz1568/getInfo.php?workbook=06_01.xlsx&amp;sheet=A0&amp;row=196&amp;col=23&amp;number=&amp;sourceID=13","")</f>
        <v/>
      </c>
      <c r="X196" s="4" t="str">
        <f>HYPERLINK("http://141.218.60.56/~jnz1568/getInfo.php?workbook=06_01.xlsx&amp;sheet=A0&amp;row=196&amp;col=24&amp;number=&amp;sourceID=13","")</f>
        <v/>
      </c>
      <c r="Y196" s="4" t="str">
        <f>HYPERLINK("http://141.218.60.56/~jnz1568/getInfo.php?workbook=06_01.xlsx&amp;sheet=A0&amp;row=196&amp;col=25&amp;number=&amp;sourceID=13","")</f>
        <v/>
      </c>
      <c r="Z196" s="4" t="str">
        <f>HYPERLINK("http://141.218.60.56/~jnz1568/getInfo.php?workbook=06_01.xlsx&amp;sheet=A0&amp;row=196&amp;col=26&amp;number=&amp;sourceID=13","")</f>
        <v/>
      </c>
    </row>
    <row r="197" spans="1:26">
      <c r="A197" s="3">
        <v>6</v>
      </c>
      <c r="B197" s="3">
        <v>1</v>
      </c>
      <c r="C197" s="3">
        <v>21</v>
      </c>
      <c r="D197" s="3">
        <v>12</v>
      </c>
      <c r="E197" s="3">
        <f>((1/(INDEX(E0!J$4:J$28,C197,1)-INDEX(E0!J$4:J$28,D197,1))))*100000000</f>
        <v>0</v>
      </c>
      <c r="F197" s="4" t="str">
        <f>HYPERLINK("http://141.218.60.56/~jnz1568/getInfo.php?workbook=06_01.xlsx&amp;sheet=A0&amp;row=197&amp;col=6&amp;number=&amp;sourceID=18","")</f>
        <v/>
      </c>
      <c r="G197" s="4" t="str">
        <f>HYPERLINK("http://141.218.60.56/~jnz1568/getInfo.php?workbook=06_01.xlsx&amp;sheet=A0&amp;row=197&amp;col=7&amp;number==&amp;sourceID=11","=")</f>
        <v>=</v>
      </c>
      <c r="H197" s="4" t="str">
        <f>HYPERLINK("http://141.218.60.56/~jnz1568/getInfo.php?workbook=06_01.xlsx&amp;sheet=A0&amp;row=197&amp;col=8&amp;number=3128000000&amp;sourceID=11","3128000000")</f>
        <v>3128000000</v>
      </c>
      <c r="I197" s="4" t="str">
        <f>HYPERLINK("http://141.218.60.56/~jnz1568/getInfo.php?workbook=06_01.xlsx&amp;sheet=A0&amp;row=197&amp;col=9&amp;number=&amp;sourceID=11","")</f>
        <v/>
      </c>
      <c r="J197" s="4" t="str">
        <f>HYPERLINK("http://141.218.60.56/~jnz1568/getInfo.php?workbook=06_01.xlsx&amp;sheet=A0&amp;row=197&amp;col=10&amp;number=0.08036&amp;sourceID=11","0.08036")</f>
        <v>0.08036</v>
      </c>
      <c r="K197" s="4" t="str">
        <f>HYPERLINK("http://141.218.60.56/~jnz1568/getInfo.php?workbook=06_01.xlsx&amp;sheet=A0&amp;row=197&amp;col=11&amp;number=&amp;sourceID=11","")</f>
        <v/>
      </c>
      <c r="L197" s="4" t="str">
        <f>HYPERLINK("http://141.218.60.56/~jnz1568/getInfo.php?workbook=06_01.xlsx&amp;sheet=A0&amp;row=197&amp;col=12&amp;number=0.064985&amp;sourceID=11","0.064985")</f>
        <v>0.064985</v>
      </c>
      <c r="M197" s="4" t="str">
        <f>HYPERLINK("http://141.218.60.56/~jnz1568/getInfo.php?workbook=06_01.xlsx&amp;sheet=A0&amp;row=197&amp;col=13&amp;number=&amp;sourceID=11","")</f>
        <v/>
      </c>
      <c r="N197" s="4" t="str">
        <f>HYPERLINK("http://141.218.60.56/~jnz1568/getInfo.php?workbook=06_01.xlsx&amp;sheet=A0&amp;row=197&amp;col=14&amp;number=3128100000&amp;sourceID=12","3128100000")</f>
        <v>3128100000</v>
      </c>
      <c r="O197" s="4" t="str">
        <f>HYPERLINK("http://141.218.60.56/~jnz1568/getInfo.php?workbook=06_01.xlsx&amp;sheet=A0&amp;row=197&amp;col=15&amp;number=3128100000&amp;sourceID=12","3128100000")</f>
        <v>3128100000</v>
      </c>
      <c r="P197" s="4" t="str">
        <f>HYPERLINK("http://141.218.60.56/~jnz1568/getInfo.php?workbook=06_01.xlsx&amp;sheet=A0&amp;row=197&amp;col=16&amp;number=&amp;sourceID=12","")</f>
        <v/>
      </c>
      <c r="Q197" s="4" t="str">
        <f>HYPERLINK("http://141.218.60.56/~jnz1568/getInfo.php?workbook=06_01.xlsx&amp;sheet=A0&amp;row=197&amp;col=17&amp;number=0.080363&amp;sourceID=12","0.080363")</f>
        <v>0.080363</v>
      </c>
      <c r="R197" s="4" t="str">
        <f>HYPERLINK("http://141.218.60.56/~jnz1568/getInfo.php?workbook=06_01.xlsx&amp;sheet=A0&amp;row=197&amp;col=18&amp;number=&amp;sourceID=12","")</f>
        <v/>
      </c>
      <c r="S197" s="4" t="str">
        <f>HYPERLINK("http://141.218.60.56/~jnz1568/getInfo.php?workbook=06_01.xlsx&amp;sheet=A0&amp;row=197&amp;col=19&amp;number=0.064988&amp;sourceID=12","0.064988")</f>
        <v>0.064988</v>
      </c>
      <c r="T197" s="4" t="str">
        <f>HYPERLINK("http://141.218.60.56/~jnz1568/getInfo.php?workbook=06_01.xlsx&amp;sheet=A0&amp;row=197&amp;col=20&amp;number=&amp;sourceID=12","")</f>
        <v/>
      </c>
      <c r="U197" s="4" t="str">
        <f>HYPERLINK("http://141.218.60.56/~jnz1568/getInfo.php?workbook=06_01.xlsx&amp;sheet=A0&amp;row=197&amp;col=21&amp;number=&amp;sourceID=13","")</f>
        <v/>
      </c>
      <c r="V197" s="4" t="str">
        <f>HYPERLINK("http://141.218.60.56/~jnz1568/getInfo.php?workbook=06_01.xlsx&amp;sheet=A0&amp;row=197&amp;col=22&amp;number=&amp;sourceID=13","")</f>
        <v/>
      </c>
      <c r="W197" s="4" t="str">
        <f>HYPERLINK("http://141.218.60.56/~jnz1568/getInfo.php?workbook=06_01.xlsx&amp;sheet=A0&amp;row=197&amp;col=23&amp;number=&amp;sourceID=13","")</f>
        <v/>
      </c>
      <c r="X197" s="4" t="str">
        <f>HYPERLINK("http://141.218.60.56/~jnz1568/getInfo.php?workbook=06_01.xlsx&amp;sheet=A0&amp;row=197&amp;col=24&amp;number=&amp;sourceID=13","")</f>
        <v/>
      </c>
      <c r="Y197" s="4" t="str">
        <f>HYPERLINK("http://141.218.60.56/~jnz1568/getInfo.php?workbook=06_01.xlsx&amp;sheet=A0&amp;row=197&amp;col=25&amp;number=&amp;sourceID=13","")</f>
        <v/>
      </c>
      <c r="Z197" s="4" t="str">
        <f>HYPERLINK("http://141.218.60.56/~jnz1568/getInfo.php?workbook=06_01.xlsx&amp;sheet=A0&amp;row=197&amp;col=26&amp;number=&amp;sourceID=13","")</f>
        <v/>
      </c>
    </row>
    <row r="198" spans="1:26">
      <c r="A198" s="3">
        <v>6</v>
      </c>
      <c r="B198" s="3">
        <v>1</v>
      </c>
      <c r="C198" s="3">
        <v>21</v>
      </c>
      <c r="D198" s="3">
        <v>13</v>
      </c>
      <c r="E198" s="3">
        <f>((1/(INDEX(E0!J$4:J$28,C198,1)-INDEX(E0!J$4:J$28,D198,1))))*100000000</f>
        <v>0</v>
      </c>
      <c r="F198" s="4" t="str">
        <f>HYPERLINK("http://141.218.60.56/~jnz1568/getInfo.php?workbook=06_01.xlsx&amp;sheet=A0&amp;row=198&amp;col=6&amp;number=&amp;sourceID=18","")</f>
        <v/>
      </c>
      <c r="G198" s="4" t="str">
        <f>HYPERLINK("http://141.218.60.56/~jnz1568/getInfo.php?workbook=06_01.xlsx&amp;sheet=A0&amp;row=198&amp;col=7&amp;number==SUM(H198:M198)&amp;sourceID=11","=SUM(H198:M198)")</f>
        <v>=SUM(H198:M198)</v>
      </c>
      <c r="H198" s="4" t="str">
        <f>HYPERLINK("http://141.218.60.56/~jnz1568/getInfo.php?workbook=06_01.xlsx&amp;sheet=A0&amp;row=198&amp;col=8&amp;number=&amp;sourceID=11","")</f>
        <v/>
      </c>
      <c r="I198" s="4" t="str">
        <f>HYPERLINK("http://141.218.60.56/~jnz1568/getInfo.php?workbook=06_01.xlsx&amp;sheet=A0&amp;row=198&amp;col=9&amp;number=9722.8&amp;sourceID=11","9722.8")</f>
        <v>9722.8</v>
      </c>
      <c r="J198" s="4" t="str">
        <f>HYPERLINK("http://141.218.60.56/~jnz1568/getInfo.php?workbook=06_01.xlsx&amp;sheet=A0&amp;row=198&amp;col=10&amp;number=&amp;sourceID=11","")</f>
        <v/>
      </c>
      <c r="K198" s="4" t="str">
        <f>HYPERLINK("http://141.218.60.56/~jnz1568/getInfo.php?workbook=06_01.xlsx&amp;sheet=A0&amp;row=198&amp;col=11&amp;number=2.2476e-06&amp;sourceID=11","2.2476e-06")</f>
        <v>2.2476e-06</v>
      </c>
      <c r="L198" s="4" t="str">
        <f>HYPERLINK("http://141.218.60.56/~jnz1568/getInfo.php?workbook=06_01.xlsx&amp;sheet=A0&amp;row=198&amp;col=12&amp;number=&amp;sourceID=11","")</f>
        <v/>
      </c>
      <c r="M198" s="4" t="str">
        <f>HYPERLINK("http://141.218.60.56/~jnz1568/getInfo.php?workbook=06_01.xlsx&amp;sheet=A0&amp;row=198&amp;col=13&amp;number=1.4365e-08&amp;sourceID=11","1.4365e-08")</f>
        <v>1.4365e-08</v>
      </c>
      <c r="N198" s="4" t="str">
        <f>HYPERLINK("http://141.218.60.56/~jnz1568/getInfo.php?workbook=06_01.xlsx&amp;sheet=A0&amp;row=198&amp;col=14&amp;number=9723.3&amp;sourceID=12","9723.3")</f>
        <v>9723.3</v>
      </c>
      <c r="O198" s="4" t="str">
        <f>HYPERLINK("http://141.218.60.56/~jnz1568/getInfo.php?workbook=06_01.xlsx&amp;sheet=A0&amp;row=198&amp;col=15&amp;number=&amp;sourceID=12","")</f>
        <v/>
      </c>
      <c r="P198" s="4" t="str">
        <f>HYPERLINK("http://141.218.60.56/~jnz1568/getInfo.php?workbook=06_01.xlsx&amp;sheet=A0&amp;row=198&amp;col=16&amp;number=9723.3&amp;sourceID=12","9723.3")</f>
        <v>9723.3</v>
      </c>
      <c r="Q198" s="4" t="str">
        <f>HYPERLINK("http://141.218.60.56/~jnz1568/getInfo.php?workbook=06_01.xlsx&amp;sheet=A0&amp;row=198&amp;col=17&amp;number=&amp;sourceID=12","")</f>
        <v/>
      </c>
      <c r="R198" s="4" t="str">
        <f>HYPERLINK("http://141.218.60.56/~jnz1568/getInfo.php?workbook=06_01.xlsx&amp;sheet=A0&amp;row=198&amp;col=18&amp;number=2.2477e-06&amp;sourceID=12","2.2477e-06")</f>
        <v>2.2477e-06</v>
      </c>
      <c r="S198" s="4" t="str">
        <f>HYPERLINK("http://141.218.60.56/~jnz1568/getInfo.php?workbook=06_01.xlsx&amp;sheet=A0&amp;row=198&amp;col=19&amp;number=&amp;sourceID=12","")</f>
        <v/>
      </c>
      <c r="T198" s="4" t="str">
        <f>HYPERLINK("http://141.218.60.56/~jnz1568/getInfo.php?workbook=06_01.xlsx&amp;sheet=A0&amp;row=198&amp;col=20&amp;number=1.4366e-08&amp;sourceID=12","1.4366e-08")</f>
        <v>1.4366e-08</v>
      </c>
      <c r="U198" s="4" t="str">
        <f>HYPERLINK("http://141.218.60.56/~jnz1568/getInfo.php?workbook=06_01.xlsx&amp;sheet=A0&amp;row=198&amp;col=21&amp;number=&amp;sourceID=13","")</f>
        <v/>
      </c>
      <c r="V198" s="4" t="str">
        <f>HYPERLINK("http://141.218.60.56/~jnz1568/getInfo.php?workbook=06_01.xlsx&amp;sheet=A0&amp;row=198&amp;col=22&amp;number=&amp;sourceID=13","")</f>
        <v/>
      </c>
      <c r="W198" s="4" t="str">
        <f>HYPERLINK("http://141.218.60.56/~jnz1568/getInfo.php?workbook=06_01.xlsx&amp;sheet=A0&amp;row=198&amp;col=23&amp;number=&amp;sourceID=13","")</f>
        <v/>
      </c>
      <c r="X198" s="4" t="str">
        <f>HYPERLINK("http://141.218.60.56/~jnz1568/getInfo.php?workbook=06_01.xlsx&amp;sheet=A0&amp;row=198&amp;col=24&amp;number=&amp;sourceID=13","")</f>
        <v/>
      </c>
      <c r="Y198" s="4" t="str">
        <f>HYPERLINK("http://141.218.60.56/~jnz1568/getInfo.php?workbook=06_01.xlsx&amp;sheet=A0&amp;row=198&amp;col=25&amp;number=&amp;sourceID=13","")</f>
        <v/>
      </c>
      <c r="Z198" s="4" t="str">
        <f>HYPERLINK("http://141.218.60.56/~jnz1568/getInfo.php?workbook=06_01.xlsx&amp;sheet=A0&amp;row=198&amp;col=26&amp;number=&amp;sourceID=13","")</f>
        <v/>
      </c>
    </row>
    <row r="199" spans="1:26">
      <c r="A199" s="3">
        <v>6</v>
      </c>
      <c r="B199" s="3">
        <v>1</v>
      </c>
      <c r="C199" s="3">
        <v>21</v>
      </c>
      <c r="D199" s="3">
        <v>14</v>
      </c>
      <c r="E199" s="3">
        <f>((1/(INDEX(E0!J$4:J$28,C199,1)-INDEX(E0!J$4:J$28,D199,1))))*100000000</f>
        <v>0</v>
      </c>
      <c r="F199" s="4" t="str">
        <f>HYPERLINK("http://141.218.60.56/~jnz1568/getInfo.php?workbook=06_01.xlsx&amp;sheet=A0&amp;row=199&amp;col=6&amp;number=&amp;sourceID=18","")</f>
        <v/>
      </c>
      <c r="G199" s="4" t="str">
        <f>HYPERLINK("http://141.218.60.56/~jnz1568/getInfo.php?workbook=06_01.xlsx&amp;sheet=A0&amp;row=199&amp;col=7&amp;number==&amp;sourceID=11","=")</f>
        <v>=</v>
      </c>
      <c r="H199" s="4" t="str">
        <f>HYPERLINK("http://141.218.60.56/~jnz1568/getInfo.php?workbook=06_01.xlsx&amp;sheet=A0&amp;row=199&amp;col=8&amp;number=&amp;sourceID=11","")</f>
        <v/>
      </c>
      <c r="I199" s="4" t="str">
        <f>HYPERLINK("http://141.218.60.56/~jnz1568/getInfo.php?workbook=06_01.xlsx&amp;sheet=A0&amp;row=199&amp;col=9&amp;number=6118.4&amp;sourceID=11","6118.4")</f>
        <v>6118.4</v>
      </c>
      <c r="J199" s="4" t="str">
        <f>HYPERLINK("http://141.218.60.56/~jnz1568/getInfo.php?workbook=06_01.xlsx&amp;sheet=A0&amp;row=199&amp;col=10&amp;number=&amp;sourceID=11","")</f>
        <v/>
      </c>
      <c r="K199" s="4" t="str">
        <f>HYPERLINK("http://141.218.60.56/~jnz1568/getInfo.php?workbook=06_01.xlsx&amp;sheet=A0&amp;row=199&amp;col=11&amp;number=7.7499e-05&amp;sourceID=11","7.7499e-05")</f>
        <v>7.7499e-05</v>
      </c>
      <c r="L199" s="4" t="str">
        <f>HYPERLINK("http://141.218.60.56/~jnz1568/getInfo.php?workbook=06_01.xlsx&amp;sheet=A0&amp;row=199&amp;col=12&amp;number=&amp;sourceID=11","")</f>
        <v/>
      </c>
      <c r="M199" s="4" t="str">
        <f>HYPERLINK("http://141.218.60.56/~jnz1568/getInfo.php?workbook=06_01.xlsx&amp;sheet=A0&amp;row=199&amp;col=13&amp;number=1.2198e-07&amp;sourceID=11","1.2198e-07")</f>
        <v>1.2198e-07</v>
      </c>
      <c r="N199" s="4" t="str">
        <f>HYPERLINK("http://141.218.60.56/~jnz1568/getInfo.php?workbook=06_01.xlsx&amp;sheet=A0&amp;row=199&amp;col=14&amp;number=6118.7&amp;sourceID=12","6118.7")</f>
        <v>6118.7</v>
      </c>
      <c r="O199" s="4" t="str">
        <f>HYPERLINK("http://141.218.60.56/~jnz1568/getInfo.php?workbook=06_01.xlsx&amp;sheet=A0&amp;row=199&amp;col=15&amp;number=&amp;sourceID=12","")</f>
        <v/>
      </c>
      <c r="P199" s="4" t="str">
        <f>HYPERLINK("http://141.218.60.56/~jnz1568/getInfo.php?workbook=06_01.xlsx&amp;sheet=A0&amp;row=199&amp;col=16&amp;number=6118.7&amp;sourceID=12","6118.7")</f>
        <v>6118.7</v>
      </c>
      <c r="Q199" s="4" t="str">
        <f>HYPERLINK("http://141.218.60.56/~jnz1568/getInfo.php?workbook=06_01.xlsx&amp;sheet=A0&amp;row=199&amp;col=17&amp;number=&amp;sourceID=12","")</f>
        <v/>
      </c>
      <c r="R199" s="4" t="str">
        <f>HYPERLINK("http://141.218.60.56/~jnz1568/getInfo.php?workbook=06_01.xlsx&amp;sheet=A0&amp;row=199&amp;col=18&amp;number=7.7502e-05&amp;sourceID=12","7.7502e-05")</f>
        <v>7.7502e-05</v>
      </c>
      <c r="S199" s="4" t="str">
        <f>HYPERLINK("http://141.218.60.56/~jnz1568/getInfo.php?workbook=06_01.xlsx&amp;sheet=A0&amp;row=199&amp;col=19&amp;number=&amp;sourceID=12","")</f>
        <v/>
      </c>
      <c r="T199" s="4" t="str">
        <f>HYPERLINK("http://141.218.60.56/~jnz1568/getInfo.php?workbook=06_01.xlsx&amp;sheet=A0&amp;row=199&amp;col=20&amp;number=1.2199e-07&amp;sourceID=12","1.2199e-07")</f>
        <v>1.2199e-07</v>
      </c>
      <c r="U199" s="4" t="str">
        <f>HYPERLINK("http://141.218.60.56/~jnz1568/getInfo.php?workbook=06_01.xlsx&amp;sheet=A0&amp;row=199&amp;col=21&amp;number=&amp;sourceID=13","")</f>
        <v/>
      </c>
      <c r="V199" s="4" t="str">
        <f>HYPERLINK("http://141.218.60.56/~jnz1568/getInfo.php?workbook=06_01.xlsx&amp;sheet=A0&amp;row=199&amp;col=22&amp;number=&amp;sourceID=13","")</f>
        <v/>
      </c>
      <c r="W199" s="4" t="str">
        <f>HYPERLINK("http://141.218.60.56/~jnz1568/getInfo.php?workbook=06_01.xlsx&amp;sheet=A0&amp;row=199&amp;col=23&amp;number=&amp;sourceID=13","")</f>
        <v/>
      </c>
      <c r="X199" s="4" t="str">
        <f>HYPERLINK("http://141.218.60.56/~jnz1568/getInfo.php?workbook=06_01.xlsx&amp;sheet=A0&amp;row=199&amp;col=24&amp;number=&amp;sourceID=13","")</f>
        <v/>
      </c>
      <c r="Y199" s="4" t="str">
        <f>HYPERLINK("http://141.218.60.56/~jnz1568/getInfo.php?workbook=06_01.xlsx&amp;sheet=A0&amp;row=199&amp;col=25&amp;number=&amp;sourceID=13","")</f>
        <v/>
      </c>
      <c r="Z199" s="4" t="str">
        <f>HYPERLINK("http://141.218.60.56/~jnz1568/getInfo.php?workbook=06_01.xlsx&amp;sheet=A0&amp;row=199&amp;col=26&amp;number=&amp;sourceID=13","")</f>
        <v/>
      </c>
    </row>
    <row r="200" spans="1:26">
      <c r="A200" s="3">
        <v>6</v>
      </c>
      <c r="B200" s="3">
        <v>1</v>
      </c>
      <c r="C200" s="3">
        <v>21</v>
      </c>
      <c r="D200" s="3">
        <v>15</v>
      </c>
      <c r="E200" s="3">
        <f>((1/(INDEX(E0!J$4:J$28,C200,1)-INDEX(E0!J$4:J$28,D200,1))))*100000000</f>
        <v>0</v>
      </c>
      <c r="F200" s="4" t="str">
        <f>HYPERLINK("http://141.218.60.56/~jnz1568/getInfo.php?workbook=06_01.xlsx&amp;sheet=A0&amp;row=200&amp;col=6&amp;number=&amp;sourceID=18","")</f>
        <v/>
      </c>
      <c r="G200" s="4" t="str">
        <f>HYPERLINK("http://141.218.60.56/~jnz1568/getInfo.php?workbook=06_01.xlsx&amp;sheet=A0&amp;row=200&amp;col=7&amp;number==&amp;sourceID=11","=")</f>
        <v>=</v>
      </c>
      <c r="H200" s="4" t="str">
        <f>HYPERLINK("http://141.218.60.56/~jnz1568/getInfo.php?workbook=06_01.xlsx&amp;sheet=A0&amp;row=200&amp;col=8&amp;number=223420000&amp;sourceID=11","223420000")</f>
        <v>223420000</v>
      </c>
      <c r="I200" s="4" t="str">
        <f>HYPERLINK("http://141.218.60.56/~jnz1568/getInfo.php?workbook=06_01.xlsx&amp;sheet=A0&amp;row=200&amp;col=9&amp;number=&amp;sourceID=11","")</f>
        <v/>
      </c>
      <c r="J200" s="4" t="str">
        <f>HYPERLINK("http://141.218.60.56/~jnz1568/getInfo.php?workbook=06_01.xlsx&amp;sheet=A0&amp;row=200&amp;col=10&amp;number=0.053523&amp;sourceID=11","0.053523")</f>
        <v>0.053523</v>
      </c>
      <c r="K200" s="4" t="str">
        <f>HYPERLINK("http://141.218.60.56/~jnz1568/getInfo.php?workbook=06_01.xlsx&amp;sheet=A0&amp;row=200&amp;col=11&amp;number=&amp;sourceID=11","")</f>
        <v/>
      </c>
      <c r="L200" s="4" t="str">
        <f>HYPERLINK("http://141.218.60.56/~jnz1568/getInfo.php?workbook=06_01.xlsx&amp;sheet=A0&amp;row=200&amp;col=12&amp;number=&amp;sourceID=11","")</f>
        <v/>
      </c>
      <c r="M200" s="4" t="str">
        <f>HYPERLINK("http://141.218.60.56/~jnz1568/getInfo.php?workbook=06_01.xlsx&amp;sheet=A0&amp;row=200&amp;col=13&amp;number=&amp;sourceID=11","")</f>
        <v/>
      </c>
      <c r="N200" s="4" t="str">
        <f>HYPERLINK("http://141.218.60.56/~jnz1568/getInfo.php?workbook=06_01.xlsx&amp;sheet=A0&amp;row=200&amp;col=14&amp;number=223430000&amp;sourceID=12","223430000")</f>
        <v>223430000</v>
      </c>
      <c r="O200" s="4" t="str">
        <f>HYPERLINK("http://141.218.60.56/~jnz1568/getInfo.php?workbook=06_01.xlsx&amp;sheet=A0&amp;row=200&amp;col=15&amp;number=223430000&amp;sourceID=12","223430000")</f>
        <v>223430000</v>
      </c>
      <c r="P200" s="4" t="str">
        <f>HYPERLINK("http://141.218.60.56/~jnz1568/getInfo.php?workbook=06_01.xlsx&amp;sheet=A0&amp;row=200&amp;col=16&amp;number=&amp;sourceID=12","")</f>
        <v/>
      </c>
      <c r="Q200" s="4" t="str">
        <f>HYPERLINK("http://141.218.60.56/~jnz1568/getInfo.php?workbook=06_01.xlsx&amp;sheet=A0&amp;row=200&amp;col=17&amp;number=0.053526&amp;sourceID=12","0.053526")</f>
        <v>0.053526</v>
      </c>
      <c r="R200" s="4" t="str">
        <f>HYPERLINK("http://141.218.60.56/~jnz1568/getInfo.php?workbook=06_01.xlsx&amp;sheet=A0&amp;row=200&amp;col=18&amp;number=&amp;sourceID=12","")</f>
        <v/>
      </c>
      <c r="S200" s="4" t="str">
        <f>HYPERLINK("http://141.218.60.56/~jnz1568/getInfo.php?workbook=06_01.xlsx&amp;sheet=A0&amp;row=200&amp;col=19&amp;number=&amp;sourceID=12","")</f>
        <v/>
      </c>
      <c r="T200" s="4" t="str">
        <f>HYPERLINK("http://141.218.60.56/~jnz1568/getInfo.php?workbook=06_01.xlsx&amp;sheet=A0&amp;row=200&amp;col=20&amp;number=&amp;sourceID=12","")</f>
        <v/>
      </c>
      <c r="U200" s="4" t="str">
        <f>HYPERLINK("http://141.218.60.56/~jnz1568/getInfo.php?workbook=06_01.xlsx&amp;sheet=A0&amp;row=200&amp;col=21&amp;number=&amp;sourceID=13","")</f>
        <v/>
      </c>
      <c r="V200" s="4" t="str">
        <f>HYPERLINK("http://141.218.60.56/~jnz1568/getInfo.php?workbook=06_01.xlsx&amp;sheet=A0&amp;row=200&amp;col=22&amp;number=&amp;sourceID=13","")</f>
        <v/>
      </c>
      <c r="W200" s="4" t="str">
        <f>HYPERLINK("http://141.218.60.56/~jnz1568/getInfo.php?workbook=06_01.xlsx&amp;sheet=A0&amp;row=200&amp;col=23&amp;number=&amp;sourceID=13","")</f>
        <v/>
      </c>
      <c r="X200" s="4" t="str">
        <f>HYPERLINK("http://141.218.60.56/~jnz1568/getInfo.php?workbook=06_01.xlsx&amp;sheet=A0&amp;row=200&amp;col=24&amp;number=&amp;sourceID=13","")</f>
        <v/>
      </c>
      <c r="Y200" s="4" t="str">
        <f>HYPERLINK("http://141.218.60.56/~jnz1568/getInfo.php?workbook=06_01.xlsx&amp;sheet=A0&amp;row=200&amp;col=25&amp;number=&amp;sourceID=13","")</f>
        <v/>
      </c>
      <c r="Z200" s="4" t="str">
        <f>HYPERLINK("http://141.218.60.56/~jnz1568/getInfo.php?workbook=06_01.xlsx&amp;sheet=A0&amp;row=200&amp;col=26&amp;number=&amp;sourceID=13","")</f>
        <v/>
      </c>
    </row>
    <row r="201" spans="1:26">
      <c r="A201" s="3">
        <v>6</v>
      </c>
      <c r="B201" s="3">
        <v>1</v>
      </c>
      <c r="C201" s="3">
        <v>21</v>
      </c>
      <c r="D201" s="3">
        <v>16</v>
      </c>
      <c r="E201" s="3">
        <f>((1/(INDEX(E0!J$4:J$28,C201,1)-INDEX(E0!J$4:J$28,D201,1))))*100000000</f>
        <v>0</v>
      </c>
      <c r="F201" s="4" t="str">
        <f>HYPERLINK("http://141.218.60.56/~jnz1568/getInfo.php?workbook=06_01.xlsx&amp;sheet=A0&amp;row=201&amp;col=6&amp;number=&amp;sourceID=18","")</f>
        <v/>
      </c>
      <c r="G201" s="4" t="str">
        <f>HYPERLINK("http://141.218.60.56/~jnz1568/getInfo.php?workbook=06_01.xlsx&amp;sheet=A0&amp;row=201&amp;col=7&amp;number==&amp;sourceID=11","=")</f>
        <v>=</v>
      </c>
      <c r="H201" s="4" t="str">
        <f>HYPERLINK("http://141.218.60.56/~jnz1568/getInfo.php?workbook=06_01.xlsx&amp;sheet=A0&amp;row=201&amp;col=8&amp;number=&amp;sourceID=11","")</f>
        <v/>
      </c>
      <c r="I201" s="4" t="str">
        <f>HYPERLINK("http://141.218.60.56/~jnz1568/getInfo.php?workbook=06_01.xlsx&amp;sheet=A0&amp;row=201&amp;col=9&amp;number=1019.6&amp;sourceID=11","1019.6")</f>
        <v>1019.6</v>
      </c>
      <c r="J201" s="4" t="str">
        <f>HYPERLINK("http://141.218.60.56/~jnz1568/getInfo.php?workbook=06_01.xlsx&amp;sheet=A0&amp;row=201&amp;col=10&amp;number=&amp;sourceID=11","")</f>
        <v/>
      </c>
      <c r="K201" s="4" t="str">
        <f>HYPERLINK("http://141.218.60.56/~jnz1568/getInfo.php?workbook=06_01.xlsx&amp;sheet=A0&amp;row=201&amp;col=11&amp;number=7.2245e-05&amp;sourceID=11","7.2245e-05")</f>
        <v>7.2245e-05</v>
      </c>
      <c r="L201" s="4" t="str">
        <f>HYPERLINK("http://141.218.60.56/~jnz1568/getInfo.php?workbook=06_01.xlsx&amp;sheet=A0&amp;row=201&amp;col=12&amp;number=&amp;sourceID=11","")</f>
        <v/>
      </c>
      <c r="M201" s="4" t="str">
        <f>HYPERLINK("http://141.218.60.56/~jnz1568/getInfo.php?workbook=06_01.xlsx&amp;sheet=A0&amp;row=201&amp;col=13&amp;number=1.5054e-08&amp;sourceID=11","1.5054e-08")</f>
        <v>1.5054e-08</v>
      </c>
      <c r="N201" s="4" t="str">
        <f>HYPERLINK("http://141.218.60.56/~jnz1568/getInfo.php?workbook=06_01.xlsx&amp;sheet=A0&amp;row=201&amp;col=14&amp;number=1019.6&amp;sourceID=12","1019.6")</f>
        <v>1019.6</v>
      </c>
      <c r="O201" s="4" t="str">
        <f>HYPERLINK("http://141.218.60.56/~jnz1568/getInfo.php?workbook=06_01.xlsx&amp;sheet=A0&amp;row=201&amp;col=15&amp;number=&amp;sourceID=12","")</f>
        <v/>
      </c>
      <c r="P201" s="4" t="str">
        <f>HYPERLINK("http://141.218.60.56/~jnz1568/getInfo.php?workbook=06_01.xlsx&amp;sheet=A0&amp;row=201&amp;col=16&amp;number=1019.6&amp;sourceID=12","1019.6")</f>
        <v>1019.6</v>
      </c>
      <c r="Q201" s="4" t="str">
        <f>HYPERLINK("http://141.218.60.56/~jnz1568/getInfo.php?workbook=06_01.xlsx&amp;sheet=A0&amp;row=201&amp;col=17&amp;number=&amp;sourceID=12","")</f>
        <v/>
      </c>
      <c r="R201" s="4" t="str">
        <f>HYPERLINK("http://141.218.60.56/~jnz1568/getInfo.php?workbook=06_01.xlsx&amp;sheet=A0&amp;row=201&amp;col=18&amp;number=7.2252e-05&amp;sourceID=12","7.2252e-05")</f>
        <v>7.2252e-05</v>
      </c>
      <c r="S201" s="4" t="str">
        <f>HYPERLINK("http://141.218.60.56/~jnz1568/getInfo.php?workbook=06_01.xlsx&amp;sheet=A0&amp;row=201&amp;col=19&amp;number=&amp;sourceID=12","")</f>
        <v/>
      </c>
      <c r="T201" s="4" t="str">
        <f>HYPERLINK("http://141.218.60.56/~jnz1568/getInfo.php?workbook=06_01.xlsx&amp;sheet=A0&amp;row=201&amp;col=20&amp;number=1.5055e-08&amp;sourceID=12","1.5055e-08")</f>
        <v>1.5055e-08</v>
      </c>
      <c r="U201" s="4" t="str">
        <f>HYPERLINK("http://141.218.60.56/~jnz1568/getInfo.php?workbook=06_01.xlsx&amp;sheet=A0&amp;row=201&amp;col=21&amp;number=&amp;sourceID=13","")</f>
        <v/>
      </c>
      <c r="V201" s="4" t="str">
        <f>HYPERLINK("http://141.218.60.56/~jnz1568/getInfo.php?workbook=06_01.xlsx&amp;sheet=A0&amp;row=201&amp;col=22&amp;number=&amp;sourceID=13","")</f>
        <v/>
      </c>
      <c r="W201" s="4" t="str">
        <f>HYPERLINK("http://141.218.60.56/~jnz1568/getInfo.php?workbook=06_01.xlsx&amp;sheet=A0&amp;row=201&amp;col=23&amp;number=&amp;sourceID=13","")</f>
        <v/>
      </c>
      <c r="X201" s="4" t="str">
        <f>HYPERLINK("http://141.218.60.56/~jnz1568/getInfo.php?workbook=06_01.xlsx&amp;sheet=A0&amp;row=201&amp;col=24&amp;number=&amp;sourceID=13","")</f>
        <v/>
      </c>
      <c r="Y201" s="4" t="str">
        <f>HYPERLINK("http://141.218.60.56/~jnz1568/getInfo.php?workbook=06_01.xlsx&amp;sheet=A0&amp;row=201&amp;col=25&amp;number=&amp;sourceID=13","")</f>
        <v/>
      </c>
      <c r="Z201" s="4" t="str">
        <f>HYPERLINK("http://141.218.60.56/~jnz1568/getInfo.php?workbook=06_01.xlsx&amp;sheet=A0&amp;row=201&amp;col=26&amp;number=&amp;sourceID=13","")</f>
        <v/>
      </c>
    </row>
    <row r="202" spans="1:26">
      <c r="A202" s="3">
        <v>6</v>
      </c>
      <c r="B202" s="3">
        <v>1</v>
      </c>
      <c r="C202" s="3">
        <v>21</v>
      </c>
      <c r="D202" s="3">
        <v>17</v>
      </c>
      <c r="E202" s="3">
        <f>((1/(INDEX(E0!J$4:J$28,C202,1)-INDEX(E0!J$4:J$28,D202,1))))*100000000</f>
        <v>0</v>
      </c>
      <c r="F202" s="4" t="str">
        <f>HYPERLINK("http://141.218.60.56/~jnz1568/getInfo.php?workbook=06_01.xlsx&amp;sheet=A0&amp;row=202&amp;col=6&amp;number=&amp;sourceID=18","")</f>
        <v/>
      </c>
      <c r="G202" s="4" t="str">
        <f>HYPERLINK("http://141.218.60.56/~jnz1568/getInfo.php?workbook=06_01.xlsx&amp;sheet=A0&amp;row=202&amp;col=7&amp;number==&amp;sourceID=11","=")</f>
        <v>=</v>
      </c>
      <c r="H202" s="4" t="str">
        <f>HYPERLINK("http://141.218.60.56/~jnz1568/getInfo.php?workbook=06_01.xlsx&amp;sheet=A0&amp;row=202&amp;col=8&amp;number=&amp;sourceID=11","")</f>
        <v/>
      </c>
      <c r="I202" s="4" t="str">
        <f>HYPERLINK("http://141.218.60.56/~jnz1568/getInfo.php?workbook=06_01.xlsx&amp;sheet=A0&amp;row=202&amp;col=9&amp;number=2.45e-12&amp;sourceID=11","2.45e-12")</f>
        <v>2.45e-12</v>
      </c>
      <c r="J202" s="4" t="str">
        <f>HYPERLINK("http://141.218.60.56/~jnz1568/getInfo.php?workbook=06_01.xlsx&amp;sheet=A0&amp;row=202&amp;col=10&amp;number=&amp;sourceID=11","")</f>
        <v/>
      </c>
      <c r="K202" s="4" t="str">
        <f>HYPERLINK("http://141.218.60.56/~jnz1568/getInfo.php?workbook=06_01.xlsx&amp;sheet=A0&amp;row=202&amp;col=11&amp;number=&amp;sourceID=11","")</f>
        <v/>
      </c>
      <c r="L202" s="4" t="str">
        <f>HYPERLINK("http://141.218.60.56/~jnz1568/getInfo.php?workbook=06_01.xlsx&amp;sheet=A0&amp;row=202&amp;col=12&amp;number=&amp;sourceID=11","")</f>
        <v/>
      </c>
      <c r="M202" s="4" t="str">
        <f>HYPERLINK("http://141.218.60.56/~jnz1568/getInfo.php?workbook=06_01.xlsx&amp;sheet=A0&amp;row=202&amp;col=13&amp;number=0&amp;sourceID=11","0")</f>
        <v>0</v>
      </c>
      <c r="N202" s="4" t="str">
        <f>HYPERLINK("http://141.218.60.56/~jnz1568/getInfo.php?workbook=06_01.xlsx&amp;sheet=A0&amp;row=202&amp;col=14&amp;number=2.451e-12&amp;sourceID=12","2.451e-12")</f>
        <v>2.451e-12</v>
      </c>
      <c r="O202" s="4" t="str">
        <f>HYPERLINK("http://141.218.60.56/~jnz1568/getInfo.php?workbook=06_01.xlsx&amp;sheet=A0&amp;row=202&amp;col=15&amp;number=&amp;sourceID=12","")</f>
        <v/>
      </c>
      <c r="P202" s="4" t="str">
        <f>HYPERLINK("http://141.218.60.56/~jnz1568/getInfo.php?workbook=06_01.xlsx&amp;sheet=A0&amp;row=202&amp;col=16&amp;number=2.451e-12&amp;sourceID=12","2.451e-12")</f>
        <v>2.451e-12</v>
      </c>
      <c r="Q202" s="4" t="str">
        <f>HYPERLINK("http://141.218.60.56/~jnz1568/getInfo.php?workbook=06_01.xlsx&amp;sheet=A0&amp;row=202&amp;col=17&amp;number=&amp;sourceID=12","")</f>
        <v/>
      </c>
      <c r="R202" s="4" t="str">
        <f>HYPERLINK("http://141.218.60.56/~jnz1568/getInfo.php?workbook=06_01.xlsx&amp;sheet=A0&amp;row=202&amp;col=18&amp;number=&amp;sourceID=12","")</f>
        <v/>
      </c>
      <c r="S202" s="4" t="str">
        <f>HYPERLINK("http://141.218.60.56/~jnz1568/getInfo.php?workbook=06_01.xlsx&amp;sheet=A0&amp;row=202&amp;col=19&amp;number=&amp;sourceID=12","")</f>
        <v/>
      </c>
      <c r="T202" s="4" t="str">
        <f>HYPERLINK("http://141.218.60.56/~jnz1568/getInfo.php?workbook=06_01.xlsx&amp;sheet=A0&amp;row=202&amp;col=20&amp;number=0&amp;sourceID=12","0")</f>
        <v>0</v>
      </c>
      <c r="U202" s="4" t="str">
        <f>HYPERLINK("http://141.218.60.56/~jnz1568/getInfo.php?workbook=06_01.xlsx&amp;sheet=A0&amp;row=202&amp;col=21&amp;number=&amp;sourceID=13","")</f>
        <v/>
      </c>
      <c r="V202" s="4" t="str">
        <f>HYPERLINK("http://141.218.60.56/~jnz1568/getInfo.php?workbook=06_01.xlsx&amp;sheet=A0&amp;row=202&amp;col=22&amp;number=&amp;sourceID=13","")</f>
        <v/>
      </c>
      <c r="W202" s="4" t="str">
        <f>HYPERLINK("http://141.218.60.56/~jnz1568/getInfo.php?workbook=06_01.xlsx&amp;sheet=A0&amp;row=202&amp;col=23&amp;number=&amp;sourceID=13","")</f>
        <v/>
      </c>
      <c r="X202" s="4" t="str">
        <f>HYPERLINK("http://141.218.60.56/~jnz1568/getInfo.php?workbook=06_01.xlsx&amp;sheet=A0&amp;row=202&amp;col=24&amp;number=&amp;sourceID=13","")</f>
        <v/>
      </c>
      <c r="Y202" s="4" t="str">
        <f>HYPERLINK("http://141.218.60.56/~jnz1568/getInfo.php?workbook=06_01.xlsx&amp;sheet=A0&amp;row=202&amp;col=25&amp;number=&amp;sourceID=13","")</f>
        <v/>
      </c>
      <c r="Z202" s="4" t="str">
        <f>HYPERLINK("http://141.218.60.56/~jnz1568/getInfo.php?workbook=06_01.xlsx&amp;sheet=A0&amp;row=202&amp;col=26&amp;number=&amp;sourceID=13","")</f>
        <v/>
      </c>
    </row>
    <row r="203" spans="1:26">
      <c r="A203" s="3">
        <v>6</v>
      </c>
      <c r="B203" s="3">
        <v>1</v>
      </c>
      <c r="C203" s="3">
        <v>21</v>
      </c>
      <c r="D203" s="3">
        <v>18</v>
      </c>
      <c r="E203" s="3">
        <f>((1/(INDEX(E0!J$4:J$28,C203,1)-INDEX(E0!J$4:J$28,D203,1))))*100000000</f>
        <v>0</v>
      </c>
      <c r="F203" s="4" t="str">
        <f>HYPERLINK("http://141.218.60.56/~jnz1568/getInfo.php?workbook=06_01.xlsx&amp;sheet=A0&amp;row=203&amp;col=6&amp;number=&amp;sourceID=18","")</f>
        <v/>
      </c>
      <c r="G203" s="4" t="str">
        <f>HYPERLINK("http://141.218.60.56/~jnz1568/getInfo.php?workbook=06_01.xlsx&amp;sheet=A0&amp;row=203&amp;col=7&amp;number==&amp;sourceID=11","=")</f>
        <v>=</v>
      </c>
      <c r="H203" s="4" t="str">
        <f>HYPERLINK("http://141.218.60.56/~jnz1568/getInfo.php?workbook=06_01.xlsx&amp;sheet=A0&amp;row=203&amp;col=8&amp;number=&amp;sourceID=11","")</f>
        <v/>
      </c>
      <c r="I203" s="4" t="str">
        <f>HYPERLINK("http://141.218.60.56/~jnz1568/getInfo.php?workbook=06_01.xlsx&amp;sheet=A0&amp;row=203&amp;col=9&amp;number=&amp;sourceID=11","")</f>
        <v/>
      </c>
      <c r="J203" s="4" t="str">
        <f>HYPERLINK("http://141.218.60.56/~jnz1568/getInfo.php?workbook=06_01.xlsx&amp;sheet=A0&amp;row=203&amp;col=10&amp;number=0&amp;sourceID=11","0")</f>
        <v>0</v>
      </c>
      <c r="K203" s="4" t="str">
        <f>HYPERLINK("http://141.218.60.56/~jnz1568/getInfo.php?workbook=06_01.xlsx&amp;sheet=A0&amp;row=203&amp;col=11&amp;number=&amp;sourceID=11","")</f>
        <v/>
      </c>
      <c r="L203" s="4" t="str">
        <f>HYPERLINK("http://141.218.60.56/~jnz1568/getInfo.php?workbook=06_01.xlsx&amp;sheet=A0&amp;row=203&amp;col=12&amp;number=0&amp;sourceID=11","0")</f>
        <v>0</v>
      </c>
      <c r="M203" s="4" t="str">
        <f>HYPERLINK("http://141.218.60.56/~jnz1568/getInfo.php?workbook=06_01.xlsx&amp;sheet=A0&amp;row=203&amp;col=13&amp;number=&amp;sourceID=11","")</f>
        <v/>
      </c>
      <c r="N203" s="4" t="str">
        <f>HYPERLINK("http://141.218.60.56/~jnz1568/getInfo.php?workbook=06_01.xlsx&amp;sheet=A0&amp;row=203&amp;col=14&amp;number=0&amp;sourceID=12","0")</f>
        <v>0</v>
      </c>
      <c r="O203" s="4" t="str">
        <f>HYPERLINK("http://141.218.60.56/~jnz1568/getInfo.php?workbook=06_01.xlsx&amp;sheet=A0&amp;row=203&amp;col=15&amp;number=&amp;sourceID=12","")</f>
        <v/>
      </c>
      <c r="P203" s="4" t="str">
        <f>HYPERLINK("http://141.218.60.56/~jnz1568/getInfo.php?workbook=06_01.xlsx&amp;sheet=A0&amp;row=203&amp;col=16&amp;number=&amp;sourceID=12","")</f>
        <v/>
      </c>
      <c r="Q203" s="4" t="str">
        <f>HYPERLINK("http://141.218.60.56/~jnz1568/getInfo.php?workbook=06_01.xlsx&amp;sheet=A0&amp;row=203&amp;col=17&amp;number=0&amp;sourceID=12","0")</f>
        <v>0</v>
      </c>
      <c r="R203" s="4" t="str">
        <f>HYPERLINK("http://141.218.60.56/~jnz1568/getInfo.php?workbook=06_01.xlsx&amp;sheet=A0&amp;row=203&amp;col=18&amp;number=&amp;sourceID=12","")</f>
        <v/>
      </c>
      <c r="S203" s="4" t="str">
        <f>HYPERLINK("http://141.218.60.56/~jnz1568/getInfo.php?workbook=06_01.xlsx&amp;sheet=A0&amp;row=203&amp;col=19&amp;number=0&amp;sourceID=12","0")</f>
        <v>0</v>
      </c>
      <c r="T203" s="4" t="str">
        <f>HYPERLINK("http://141.218.60.56/~jnz1568/getInfo.php?workbook=06_01.xlsx&amp;sheet=A0&amp;row=203&amp;col=20&amp;number=&amp;sourceID=12","")</f>
        <v/>
      </c>
      <c r="U203" s="4" t="str">
        <f>HYPERLINK("http://141.218.60.56/~jnz1568/getInfo.php?workbook=06_01.xlsx&amp;sheet=A0&amp;row=203&amp;col=21&amp;number=&amp;sourceID=13","")</f>
        <v/>
      </c>
      <c r="V203" s="4" t="str">
        <f>HYPERLINK("http://141.218.60.56/~jnz1568/getInfo.php?workbook=06_01.xlsx&amp;sheet=A0&amp;row=203&amp;col=22&amp;number=&amp;sourceID=13","")</f>
        <v/>
      </c>
      <c r="W203" s="4" t="str">
        <f>HYPERLINK("http://141.218.60.56/~jnz1568/getInfo.php?workbook=06_01.xlsx&amp;sheet=A0&amp;row=203&amp;col=23&amp;number=&amp;sourceID=13","")</f>
        <v/>
      </c>
      <c r="X203" s="4" t="str">
        <f>HYPERLINK("http://141.218.60.56/~jnz1568/getInfo.php?workbook=06_01.xlsx&amp;sheet=A0&amp;row=203&amp;col=24&amp;number=&amp;sourceID=13","")</f>
        <v/>
      </c>
      <c r="Y203" s="4" t="str">
        <f>HYPERLINK("http://141.218.60.56/~jnz1568/getInfo.php?workbook=06_01.xlsx&amp;sheet=A0&amp;row=203&amp;col=25&amp;number=&amp;sourceID=13","")</f>
        <v/>
      </c>
      <c r="Z203" s="4" t="str">
        <f>HYPERLINK("http://141.218.60.56/~jnz1568/getInfo.php?workbook=06_01.xlsx&amp;sheet=A0&amp;row=203&amp;col=26&amp;number=&amp;sourceID=13","")</f>
        <v/>
      </c>
    </row>
    <row r="204" spans="1:26">
      <c r="A204" s="3">
        <v>6</v>
      </c>
      <c r="B204" s="3">
        <v>1</v>
      </c>
      <c r="C204" s="3">
        <v>21</v>
      </c>
      <c r="D204" s="3">
        <v>19</v>
      </c>
      <c r="E204" s="3">
        <f>((1/(INDEX(E0!J$4:J$28,C204,1)-INDEX(E0!J$4:J$28,D204,1))))*100000000</f>
        <v>0</v>
      </c>
      <c r="F204" s="4" t="str">
        <f>HYPERLINK("http://141.218.60.56/~jnz1568/getInfo.php?workbook=06_01.xlsx&amp;sheet=A0&amp;row=204&amp;col=6&amp;number=&amp;sourceID=18","")</f>
        <v/>
      </c>
      <c r="G204" s="4" t="str">
        <f>HYPERLINK("http://141.218.60.56/~jnz1568/getInfo.php?workbook=06_01.xlsx&amp;sheet=A0&amp;row=204&amp;col=7&amp;number==&amp;sourceID=11","=")</f>
        <v>=</v>
      </c>
      <c r="H204" s="4" t="str">
        <f>HYPERLINK("http://141.218.60.56/~jnz1568/getInfo.php?workbook=06_01.xlsx&amp;sheet=A0&amp;row=204&amp;col=8&amp;number=0.020882&amp;sourceID=11","0.020882")</f>
        <v>0.020882</v>
      </c>
      <c r="I204" s="4" t="str">
        <f>HYPERLINK("http://141.218.60.56/~jnz1568/getInfo.php?workbook=06_01.xlsx&amp;sheet=A0&amp;row=204&amp;col=9&amp;number=&amp;sourceID=11","")</f>
        <v/>
      </c>
      <c r="J204" s="4" t="str">
        <f>HYPERLINK("http://141.218.60.56/~jnz1568/getInfo.php?workbook=06_01.xlsx&amp;sheet=A0&amp;row=204&amp;col=10&amp;number=0&amp;sourceID=11","0")</f>
        <v>0</v>
      </c>
      <c r="K204" s="4" t="str">
        <f>HYPERLINK("http://141.218.60.56/~jnz1568/getInfo.php?workbook=06_01.xlsx&amp;sheet=A0&amp;row=204&amp;col=11&amp;number=&amp;sourceID=11","")</f>
        <v/>
      </c>
      <c r="L204" s="4" t="str">
        <f>HYPERLINK("http://141.218.60.56/~jnz1568/getInfo.php?workbook=06_01.xlsx&amp;sheet=A0&amp;row=204&amp;col=12&amp;number=0&amp;sourceID=11","0")</f>
        <v>0</v>
      </c>
      <c r="M204" s="4" t="str">
        <f>HYPERLINK("http://141.218.60.56/~jnz1568/getInfo.php?workbook=06_01.xlsx&amp;sheet=A0&amp;row=204&amp;col=13&amp;number=&amp;sourceID=11","")</f>
        <v/>
      </c>
      <c r="N204" s="4" t="str">
        <f>HYPERLINK("http://141.218.60.56/~jnz1568/getInfo.php?workbook=06_01.xlsx&amp;sheet=A0&amp;row=204&amp;col=14&amp;number=0.020891&amp;sourceID=12","0.020891")</f>
        <v>0.020891</v>
      </c>
      <c r="O204" s="4" t="str">
        <f>HYPERLINK("http://141.218.60.56/~jnz1568/getInfo.php?workbook=06_01.xlsx&amp;sheet=A0&amp;row=204&amp;col=15&amp;number=0.020891&amp;sourceID=12","0.020891")</f>
        <v>0.020891</v>
      </c>
      <c r="P204" s="4" t="str">
        <f>HYPERLINK("http://141.218.60.56/~jnz1568/getInfo.php?workbook=06_01.xlsx&amp;sheet=A0&amp;row=204&amp;col=16&amp;number=&amp;sourceID=12","")</f>
        <v/>
      </c>
      <c r="Q204" s="4" t="str">
        <f>HYPERLINK("http://141.218.60.56/~jnz1568/getInfo.php?workbook=06_01.xlsx&amp;sheet=A0&amp;row=204&amp;col=17&amp;number=0&amp;sourceID=12","0")</f>
        <v>0</v>
      </c>
      <c r="R204" s="4" t="str">
        <f>HYPERLINK("http://141.218.60.56/~jnz1568/getInfo.php?workbook=06_01.xlsx&amp;sheet=A0&amp;row=204&amp;col=18&amp;number=&amp;sourceID=12","")</f>
        <v/>
      </c>
      <c r="S204" s="4" t="str">
        <f>HYPERLINK("http://141.218.60.56/~jnz1568/getInfo.php?workbook=06_01.xlsx&amp;sheet=A0&amp;row=204&amp;col=19&amp;number=0&amp;sourceID=12","0")</f>
        <v>0</v>
      </c>
      <c r="T204" s="4" t="str">
        <f>HYPERLINK("http://141.218.60.56/~jnz1568/getInfo.php?workbook=06_01.xlsx&amp;sheet=A0&amp;row=204&amp;col=20&amp;number=&amp;sourceID=12","")</f>
        <v/>
      </c>
      <c r="U204" s="4" t="str">
        <f>HYPERLINK("http://141.218.60.56/~jnz1568/getInfo.php?workbook=06_01.xlsx&amp;sheet=A0&amp;row=204&amp;col=21&amp;number=&amp;sourceID=13","")</f>
        <v/>
      </c>
      <c r="V204" s="4" t="str">
        <f>HYPERLINK("http://141.218.60.56/~jnz1568/getInfo.php?workbook=06_01.xlsx&amp;sheet=A0&amp;row=204&amp;col=22&amp;number=&amp;sourceID=13","")</f>
        <v/>
      </c>
      <c r="W204" s="4" t="str">
        <f>HYPERLINK("http://141.218.60.56/~jnz1568/getInfo.php?workbook=06_01.xlsx&amp;sheet=A0&amp;row=204&amp;col=23&amp;number=&amp;sourceID=13","")</f>
        <v/>
      </c>
      <c r="X204" s="4" t="str">
        <f>HYPERLINK("http://141.218.60.56/~jnz1568/getInfo.php?workbook=06_01.xlsx&amp;sheet=A0&amp;row=204&amp;col=24&amp;number=&amp;sourceID=13","")</f>
        <v/>
      </c>
      <c r="Y204" s="4" t="str">
        <f>HYPERLINK("http://141.218.60.56/~jnz1568/getInfo.php?workbook=06_01.xlsx&amp;sheet=A0&amp;row=204&amp;col=25&amp;number=&amp;sourceID=13","")</f>
        <v/>
      </c>
      <c r="Z204" s="4" t="str">
        <f>HYPERLINK("http://141.218.60.56/~jnz1568/getInfo.php?workbook=06_01.xlsx&amp;sheet=A0&amp;row=204&amp;col=26&amp;number=&amp;sourceID=13","")</f>
        <v/>
      </c>
    </row>
    <row r="205" spans="1:26">
      <c r="A205" s="3">
        <v>6</v>
      </c>
      <c r="B205" s="3">
        <v>1</v>
      </c>
      <c r="C205" s="3">
        <v>21</v>
      </c>
      <c r="D205" s="3">
        <v>20</v>
      </c>
      <c r="E205" s="3">
        <f>((1/(INDEX(E0!J$4:J$28,C205,1)-INDEX(E0!J$4:J$28,D205,1))))*100000000</f>
        <v>0</v>
      </c>
      <c r="F205" s="4" t="str">
        <f>HYPERLINK("http://141.218.60.56/~jnz1568/getInfo.php?workbook=06_01.xlsx&amp;sheet=A0&amp;row=205&amp;col=6&amp;number=&amp;sourceID=18","")</f>
        <v/>
      </c>
      <c r="G205" s="4" t="str">
        <f>HYPERLINK("http://141.218.60.56/~jnz1568/getInfo.php?workbook=06_01.xlsx&amp;sheet=A0&amp;row=205&amp;col=7&amp;number==&amp;sourceID=11","=")</f>
        <v>=</v>
      </c>
      <c r="H205" s="4" t="str">
        <f>HYPERLINK("http://141.218.60.56/~jnz1568/getInfo.php?workbook=06_01.xlsx&amp;sheet=A0&amp;row=205&amp;col=8&amp;number=&amp;sourceID=11","")</f>
        <v/>
      </c>
      <c r="I205" s="4" t="str">
        <f>HYPERLINK("http://141.218.60.56/~jnz1568/getInfo.php?workbook=06_01.xlsx&amp;sheet=A0&amp;row=205&amp;col=9&amp;number=1e-15&amp;sourceID=11","1e-15")</f>
        <v>1e-15</v>
      </c>
      <c r="J205" s="4" t="str">
        <f>HYPERLINK("http://141.218.60.56/~jnz1568/getInfo.php?workbook=06_01.xlsx&amp;sheet=A0&amp;row=205&amp;col=10&amp;number=&amp;sourceID=11","")</f>
        <v/>
      </c>
      <c r="K205" s="4" t="str">
        <f>HYPERLINK("http://141.218.60.56/~jnz1568/getInfo.php?workbook=06_01.xlsx&amp;sheet=A0&amp;row=205&amp;col=11&amp;number=0&amp;sourceID=11","0")</f>
        <v>0</v>
      </c>
      <c r="L205" s="4" t="str">
        <f>HYPERLINK("http://141.218.60.56/~jnz1568/getInfo.php?workbook=06_01.xlsx&amp;sheet=A0&amp;row=205&amp;col=12&amp;number=&amp;sourceID=11","")</f>
        <v/>
      </c>
      <c r="M205" s="4" t="str">
        <f>HYPERLINK("http://141.218.60.56/~jnz1568/getInfo.php?workbook=06_01.xlsx&amp;sheet=A0&amp;row=205&amp;col=13&amp;number=0&amp;sourceID=11","0")</f>
        <v>0</v>
      </c>
      <c r="N205" s="4" t="str">
        <f>HYPERLINK("http://141.218.60.56/~jnz1568/getInfo.php?workbook=06_01.xlsx&amp;sheet=A0&amp;row=205&amp;col=14&amp;number=1e-15&amp;sourceID=12","1e-15")</f>
        <v>1e-15</v>
      </c>
      <c r="O205" s="4" t="str">
        <f>HYPERLINK("http://141.218.60.56/~jnz1568/getInfo.php?workbook=06_01.xlsx&amp;sheet=A0&amp;row=205&amp;col=15&amp;number=&amp;sourceID=12","")</f>
        <v/>
      </c>
      <c r="P205" s="4" t="str">
        <f>HYPERLINK("http://141.218.60.56/~jnz1568/getInfo.php?workbook=06_01.xlsx&amp;sheet=A0&amp;row=205&amp;col=16&amp;number=1e-15&amp;sourceID=12","1e-15")</f>
        <v>1e-15</v>
      </c>
      <c r="Q205" s="4" t="str">
        <f>HYPERLINK("http://141.218.60.56/~jnz1568/getInfo.php?workbook=06_01.xlsx&amp;sheet=A0&amp;row=205&amp;col=17&amp;number=&amp;sourceID=12","")</f>
        <v/>
      </c>
      <c r="R205" s="4" t="str">
        <f>HYPERLINK("http://141.218.60.56/~jnz1568/getInfo.php?workbook=06_01.xlsx&amp;sheet=A0&amp;row=205&amp;col=18&amp;number=0&amp;sourceID=12","0")</f>
        <v>0</v>
      </c>
      <c r="S205" s="4" t="str">
        <f>HYPERLINK("http://141.218.60.56/~jnz1568/getInfo.php?workbook=06_01.xlsx&amp;sheet=A0&amp;row=205&amp;col=19&amp;number=&amp;sourceID=12","")</f>
        <v/>
      </c>
      <c r="T205" s="4" t="str">
        <f>HYPERLINK("http://141.218.60.56/~jnz1568/getInfo.php?workbook=06_01.xlsx&amp;sheet=A0&amp;row=205&amp;col=20&amp;number=0&amp;sourceID=12","0")</f>
        <v>0</v>
      </c>
      <c r="U205" s="4" t="str">
        <f>HYPERLINK("http://141.218.60.56/~jnz1568/getInfo.php?workbook=06_01.xlsx&amp;sheet=A0&amp;row=205&amp;col=21&amp;number=&amp;sourceID=13","")</f>
        <v/>
      </c>
      <c r="V205" s="4" t="str">
        <f>HYPERLINK("http://141.218.60.56/~jnz1568/getInfo.php?workbook=06_01.xlsx&amp;sheet=A0&amp;row=205&amp;col=22&amp;number=&amp;sourceID=13","")</f>
        <v/>
      </c>
      <c r="W205" s="4" t="str">
        <f>HYPERLINK("http://141.218.60.56/~jnz1568/getInfo.php?workbook=06_01.xlsx&amp;sheet=A0&amp;row=205&amp;col=23&amp;number=&amp;sourceID=13","")</f>
        <v/>
      </c>
      <c r="X205" s="4" t="str">
        <f>HYPERLINK("http://141.218.60.56/~jnz1568/getInfo.php?workbook=06_01.xlsx&amp;sheet=A0&amp;row=205&amp;col=24&amp;number=&amp;sourceID=13","")</f>
        <v/>
      </c>
      <c r="Y205" s="4" t="str">
        <f>HYPERLINK("http://141.218.60.56/~jnz1568/getInfo.php?workbook=06_01.xlsx&amp;sheet=A0&amp;row=205&amp;col=25&amp;number=&amp;sourceID=13","")</f>
        <v/>
      </c>
      <c r="Z205" s="4" t="str">
        <f>HYPERLINK("http://141.218.60.56/~jnz1568/getInfo.php?workbook=06_01.xlsx&amp;sheet=A0&amp;row=205&amp;col=26&amp;number=&amp;sourceID=13","")</f>
        <v/>
      </c>
    </row>
    <row r="206" spans="1:26">
      <c r="A206" s="3">
        <v>6</v>
      </c>
      <c r="B206" s="3">
        <v>1</v>
      </c>
      <c r="C206" s="3">
        <v>22</v>
      </c>
      <c r="D206" s="3">
        <v>1</v>
      </c>
      <c r="E206" s="3">
        <f>((1/(INDEX(E0!J$4:J$28,C206,1)-INDEX(E0!J$4:J$28,D206,1))))*100000000</f>
        <v>0</v>
      </c>
      <c r="F206" s="4" t="str">
        <f>HYPERLINK("http://141.218.60.56/~jnz1568/getInfo.php?workbook=06_01.xlsx&amp;sheet=A0&amp;row=206&amp;col=6&amp;number=&amp;sourceID=18","")</f>
        <v/>
      </c>
      <c r="G206" s="4" t="str">
        <f>HYPERLINK("http://141.218.60.56/~jnz1568/getInfo.php?workbook=06_01.xlsx&amp;sheet=A0&amp;row=206&amp;col=7&amp;number==&amp;sourceID=11","=")</f>
        <v>=</v>
      </c>
      <c r="H206" s="4" t="str">
        <f>HYPERLINK("http://141.218.60.56/~jnz1568/getInfo.php?workbook=06_01.xlsx&amp;sheet=A0&amp;row=206&amp;col=8&amp;number=&amp;sourceID=11","")</f>
        <v/>
      </c>
      <c r="I206" s="4" t="str">
        <f>HYPERLINK("http://141.218.60.56/~jnz1568/getInfo.php?workbook=06_01.xlsx&amp;sheet=A0&amp;row=206&amp;col=9&amp;number=8600900&amp;sourceID=11","8600900")</f>
        <v>8600900</v>
      </c>
      <c r="J206" s="4" t="str">
        <f>HYPERLINK("http://141.218.60.56/~jnz1568/getInfo.php?workbook=06_01.xlsx&amp;sheet=A0&amp;row=206&amp;col=10&amp;number=&amp;sourceID=11","")</f>
        <v/>
      </c>
      <c r="K206" s="4" t="str">
        <f>HYPERLINK("http://141.218.60.56/~jnz1568/getInfo.php?workbook=06_01.xlsx&amp;sheet=A0&amp;row=206&amp;col=11&amp;number=&amp;sourceID=11","")</f>
        <v/>
      </c>
      <c r="L206" s="4" t="str">
        <f>HYPERLINK("http://141.218.60.56/~jnz1568/getInfo.php?workbook=06_01.xlsx&amp;sheet=A0&amp;row=206&amp;col=12&amp;number=&amp;sourceID=11","")</f>
        <v/>
      </c>
      <c r="M206" s="4" t="str">
        <f>HYPERLINK("http://141.218.60.56/~jnz1568/getInfo.php?workbook=06_01.xlsx&amp;sheet=A0&amp;row=206&amp;col=13&amp;number=1.6202&amp;sourceID=11","1.6202")</f>
        <v>1.6202</v>
      </c>
      <c r="N206" s="4" t="str">
        <f>HYPERLINK("http://141.218.60.56/~jnz1568/getInfo.php?workbook=06_01.xlsx&amp;sheet=A0&amp;row=206&amp;col=14&amp;number=8601300&amp;sourceID=12","8601300")</f>
        <v>8601300</v>
      </c>
      <c r="O206" s="4" t="str">
        <f>HYPERLINK("http://141.218.60.56/~jnz1568/getInfo.php?workbook=06_01.xlsx&amp;sheet=A0&amp;row=206&amp;col=15&amp;number=&amp;sourceID=12","")</f>
        <v/>
      </c>
      <c r="P206" s="4" t="str">
        <f>HYPERLINK("http://141.218.60.56/~jnz1568/getInfo.php?workbook=06_01.xlsx&amp;sheet=A0&amp;row=206&amp;col=16&amp;number=8601300&amp;sourceID=12","8601300")</f>
        <v>8601300</v>
      </c>
      <c r="Q206" s="4" t="str">
        <f>HYPERLINK("http://141.218.60.56/~jnz1568/getInfo.php?workbook=06_01.xlsx&amp;sheet=A0&amp;row=206&amp;col=17&amp;number=&amp;sourceID=12","")</f>
        <v/>
      </c>
      <c r="R206" s="4" t="str">
        <f>HYPERLINK("http://141.218.60.56/~jnz1568/getInfo.php?workbook=06_01.xlsx&amp;sheet=A0&amp;row=206&amp;col=18&amp;number=&amp;sourceID=12","")</f>
        <v/>
      </c>
      <c r="S206" s="4" t="str">
        <f>HYPERLINK("http://141.218.60.56/~jnz1568/getInfo.php?workbook=06_01.xlsx&amp;sheet=A0&amp;row=206&amp;col=19&amp;number=&amp;sourceID=12","")</f>
        <v/>
      </c>
      <c r="T206" s="4" t="str">
        <f>HYPERLINK("http://141.218.60.56/~jnz1568/getInfo.php?workbook=06_01.xlsx&amp;sheet=A0&amp;row=206&amp;col=20&amp;number=1.6203&amp;sourceID=12","1.6203")</f>
        <v>1.6203</v>
      </c>
      <c r="U206" s="4" t="str">
        <f>HYPERLINK("http://141.218.60.56/~jnz1568/getInfo.php?workbook=06_01.xlsx&amp;sheet=A0&amp;row=206&amp;col=21&amp;number=&amp;sourceID=13","")</f>
        <v/>
      </c>
      <c r="V206" s="4" t="str">
        <f>HYPERLINK("http://141.218.60.56/~jnz1568/getInfo.php?workbook=06_01.xlsx&amp;sheet=A0&amp;row=206&amp;col=22&amp;number=&amp;sourceID=13","")</f>
        <v/>
      </c>
      <c r="W206" s="4" t="str">
        <f>HYPERLINK("http://141.218.60.56/~jnz1568/getInfo.php?workbook=06_01.xlsx&amp;sheet=A0&amp;row=206&amp;col=23&amp;number=&amp;sourceID=13","")</f>
        <v/>
      </c>
      <c r="X206" s="4" t="str">
        <f>HYPERLINK("http://141.218.60.56/~jnz1568/getInfo.php?workbook=06_01.xlsx&amp;sheet=A0&amp;row=206&amp;col=24&amp;number=&amp;sourceID=13","")</f>
        <v/>
      </c>
      <c r="Y206" s="4" t="str">
        <f>HYPERLINK("http://141.218.60.56/~jnz1568/getInfo.php?workbook=06_01.xlsx&amp;sheet=A0&amp;row=206&amp;col=25&amp;number=&amp;sourceID=13","")</f>
        <v/>
      </c>
      <c r="Z206" s="4" t="str">
        <f>HYPERLINK("http://141.218.60.56/~jnz1568/getInfo.php?workbook=06_01.xlsx&amp;sheet=A0&amp;row=206&amp;col=26&amp;number=&amp;sourceID=13","")</f>
        <v/>
      </c>
    </row>
    <row r="207" spans="1:26">
      <c r="A207" s="3">
        <v>6</v>
      </c>
      <c r="B207" s="3">
        <v>1</v>
      </c>
      <c r="C207" s="3">
        <v>22</v>
      </c>
      <c r="D207" s="3">
        <v>2</v>
      </c>
      <c r="E207" s="3">
        <f>((1/(INDEX(E0!J$4:J$28,C207,1)-INDEX(E0!J$4:J$28,D207,1))))*100000000</f>
        <v>0</v>
      </c>
      <c r="F207" s="4" t="str">
        <f>HYPERLINK("http://141.218.60.56/~jnz1568/getInfo.php?workbook=06_01.xlsx&amp;sheet=A0&amp;row=207&amp;col=6&amp;number=&amp;sourceID=18","")</f>
        <v/>
      </c>
      <c r="G207" s="4" t="str">
        <f>HYPERLINK("http://141.218.60.56/~jnz1568/getInfo.php?workbook=06_01.xlsx&amp;sheet=A0&amp;row=207&amp;col=7&amp;number==&amp;sourceID=11","=")</f>
        <v>=</v>
      </c>
      <c r="H207" s="4" t="str">
        <f>HYPERLINK("http://141.218.60.56/~jnz1568/getInfo.php?workbook=06_01.xlsx&amp;sheet=A0&amp;row=207&amp;col=8&amp;number=&amp;sourceID=11","")</f>
        <v/>
      </c>
      <c r="I207" s="4" t="str">
        <f>HYPERLINK("http://141.218.60.56/~jnz1568/getInfo.php?workbook=06_01.xlsx&amp;sheet=A0&amp;row=207&amp;col=9&amp;number=&amp;sourceID=11","")</f>
        <v/>
      </c>
      <c r="J207" s="4" t="str">
        <f>HYPERLINK("http://141.218.60.56/~jnz1568/getInfo.php?workbook=06_01.xlsx&amp;sheet=A0&amp;row=207&amp;col=10&amp;number=0.65287&amp;sourceID=11","0.65287")</f>
        <v>0.65287</v>
      </c>
      <c r="K207" s="4" t="str">
        <f>HYPERLINK("http://141.218.60.56/~jnz1568/getInfo.php?workbook=06_01.xlsx&amp;sheet=A0&amp;row=207&amp;col=11&amp;number=&amp;sourceID=11","")</f>
        <v/>
      </c>
      <c r="L207" s="4" t="str">
        <f>HYPERLINK("http://141.218.60.56/~jnz1568/getInfo.php?workbook=06_01.xlsx&amp;sheet=A0&amp;row=207&amp;col=12&amp;number=22.073&amp;sourceID=11","22.073")</f>
        <v>22.073</v>
      </c>
      <c r="M207" s="4" t="str">
        <f>HYPERLINK("http://141.218.60.56/~jnz1568/getInfo.php?workbook=06_01.xlsx&amp;sheet=A0&amp;row=207&amp;col=13&amp;number=&amp;sourceID=11","")</f>
        <v/>
      </c>
      <c r="N207" s="4" t="str">
        <f>HYPERLINK("http://141.218.60.56/~jnz1568/getInfo.php?workbook=06_01.xlsx&amp;sheet=A0&amp;row=207&amp;col=14&amp;number=22.727&amp;sourceID=12","22.727")</f>
        <v>22.727</v>
      </c>
      <c r="O207" s="4" t="str">
        <f>HYPERLINK("http://141.218.60.56/~jnz1568/getInfo.php?workbook=06_01.xlsx&amp;sheet=A0&amp;row=207&amp;col=15&amp;number=&amp;sourceID=12","")</f>
        <v/>
      </c>
      <c r="P207" s="4" t="str">
        <f>HYPERLINK("http://141.218.60.56/~jnz1568/getInfo.php?workbook=06_01.xlsx&amp;sheet=A0&amp;row=207&amp;col=16&amp;number=&amp;sourceID=12","")</f>
        <v/>
      </c>
      <c r="Q207" s="4" t="str">
        <f>HYPERLINK("http://141.218.60.56/~jnz1568/getInfo.php?workbook=06_01.xlsx&amp;sheet=A0&amp;row=207&amp;col=17&amp;number=0.6529&amp;sourceID=12","0.6529")</f>
        <v>0.6529</v>
      </c>
      <c r="R207" s="4" t="str">
        <f>HYPERLINK("http://141.218.60.56/~jnz1568/getInfo.php?workbook=06_01.xlsx&amp;sheet=A0&amp;row=207&amp;col=18&amp;number=&amp;sourceID=12","")</f>
        <v/>
      </c>
      <c r="S207" s="4" t="str">
        <f>HYPERLINK("http://141.218.60.56/~jnz1568/getInfo.php?workbook=06_01.xlsx&amp;sheet=A0&amp;row=207&amp;col=19&amp;number=22.074&amp;sourceID=12","22.074")</f>
        <v>22.074</v>
      </c>
      <c r="T207" s="4" t="str">
        <f>HYPERLINK("http://141.218.60.56/~jnz1568/getInfo.php?workbook=06_01.xlsx&amp;sheet=A0&amp;row=207&amp;col=20&amp;number=&amp;sourceID=12","")</f>
        <v/>
      </c>
      <c r="U207" s="4" t="str">
        <f>HYPERLINK("http://141.218.60.56/~jnz1568/getInfo.php?workbook=06_01.xlsx&amp;sheet=A0&amp;row=207&amp;col=21&amp;number=&amp;sourceID=13","")</f>
        <v/>
      </c>
      <c r="V207" s="4" t="str">
        <f>HYPERLINK("http://141.218.60.56/~jnz1568/getInfo.php?workbook=06_01.xlsx&amp;sheet=A0&amp;row=207&amp;col=22&amp;number=&amp;sourceID=13","")</f>
        <v/>
      </c>
      <c r="W207" s="4" t="str">
        <f>HYPERLINK("http://141.218.60.56/~jnz1568/getInfo.php?workbook=06_01.xlsx&amp;sheet=A0&amp;row=207&amp;col=23&amp;number=&amp;sourceID=13","")</f>
        <v/>
      </c>
      <c r="X207" s="4" t="str">
        <f>HYPERLINK("http://141.218.60.56/~jnz1568/getInfo.php?workbook=06_01.xlsx&amp;sheet=A0&amp;row=207&amp;col=24&amp;number=&amp;sourceID=13","")</f>
        <v/>
      </c>
      <c r="Y207" s="4" t="str">
        <f>HYPERLINK("http://141.218.60.56/~jnz1568/getInfo.php?workbook=06_01.xlsx&amp;sheet=A0&amp;row=207&amp;col=25&amp;number=&amp;sourceID=13","")</f>
        <v/>
      </c>
      <c r="Z207" s="4" t="str">
        <f>HYPERLINK("http://141.218.60.56/~jnz1568/getInfo.php?workbook=06_01.xlsx&amp;sheet=A0&amp;row=207&amp;col=26&amp;number=&amp;sourceID=13","")</f>
        <v/>
      </c>
    </row>
    <row r="208" spans="1:26">
      <c r="A208" s="3">
        <v>6</v>
      </c>
      <c r="B208" s="3">
        <v>1</v>
      </c>
      <c r="C208" s="3">
        <v>22</v>
      </c>
      <c r="D208" s="3">
        <v>3</v>
      </c>
      <c r="E208" s="3">
        <f>((1/(INDEX(E0!J$4:J$28,C208,1)-INDEX(E0!J$4:J$28,D208,1))))*100000000</f>
        <v>0</v>
      </c>
      <c r="F208" s="4" t="str">
        <f>HYPERLINK("http://141.218.60.56/~jnz1568/getInfo.php?workbook=06_01.xlsx&amp;sheet=A0&amp;row=208&amp;col=6&amp;number=&amp;sourceID=18","")</f>
        <v/>
      </c>
      <c r="G208" s="4" t="str">
        <f>HYPERLINK("http://141.218.60.56/~jnz1568/getInfo.php?workbook=06_01.xlsx&amp;sheet=A0&amp;row=208&amp;col=7&amp;number==&amp;sourceID=11","=")</f>
        <v>=</v>
      </c>
      <c r="H208" s="4" t="str">
        <f>HYPERLINK("http://141.218.60.56/~jnz1568/getInfo.php?workbook=06_01.xlsx&amp;sheet=A0&amp;row=208&amp;col=8&amp;number=&amp;sourceID=11","")</f>
        <v/>
      </c>
      <c r="I208" s="4" t="str">
        <f>HYPERLINK("http://141.218.60.56/~jnz1568/getInfo.php?workbook=06_01.xlsx&amp;sheet=A0&amp;row=208&amp;col=9&amp;number=45498&amp;sourceID=11","45498")</f>
        <v>45498</v>
      </c>
      <c r="J208" s="4" t="str">
        <f>HYPERLINK("http://141.218.60.56/~jnz1568/getInfo.php?workbook=06_01.xlsx&amp;sheet=A0&amp;row=208&amp;col=10&amp;number=&amp;sourceID=11","")</f>
        <v/>
      </c>
      <c r="K208" s="4" t="str">
        <f>HYPERLINK("http://141.218.60.56/~jnz1568/getInfo.php?workbook=06_01.xlsx&amp;sheet=A0&amp;row=208&amp;col=11&amp;number=&amp;sourceID=11","")</f>
        <v/>
      </c>
      <c r="L208" s="4" t="str">
        <f>HYPERLINK("http://141.218.60.56/~jnz1568/getInfo.php?workbook=06_01.xlsx&amp;sheet=A0&amp;row=208&amp;col=12&amp;number=&amp;sourceID=11","")</f>
        <v/>
      </c>
      <c r="M208" s="4" t="str">
        <f>HYPERLINK("http://141.218.60.56/~jnz1568/getInfo.php?workbook=06_01.xlsx&amp;sheet=A0&amp;row=208&amp;col=13&amp;number=0.00040996&amp;sourceID=11","0.00040996")</f>
        <v>0.00040996</v>
      </c>
      <c r="N208" s="4" t="str">
        <f>HYPERLINK("http://141.218.60.56/~jnz1568/getInfo.php?workbook=06_01.xlsx&amp;sheet=A0&amp;row=208&amp;col=14&amp;number=45500&amp;sourceID=12","45500")</f>
        <v>45500</v>
      </c>
      <c r="O208" s="4" t="str">
        <f>HYPERLINK("http://141.218.60.56/~jnz1568/getInfo.php?workbook=06_01.xlsx&amp;sheet=A0&amp;row=208&amp;col=15&amp;number=&amp;sourceID=12","")</f>
        <v/>
      </c>
      <c r="P208" s="4" t="str">
        <f>HYPERLINK("http://141.218.60.56/~jnz1568/getInfo.php?workbook=06_01.xlsx&amp;sheet=A0&amp;row=208&amp;col=16&amp;number=45500&amp;sourceID=12","45500")</f>
        <v>45500</v>
      </c>
      <c r="Q208" s="4" t="str">
        <f>HYPERLINK("http://141.218.60.56/~jnz1568/getInfo.php?workbook=06_01.xlsx&amp;sheet=A0&amp;row=208&amp;col=17&amp;number=&amp;sourceID=12","")</f>
        <v/>
      </c>
      <c r="R208" s="4" t="str">
        <f>HYPERLINK("http://141.218.60.56/~jnz1568/getInfo.php?workbook=06_01.xlsx&amp;sheet=A0&amp;row=208&amp;col=18&amp;number=&amp;sourceID=12","")</f>
        <v/>
      </c>
      <c r="S208" s="4" t="str">
        <f>HYPERLINK("http://141.218.60.56/~jnz1568/getInfo.php?workbook=06_01.xlsx&amp;sheet=A0&amp;row=208&amp;col=19&amp;number=&amp;sourceID=12","")</f>
        <v/>
      </c>
      <c r="T208" s="4" t="str">
        <f>HYPERLINK("http://141.218.60.56/~jnz1568/getInfo.php?workbook=06_01.xlsx&amp;sheet=A0&amp;row=208&amp;col=20&amp;number=0.00040998&amp;sourceID=12","0.00040998")</f>
        <v>0.00040998</v>
      </c>
      <c r="U208" s="4" t="str">
        <f>HYPERLINK("http://141.218.60.56/~jnz1568/getInfo.php?workbook=06_01.xlsx&amp;sheet=A0&amp;row=208&amp;col=21&amp;number=&amp;sourceID=13","")</f>
        <v/>
      </c>
      <c r="V208" s="4" t="str">
        <f>HYPERLINK("http://141.218.60.56/~jnz1568/getInfo.php?workbook=06_01.xlsx&amp;sheet=A0&amp;row=208&amp;col=22&amp;number=&amp;sourceID=13","")</f>
        <v/>
      </c>
      <c r="W208" s="4" t="str">
        <f>HYPERLINK("http://141.218.60.56/~jnz1568/getInfo.php?workbook=06_01.xlsx&amp;sheet=A0&amp;row=208&amp;col=23&amp;number=&amp;sourceID=13","")</f>
        <v/>
      </c>
      <c r="X208" s="4" t="str">
        <f>HYPERLINK("http://141.218.60.56/~jnz1568/getInfo.php?workbook=06_01.xlsx&amp;sheet=A0&amp;row=208&amp;col=24&amp;number=&amp;sourceID=13","")</f>
        <v/>
      </c>
      <c r="Y208" s="4" t="str">
        <f>HYPERLINK("http://141.218.60.56/~jnz1568/getInfo.php?workbook=06_01.xlsx&amp;sheet=A0&amp;row=208&amp;col=25&amp;number=&amp;sourceID=13","")</f>
        <v/>
      </c>
      <c r="Z208" s="4" t="str">
        <f>HYPERLINK("http://141.218.60.56/~jnz1568/getInfo.php?workbook=06_01.xlsx&amp;sheet=A0&amp;row=208&amp;col=26&amp;number=&amp;sourceID=13","")</f>
        <v/>
      </c>
    </row>
    <row r="209" spans="1:26">
      <c r="A209" s="3">
        <v>6</v>
      </c>
      <c r="B209" s="3">
        <v>1</v>
      </c>
      <c r="C209" s="3">
        <v>22</v>
      </c>
      <c r="D209" s="3">
        <v>4</v>
      </c>
      <c r="E209" s="3">
        <f>((1/(INDEX(E0!J$4:J$28,C209,1)-INDEX(E0!J$4:J$28,D209,1))))*100000000</f>
        <v>0</v>
      </c>
      <c r="F209" s="4" t="str">
        <f>HYPERLINK("http://141.218.60.56/~jnz1568/getInfo.php?workbook=06_01.xlsx&amp;sheet=A0&amp;row=209&amp;col=6&amp;number=&amp;sourceID=18","")</f>
        <v/>
      </c>
      <c r="G209" s="4" t="str">
        <f>HYPERLINK("http://141.218.60.56/~jnz1568/getInfo.php?workbook=06_01.xlsx&amp;sheet=A0&amp;row=209&amp;col=7&amp;number==&amp;sourceID=11","=")</f>
        <v>=</v>
      </c>
      <c r="H209" s="4" t="str">
        <f>HYPERLINK("http://141.218.60.56/~jnz1568/getInfo.php?workbook=06_01.xlsx&amp;sheet=A0&amp;row=209&amp;col=8&amp;number=12221000000&amp;sourceID=11","12221000000")</f>
        <v>12221000000</v>
      </c>
      <c r="I209" s="4" t="str">
        <f>HYPERLINK("http://141.218.60.56/~jnz1568/getInfo.php?workbook=06_01.xlsx&amp;sheet=A0&amp;row=209&amp;col=9&amp;number=&amp;sourceID=11","")</f>
        <v/>
      </c>
      <c r="J209" s="4" t="str">
        <f>HYPERLINK("http://141.218.60.56/~jnz1568/getInfo.php?workbook=06_01.xlsx&amp;sheet=A0&amp;row=209&amp;col=10&amp;number=0.52736&amp;sourceID=11","0.52736")</f>
        <v>0.52736</v>
      </c>
      <c r="K209" s="4" t="str">
        <f>HYPERLINK("http://141.218.60.56/~jnz1568/getInfo.php?workbook=06_01.xlsx&amp;sheet=A0&amp;row=209&amp;col=11&amp;number=&amp;sourceID=11","")</f>
        <v/>
      </c>
      <c r="L209" s="4" t="str">
        <f>HYPERLINK("http://141.218.60.56/~jnz1568/getInfo.php?workbook=06_01.xlsx&amp;sheet=A0&amp;row=209&amp;col=12&amp;number=120.35&amp;sourceID=11","120.35")</f>
        <v>120.35</v>
      </c>
      <c r="M209" s="4" t="str">
        <f>HYPERLINK("http://141.218.60.56/~jnz1568/getInfo.php?workbook=06_01.xlsx&amp;sheet=A0&amp;row=209&amp;col=13&amp;number=&amp;sourceID=11","")</f>
        <v/>
      </c>
      <c r="N209" s="4" t="str">
        <f>HYPERLINK("http://141.218.60.56/~jnz1568/getInfo.php?workbook=06_01.xlsx&amp;sheet=A0&amp;row=209&amp;col=14&amp;number=12222000000&amp;sourceID=12","12222000000")</f>
        <v>12222000000</v>
      </c>
      <c r="O209" s="4" t="str">
        <f>HYPERLINK("http://141.218.60.56/~jnz1568/getInfo.php?workbook=06_01.xlsx&amp;sheet=A0&amp;row=209&amp;col=15&amp;number=12222000000&amp;sourceID=12","12222000000")</f>
        <v>12222000000</v>
      </c>
      <c r="P209" s="4" t="str">
        <f>HYPERLINK("http://141.218.60.56/~jnz1568/getInfo.php?workbook=06_01.xlsx&amp;sheet=A0&amp;row=209&amp;col=16&amp;number=&amp;sourceID=12","")</f>
        <v/>
      </c>
      <c r="Q209" s="4" t="str">
        <f>HYPERLINK("http://141.218.60.56/~jnz1568/getInfo.php?workbook=06_01.xlsx&amp;sheet=A0&amp;row=209&amp;col=17&amp;number=0.52739&amp;sourceID=12","0.52739")</f>
        <v>0.52739</v>
      </c>
      <c r="R209" s="4" t="str">
        <f>HYPERLINK("http://141.218.60.56/~jnz1568/getInfo.php?workbook=06_01.xlsx&amp;sheet=A0&amp;row=209&amp;col=18&amp;number=&amp;sourceID=12","")</f>
        <v/>
      </c>
      <c r="S209" s="4" t="str">
        <f>HYPERLINK("http://141.218.60.56/~jnz1568/getInfo.php?workbook=06_01.xlsx&amp;sheet=A0&amp;row=209&amp;col=19&amp;number=120.35&amp;sourceID=12","120.35")</f>
        <v>120.35</v>
      </c>
      <c r="T209" s="4" t="str">
        <f>HYPERLINK("http://141.218.60.56/~jnz1568/getInfo.php?workbook=06_01.xlsx&amp;sheet=A0&amp;row=209&amp;col=20&amp;number=&amp;sourceID=12","")</f>
        <v/>
      </c>
      <c r="U209" s="4" t="str">
        <f>HYPERLINK("http://141.218.60.56/~jnz1568/getInfo.php?workbook=06_01.xlsx&amp;sheet=A0&amp;row=209&amp;col=21&amp;number=&amp;sourceID=13","")</f>
        <v/>
      </c>
      <c r="V209" s="4" t="str">
        <f>HYPERLINK("http://141.218.60.56/~jnz1568/getInfo.php?workbook=06_01.xlsx&amp;sheet=A0&amp;row=209&amp;col=22&amp;number=&amp;sourceID=13","")</f>
        <v/>
      </c>
      <c r="W209" s="4" t="str">
        <f>HYPERLINK("http://141.218.60.56/~jnz1568/getInfo.php?workbook=06_01.xlsx&amp;sheet=A0&amp;row=209&amp;col=23&amp;number=&amp;sourceID=13","")</f>
        <v/>
      </c>
      <c r="X209" s="4" t="str">
        <f>HYPERLINK("http://141.218.60.56/~jnz1568/getInfo.php?workbook=06_01.xlsx&amp;sheet=A0&amp;row=209&amp;col=24&amp;number=&amp;sourceID=13","")</f>
        <v/>
      </c>
      <c r="Y209" s="4" t="str">
        <f>HYPERLINK("http://141.218.60.56/~jnz1568/getInfo.php?workbook=06_01.xlsx&amp;sheet=A0&amp;row=209&amp;col=25&amp;number=&amp;sourceID=13","")</f>
        <v/>
      </c>
      <c r="Z209" s="4" t="str">
        <f>HYPERLINK("http://141.218.60.56/~jnz1568/getInfo.php?workbook=06_01.xlsx&amp;sheet=A0&amp;row=209&amp;col=26&amp;number=&amp;sourceID=13","")</f>
        <v/>
      </c>
    </row>
    <row r="210" spans="1:26">
      <c r="A210" s="3">
        <v>6</v>
      </c>
      <c r="B210" s="3">
        <v>1</v>
      </c>
      <c r="C210" s="3">
        <v>22</v>
      </c>
      <c r="D210" s="3">
        <v>5</v>
      </c>
      <c r="E210" s="3">
        <f>((1/(INDEX(E0!J$4:J$28,C210,1)-INDEX(E0!J$4:J$28,D210,1))))*100000000</f>
        <v>0</v>
      </c>
      <c r="F210" s="4" t="str">
        <f>HYPERLINK("http://141.218.60.56/~jnz1568/getInfo.php?workbook=06_01.xlsx&amp;sheet=A0&amp;row=210&amp;col=6&amp;number=&amp;sourceID=18","")</f>
        <v/>
      </c>
      <c r="G210" s="4" t="str">
        <f>HYPERLINK("http://141.218.60.56/~jnz1568/getInfo.php?workbook=06_01.xlsx&amp;sheet=A0&amp;row=210&amp;col=7&amp;number==&amp;sourceID=11","=")</f>
        <v>=</v>
      </c>
      <c r="H210" s="4" t="str">
        <f>HYPERLINK("http://141.218.60.56/~jnz1568/getInfo.php?workbook=06_01.xlsx&amp;sheet=A0&amp;row=210&amp;col=8&amp;number=&amp;sourceID=11","")</f>
        <v/>
      </c>
      <c r="I210" s="4" t="str">
        <f>HYPERLINK("http://141.218.60.56/~jnz1568/getInfo.php?workbook=06_01.xlsx&amp;sheet=A0&amp;row=210&amp;col=9&amp;number=&amp;sourceID=11","")</f>
        <v/>
      </c>
      <c r="J210" s="4" t="str">
        <f>HYPERLINK("http://141.218.60.56/~jnz1568/getInfo.php?workbook=06_01.xlsx&amp;sheet=A0&amp;row=210&amp;col=10&amp;number=0.071125&amp;sourceID=11","0.071125")</f>
        <v>0.071125</v>
      </c>
      <c r="K210" s="4" t="str">
        <f>HYPERLINK("http://141.218.60.56/~jnz1568/getInfo.php?workbook=06_01.xlsx&amp;sheet=A0&amp;row=210&amp;col=11&amp;number=&amp;sourceID=11","")</f>
        <v/>
      </c>
      <c r="L210" s="4" t="str">
        <f>HYPERLINK("http://141.218.60.56/~jnz1568/getInfo.php?workbook=06_01.xlsx&amp;sheet=A0&amp;row=210&amp;col=12&amp;number=0.90974&amp;sourceID=11","0.90974")</f>
        <v>0.90974</v>
      </c>
      <c r="M210" s="4" t="str">
        <f>HYPERLINK("http://141.218.60.56/~jnz1568/getInfo.php?workbook=06_01.xlsx&amp;sheet=A0&amp;row=210&amp;col=13&amp;number=&amp;sourceID=11","")</f>
        <v/>
      </c>
      <c r="N210" s="4" t="str">
        <f>HYPERLINK("http://141.218.60.56/~jnz1568/getInfo.php?workbook=06_01.xlsx&amp;sheet=A0&amp;row=210&amp;col=14&amp;number=0.98091&amp;sourceID=12","0.98091")</f>
        <v>0.98091</v>
      </c>
      <c r="O210" s="4" t="str">
        <f>HYPERLINK("http://141.218.60.56/~jnz1568/getInfo.php?workbook=06_01.xlsx&amp;sheet=A0&amp;row=210&amp;col=15&amp;number=&amp;sourceID=12","")</f>
        <v/>
      </c>
      <c r="P210" s="4" t="str">
        <f>HYPERLINK("http://141.218.60.56/~jnz1568/getInfo.php?workbook=06_01.xlsx&amp;sheet=A0&amp;row=210&amp;col=16&amp;number=&amp;sourceID=12","")</f>
        <v/>
      </c>
      <c r="Q210" s="4" t="str">
        <f>HYPERLINK("http://141.218.60.56/~jnz1568/getInfo.php?workbook=06_01.xlsx&amp;sheet=A0&amp;row=210&amp;col=17&amp;number=0.071128&amp;sourceID=12","0.071128")</f>
        <v>0.071128</v>
      </c>
      <c r="R210" s="4" t="str">
        <f>HYPERLINK("http://141.218.60.56/~jnz1568/getInfo.php?workbook=06_01.xlsx&amp;sheet=A0&amp;row=210&amp;col=18&amp;number=&amp;sourceID=12","")</f>
        <v/>
      </c>
      <c r="S210" s="4" t="str">
        <f>HYPERLINK("http://141.218.60.56/~jnz1568/getInfo.php?workbook=06_01.xlsx&amp;sheet=A0&amp;row=210&amp;col=19&amp;number=0.90978&amp;sourceID=12","0.90978")</f>
        <v>0.90978</v>
      </c>
      <c r="T210" s="4" t="str">
        <f>HYPERLINK("http://141.218.60.56/~jnz1568/getInfo.php?workbook=06_01.xlsx&amp;sheet=A0&amp;row=210&amp;col=20&amp;number=&amp;sourceID=12","")</f>
        <v/>
      </c>
      <c r="U210" s="4" t="str">
        <f>HYPERLINK("http://141.218.60.56/~jnz1568/getInfo.php?workbook=06_01.xlsx&amp;sheet=A0&amp;row=210&amp;col=21&amp;number=&amp;sourceID=13","")</f>
        <v/>
      </c>
      <c r="V210" s="4" t="str">
        <f>HYPERLINK("http://141.218.60.56/~jnz1568/getInfo.php?workbook=06_01.xlsx&amp;sheet=A0&amp;row=210&amp;col=22&amp;number=&amp;sourceID=13","")</f>
        <v/>
      </c>
      <c r="W210" s="4" t="str">
        <f>HYPERLINK("http://141.218.60.56/~jnz1568/getInfo.php?workbook=06_01.xlsx&amp;sheet=A0&amp;row=210&amp;col=23&amp;number=&amp;sourceID=13","")</f>
        <v/>
      </c>
      <c r="X210" s="4" t="str">
        <f>HYPERLINK("http://141.218.60.56/~jnz1568/getInfo.php?workbook=06_01.xlsx&amp;sheet=A0&amp;row=210&amp;col=24&amp;number=&amp;sourceID=13","")</f>
        <v/>
      </c>
      <c r="Y210" s="4" t="str">
        <f>HYPERLINK("http://141.218.60.56/~jnz1568/getInfo.php?workbook=06_01.xlsx&amp;sheet=A0&amp;row=210&amp;col=25&amp;number=&amp;sourceID=13","")</f>
        <v/>
      </c>
      <c r="Z210" s="4" t="str">
        <f>HYPERLINK("http://141.218.60.56/~jnz1568/getInfo.php?workbook=06_01.xlsx&amp;sheet=A0&amp;row=210&amp;col=26&amp;number=&amp;sourceID=13","")</f>
        <v/>
      </c>
    </row>
    <row r="211" spans="1:26">
      <c r="A211" s="3">
        <v>6</v>
      </c>
      <c r="B211" s="3">
        <v>1</v>
      </c>
      <c r="C211" s="3">
        <v>22</v>
      </c>
      <c r="D211" s="3">
        <v>6</v>
      </c>
      <c r="E211" s="3">
        <f>((1/(INDEX(E0!J$4:J$28,C211,1)-INDEX(E0!J$4:J$28,D211,1))))*100000000</f>
        <v>0</v>
      </c>
      <c r="F211" s="4" t="str">
        <f>HYPERLINK("http://141.218.60.56/~jnz1568/getInfo.php?workbook=06_01.xlsx&amp;sheet=A0&amp;row=211&amp;col=6&amp;number=&amp;sourceID=18","")</f>
        <v/>
      </c>
      <c r="G211" s="4" t="str">
        <f>HYPERLINK("http://141.218.60.56/~jnz1568/getInfo.php?workbook=06_01.xlsx&amp;sheet=A0&amp;row=211&amp;col=7&amp;number==&amp;sourceID=11","=")</f>
        <v>=</v>
      </c>
      <c r="H211" s="4" t="str">
        <f>HYPERLINK("http://141.218.60.56/~jnz1568/getInfo.php?workbook=06_01.xlsx&amp;sheet=A0&amp;row=211&amp;col=8&amp;number=&amp;sourceID=11","")</f>
        <v/>
      </c>
      <c r="I211" s="4" t="str">
        <f>HYPERLINK("http://141.218.60.56/~jnz1568/getInfo.php?workbook=06_01.xlsx&amp;sheet=A0&amp;row=211&amp;col=9&amp;number=50882&amp;sourceID=11","50882")</f>
        <v>50882</v>
      </c>
      <c r="J211" s="4" t="str">
        <f>HYPERLINK("http://141.218.60.56/~jnz1568/getInfo.php?workbook=06_01.xlsx&amp;sheet=A0&amp;row=211&amp;col=10&amp;number=&amp;sourceID=11","")</f>
        <v/>
      </c>
      <c r="K211" s="4" t="str">
        <f>HYPERLINK("http://141.218.60.56/~jnz1568/getInfo.php?workbook=06_01.xlsx&amp;sheet=A0&amp;row=211&amp;col=11&amp;number=&amp;sourceID=11","")</f>
        <v/>
      </c>
      <c r="L211" s="4" t="str">
        <f>HYPERLINK("http://141.218.60.56/~jnz1568/getInfo.php?workbook=06_01.xlsx&amp;sheet=A0&amp;row=211&amp;col=12&amp;number=&amp;sourceID=11","")</f>
        <v/>
      </c>
      <c r="M211" s="4" t="str">
        <f>HYPERLINK("http://141.218.60.56/~jnz1568/getInfo.php?workbook=06_01.xlsx&amp;sheet=A0&amp;row=211&amp;col=13&amp;number=5.2602e-05&amp;sourceID=11","5.2602e-05")</f>
        <v>5.2602e-05</v>
      </c>
      <c r="N211" s="4" t="str">
        <f>HYPERLINK("http://141.218.60.56/~jnz1568/getInfo.php?workbook=06_01.xlsx&amp;sheet=A0&amp;row=211&amp;col=14&amp;number=50884&amp;sourceID=12","50884")</f>
        <v>50884</v>
      </c>
      <c r="O211" s="4" t="str">
        <f>HYPERLINK("http://141.218.60.56/~jnz1568/getInfo.php?workbook=06_01.xlsx&amp;sheet=A0&amp;row=211&amp;col=15&amp;number=&amp;sourceID=12","")</f>
        <v/>
      </c>
      <c r="P211" s="4" t="str">
        <f>HYPERLINK("http://141.218.60.56/~jnz1568/getInfo.php?workbook=06_01.xlsx&amp;sheet=A0&amp;row=211&amp;col=16&amp;number=50884&amp;sourceID=12","50884")</f>
        <v>50884</v>
      </c>
      <c r="Q211" s="4" t="str">
        <f>HYPERLINK("http://141.218.60.56/~jnz1568/getInfo.php?workbook=06_01.xlsx&amp;sheet=A0&amp;row=211&amp;col=17&amp;number=&amp;sourceID=12","")</f>
        <v/>
      </c>
      <c r="R211" s="4" t="str">
        <f>HYPERLINK("http://141.218.60.56/~jnz1568/getInfo.php?workbook=06_01.xlsx&amp;sheet=A0&amp;row=211&amp;col=18&amp;number=&amp;sourceID=12","")</f>
        <v/>
      </c>
      <c r="S211" s="4" t="str">
        <f>HYPERLINK("http://141.218.60.56/~jnz1568/getInfo.php?workbook=06_01.xlsx&amp;sheet=A0&amp;row=211&amp;col=19&amp;number=&amp;sourceID=12","")</f>
        <v/>
      </c>
      <c r="T211" s="4" t="str">
        <f>HYPERLINK("http://141.218.60.56/~jnz1568/getInfo.php?workbook=06_01.xlsx&amp;sheet=A0&amp;row=211&amp;col=20&amp;number=5.2604e-05&amp;sourceID=12","5.2604e-05")</f>
        <v>5.2604e-05</v>
      </c>
      <c r="U211" s="4" t="str">
        <f>HYPERLINK("http://141.218.60.56/~jnz1568/getInfo.php?workbook=06_01.xlsx&amp;sheet=A0&amp;row=211&amp;col=21&amp;number=&amp;sourceID=13","")</f>
        <v/>
      </c>
      <c r="V211" s="4" t="str">
        <f>HYPERLINK("http://141.218.60.56/~jnz1568/getInfo.php?workbook=06_01.xlsx&amp;sheet=A0&amp;row=211&amp;col=22&amp;number=&amp;sourceID=13","")</f>
        <v/>
      </c>
      <c r="W211" s="4" t="str">
        <f>HYPERLINK("http://141.218.60.56/~jnz1568/getInfo.php?workbook=06_01.xlsx&amp;sheet=A0&amp;row=211&amp;col=23&amp;number=&amp;sourceID=13","")</f>
        <v/>
      </c>
      <c r="X211" s="4" t="str">
        <f>HYPERLINK("http://141.218.60.56/~jnz1568/getInfo.php?workbook=06_01.xlsx&amp;sheet=A0&amp;row=211&amp;col=24&amp;number=&amp;sourceID=13","")</f>
        <v/>
      </c>
      <c r="Y211" s="4" t="str">
        <f>HYPERLINK("http://141.218.60.56/~jnz1568/getInfo.php?workbook=06_01.xlsx&amp;sheet=A0&amp;row=211&amp;col=25&amp;number=&amp;sourceID=13","")</f>
        <v/>
      </c>
      <c r="Z211" s="4" t="str">
        <f>HYPERLINK("http://141.218.60.56/~jnz1568/getInfo.php?workbook=06_01.xlsx&amp;sheet=A0&amp;row=211&amp;col=26&amp;number=&amp;sourceID=13","")</f>
        <v/>
      </c>
    </row>
    <row r="212" spans="1:26">
      <c r="A212" s="3">
        <v>6</v>
      </c>
      <c r="B212" s="3">
        <v>1</v>
      </c>
      <c r="C212" s="3">
        <v>22</v>
      </c>
      <c r="D212" s="3">
        <v>7</v>
      </c>
      <c r="E212" s="3">
        <f>((1/(INDEX(E0!J$4:J$28,C212,1)-INDEX(E0!J$4:J$28,D212,1))))*100000000</f>
        <v>0</v>
      </c>
      <c r="F212" s="4" t="str">
        <f>HYPERLINK("http://141.218.60.56/~jnz1568/getInfo.php?workbook=06_01.xlsx&amp;sheet=A0&amp;row=212&amp;col=6&amp;number=&amp;sourceID=18","")</f>
        <v/>
      </c>
      <c r="G212" s="4" t="str">
        <f>HYPERLINK("http://141.218.60.56/~jnz1568/getInfo.php?workbook=06_01.xlsx&amp;sheet=A0&amp;row=212&amp;col=7&amp;number==&amp;sourceID=11","=")</f>
        <v>=</v>
      </c>
      <c r="H212" s="4" t="str">
        <f>HYPERLINK("http://141.218.60.56/~jnz1568/getInfo.php?workbook=06_01.xlsx&amp;sheet=A0&amp;row=212&amp;col=8&amp;number=&amp;sourceID=11","")</f>
        <v/>
      </c>
      <c r="I212" s="4" t="str">
        <f>HYPERLINK("http://141.218.60.56/~jnz1568/getInfo.php?workbook=06_01.xlsx&amp;sheet=A0&amp;row=212&amp;col=9&amp;number=5354&amp;sourceID=11","5354")</f>
        <v>5354</v>
      </c>
      <c r="J212" s="4" t="str">
        <f>HYPERLINK("http://141.218.60.56/~jnz1568/getInfo.php?workbook=06_01.xlsx&amp;sheet=A0&amp;row=212&amp;col=10&amp;number=&amp;sourceID=11","")</f>
        <v/>
      </c>
      <c r="K212" s="4" t="str">
        <f>HYPERLINK("http://141.218.60.56/~jnz1568/getInfo.php?workbook=06_01.xlsx&amp;sheet=A0&amp;row=212&amp;col=11&amp;number=0.00051845&amp;sourceID=11","0.00051845")</f>
        <v>0.00051845</v>
      </c>
      <c r="L212" s="4" t="str">
        <f>HYPERLINK("http://141.218.60.56/~jnz1568/getInfo.php?workbook=06_01.xlsx&amp;sheet=A0&amp;row=212&amp;col=12&amp;number=&amp;sourceID=11","")</f>
        <v/>
      </c>
      <c r="M212" s="4" t="str">
        <f>HYPERLINK("http://141.218.60.56/~jnz1568/getInfo.php?workbook=06_01.xlsx&amp;sheet=A0&amp;row=212&amp;col=13&amp;number=3.1599e-07&amp;sourceID=11","3.1599e-07")</f>
        <v>3.1599e-07</v>
      </c>
      <c r="N212" s="4" t="str">
        <f>HYPERLINK("http://141.218.60.56/~jnz1568/getInfo.php?workbook=06_01.xlsx&amp;sheet=A0&amp;row=212&amp;col=14&amp;number=5354.3&amp;sourceID=12","5354.3")</f>
        <v>5354.3</v>
      </c>
      <c r="O212" s="4" t="str">
        <f>HYPERLINK("http://141.218.60.56/~jnz1568/getInfo.php?workbook=06_01.xlsx&amp;sheet=A0&amp;row=212&amp;col=15&amp;number=&amp;sourceID=12","")</f>
        <v/>
      </c>
      <c r="P212" s="4" t="str">
        <f>HYPERLINK("http://141.218.60.56/~jnz1568/getInfo.php?workbook=06_01.xlsx&amp;sheet=A0&amp;row=212&amp;col=16&amp;number=5354.3&amp;sourceID=12","5354.3")</f>
        <v>5354.3</v>
      </c>
      <c r="Q212" s="4" t="str">
        <f>HYPERLINK("http://141.218.60.56/~jnz1568/getInfo.php?workbook=06_01.xlsx&amp;sheet=A0&amp;row=212&amp;col=17&amp;number=&amp;sourceID=12","")</f>
        <v/>
      </c>
      <c r="R212" s="4" t="str">
        <f>HYPERLINK("http://141.218.60.56/~jnz1568/getInfo.php?workbook=06_01.xlsx&amp;sheet=A0&amp;row=212&amp;col=18&amp;number=0.00051847&amp;sourceID=12","0.00051847")</f>
        <v>0.00051847</v>
      </c>
      <c r="S212" s="4" t="str">
        <f>HYPERLINK("http://141.218.60.56/~jnz1568/getInfo.php?workbook=06_01.xlsx&amp;sheet=A0&amp;row=212&amp;col=19&amp;number=&amp;sourceID=12","")</f>
        <v/>
      </c>
      <c r="T212" s="4" t="str">
        <f>HYPERLINK("http://141.218.60.56/~jnz1568/getInfo.php?workbook=06_01.xlsx&amp;sheet=A0&amp;row=212&amp;col=20&amp;number=3.1601e-07&amp;sourceID=12","3.1601e-07")</f>
        <v>3.1601e-07</v>
      </c>
      <c r="U212" s="4" t="str">
        <f>HYPERLINK("http://141.218.60.56/~jnz1568/getInfo.php?workbook=06_01.xlsx&amp;sheet=A0&amp;row=212&amp;col=21&amp;number=&amp;sourceID=13","")</f>
        <v/>
      </c>
      <c r="V212" s="4" t="str">
        <f>HYPERLINK("http://141.218.60.56/~jnz1568/getInfo.php?workbook=06_01.xlsx&amp;sheet=A0&amp;row=212&amp;col=22&amp;number=&amp;sourceID=13","")</f>
        <v/>
      </c>
      <c r="W212" s="4" t="str">
        <f>HYPERLINK("http://141.218.60.56/~jnz1568/getInfo.php?workbook=06_01.xlsx&amp;sheet=A0&amp;row=212&amp;col=23&amp;number=&amp;sourceID=13","")</f>
        <v/>
      </c>
      <c r="X212" s="4" t="str">
        <f>HYPERLINK("http://141.218.60.56/~jnz1568/getInfo.php?workbook=06_01.xlsx&amp;sheet=A0&amp;row=212&amp;col=24&amp;number=&amp;sourceID=13","")</f>
        <v/>
      </c>
      <c r="Y212" s="4" t="str">
        <f>HYPERLINK("http://141.218.60.56/~jnz1568/getInfo.php?workbook=06_01.xlsx&amp;sheet=A0&amp;row=212&amp;col=25&amp;number=&amp;sourceID=13","")</f>
        <v/>
      </c>
      <c r="Z212" s="4" t="str">
        <f>HYPERLINK("http://141.218.60.56/~jnz1568/getInfo.php?workbook=06_01.xlsx&amp;sheet=A0&amp;row=212&amp;col=26&amp;number=&amp;sourceID=13","")</f>
        <v/>
      </c>
    </row>
    <row r="213" spans="1:26">
      <c r="A213" s="3">
        <v>6</v>
      </c>
      <c r="B213" s="3">
        <v>1</v>
      </c>
      <c r="C213" s="3">
        <v>22</v>
      </c>
      <c r="D213" s="3">
        <v>8</v>
      </c>
      <c r="E213" s="3">
        <f>((1/(INDEX(E0!J$4:J$28,C213,1)-INDEX(E0!J$4:J$28,D213,1))))*100000000</f>
        <v>0</v>
      </c>
      <c r="F213" s="4" t="str">
        <f>HYPERLINK("http://141.218.60.56/~jnz1568/getInfo.php?workbook=06_01.xlsx&amp;sheet=A0&amp;row=213&amp;col=6&amp;number=&amp;sourceID=18","")</f>
        <v/>
      </c>
      <c r="G213" s="4" t="str">
        <f>HYPERLINK("http://141.218.60.56/~jnz1568/getInfo.php?workbook=06_01.xlsx&amp;sheet=A0&amp;row=213&amp;col=7&amp;number==&amp;sourceID=11","=")</f>
        <v>=</v>
      </c>
      <c r="H213" s="4" t="str">
        <f>HYPERLINK("http://141.218.60.56/~jnz1568/getInfo.php?workbook=06_01.xlsx&amp;sheet=A0&amp;row=213&amp;col=8&amp;number=4398000000&amp;sourceID=11","4398000000")</f>
        <v>4398000000</v>
      </c>
      <c r="I213" s="4" t="str">
        <f>HYPERLINK("http://141.218.60.56/~jnz1568/getInfo.php?workbook=06_01.xlsx&amp;sheet=A0&amp;row=213&amp;col=9&amp;number=&amp;sourceID=11","")</f>
        <v/>
      </c>
      <c r="J213" s="4" t="str">
        <f>HYPERLINK("http://141.218.60.56/~jnz1568/getInfo.php?workbook=06_01.xlsx&amp;sheet=A0&amp;row=213&amp;col=10&amp;number=0.056198&amp;sourceID=11","0.056198")</f>
        <v>0.056198</v>
      </c>
      <c r="K213" s="4" t="str">
        <f>HYPERLINK("http://141.218.60.56/~jnz1568/getInfo.php?workbook=06_01.xlsx&amp;sheet=A0&amp;row=213&amp;col=11&amp;number=&amp;sourceID=11","")</f>
        <v/>
      </c>
      <c r="L213" s="4" t="str">
        <f>HYPERLINK("http://141.218.60.56/~jnz1568/getInfo.php?workbook=06_01.xlsx&amp;sheet=A0&amp;row=213&amp;col=12&amp;number=4.9681&amp;sourceID=11","4.9681")</f>
        <v>4.9681</v>
      </c>
      <c r="M213" s="4" t="str">
        <f>HYPERLINK("http://141.218.60.56/~jnz1568/getInfo.php?workbook=06_01.xlsx&amp;sheet=A0&amp;row=213&amp;col=13&amp;number=&amp;sourceID=11","")</f>
        <v/>
      </c>
      <c r="N213" s="4" t="str">
        <f>HYPERLINK("http://141.218.60.56/~jnz1568/getInfo.php?workbook=06_01.xlsx&amp;sheet=A0&amp;row=213&amp;col=14&amp;number=4398200000&amp;sourceID=12","4398200000")</f>
        <v>4398200000</v>
      </c>
      <c r="O213" s="4" t="str">
        <f>HYPERLINK("http://141.218.60.56/~jnz1568/getInfo.php?workbook=06_01.xlsx&amp;sheet=A0&amp;row=213&amp;col=15&amp;number=4398200000&amp;sourceID=12","4398200000")</f>
        <v>4398200000</v>
      </c>
      <c r="P213" s="4" t="str">
        <f>HYPERLINK("http://141.218.60.56/~jnz1568/getInfo.php?workbook=06_01.xlsx&amp;sheet=A0&amp;row=213&amp;col=16&amp;number=&amp;sourceID=12","")</f>
        <v/>
      </c>
      <c r="Q213" s="4" t="str">
        <f>HYPERLINK("http://141.218.60.56/~jnz1568/getInfo.php?workbook=06_01.xlsx&amp;sheet=A0&amp;row=213&amp;col=17&amp;number=0.056201&amp;sourceID=12","0.056201")</f>
        <v>0.056201</v>
      </c>
      <c r="R213" s="4" t="str">
        <f>HYPERLINK("http://141.218.60.56/~jnz1568/getInfo.php?workbook=06_01.xlsx&amp;sheet=A0&amp;row=213&amp;col=18&amp;number=&amp;sourceID=12","")</f>
        <v/>
      </c>
      <c r="S213" s="4" t="str">
        <f>HYPERLINK("http://141.218.60.56/~jnz1568/getInfo.php?workbook=06_01.xlsx&amp;sheet=A0&amp;row=213&amp;col=19&amp;number=4.9683&amp;sourceID=12","4.9683")</f>
        <v>4.9683</v>
      </c>
      <c r="T213" s="4" t="str">
        <f>HYPERLINK("http://141.218.60.56/~jnz1568/getInfo.php?workbook=06_01.xlsx&amp;sheet=A0&amp;row=213&amp;col=20&amp;number=&amp;sourceID=12","")</f>
        <v/>
      </c>
      <c r="U213" s="4" t="str">
        <f>HYPERLINK("http://141.218.60.56/~jnz1568/getInfo.php?workbook=06_01.xlsx&amp;sheet=A0&amp;row=213&amp;col=21&amp;number=&amp;sourceID=13","")</f>
        <v/>
      </c>
      <c r="V213" s="4" t="str">
        <f>HYPERLINK("http://141.218.60.56/~jnz1568/getInfo.php?workbook=06_01.xlsx&amp;sheet=A0&amp;row=213&amp;col=22&amp;number=&amp;sourceID=13","")</f>
        <v/>
      </c>
      <c r="W213" s="4" t="str">
        <f>HYPERLINK("http://141.218.60.56/~jnz1568/getInfo.php?workbook=06_01.xlsx&amp;sheet=A0&amp;row=213&amp;col=23&amp;number=&amp;sourceID=13","")</f>
        <v/>
      </c>
      <c r="X213" s="4" t="str">
        <f>HYPERLINK("http://141.218.60.56/~jnz1568/getInfo.php?workbook=06_01.xlsx&amp;sheet=A0&amp;row=213&amp;col=24&amp;number=&amp;sourceID=13","")</f>
        <v/>
      </c>
      <c r="Y213" s="4" t="str">
        <f>HYPERLINK("http://141.218.60.56/~jnz1568/getInfo.php?workbook=06_01.xlsx&amp;sheet=A0&amp;row=213&amp;col=25&amp;number=&amp;sourceID=13","")</f>
        <v/>
      </c>
      <c r="Z213" s="4" t="str">
        <f>HYPERLINK("http://141.218.60.56/~jnz1568/getInfo.php?workbook=06_01.xlsx&amp;sheet=A0&amp;row=213&amp;col=26&amp;number=&amp;sourceID=13","")</f>
        <v/>
      </c>
    </row>
    <row r="214" spans="1:26">
      <c r="A214" s="3">
        <v>6</v>
      </c>
      <c r="B214" s="3">
        <v>1</v>
      </c>
      <c r="C214" s="3">
        <v>22</v>
      </c>
      <c r="D214" s="3">
        <v>9</v>
      </c>
      <c r="E214" s="3">
        <f>((1/(INDEX(E0!J$4:J$28,C214,1)-INDEX(E0!J$4:J$28,D214,1))))*100000000</f>
        <v>0</v>
      </c>
      <c r="F214" s="4" t="str">
        <f>HYPERLINK("http://141.218.60.56/~jnz1568/getInfo.php?workbook=06_01.xlsx&amp;sheet=A0&amp;row=214&amp;col=6&amp;number=&amp;sourceID=18","")</f>
        <v/>
      </c>
      <c r="G214" s="4" t="str">
        <f>HYPERLINK("http://141.218.60.56/~jnz1568/getInfo.php?workbook=06_01.xlsx&amp;sheet=A0&amp;row=214&amp;col=7&amp;number==&amp;sourceID=11","=")</f>
        <v>=</v>
      </c>
      <c r="H214" s="4" t="str">
        <f>HYPERLINK("http://141.218.60.56/~jnz1568/getInfo.php?workbook=06_01.xlsx&amp;sheet=A0&amp;row=214&amp;col=8&amp;number=&amp;sourceID=11","")</f>
        <v/>
      </c>
      <c r="I214" s="4" t="str">
        <f>HYPERLINK("http://141.218.60.56/~jnz1568/getInfo.php?workbook=06_01.xlsx&amp;sheet=A0&amp;row=214&amp;col=9&amp;number=21404&amp;sourceID=11","21404")</f>
        <v>21404</v>
      </c>
      <c r="J214" s="4" t="str">
        <f>HYPERLINK("http://141.218.60.56/~jnz1568/getInfo.php?workbook=06_01.xlsx&amp;sheet=A0&amp;row=214&amp;col=10&amp;number=&amp;sourceID=11","")</f>
        <v/>
      </c>
      <c r="K214" s="4" t="str">
        <f>HYPERLINK("http://141.218.60.56/~jnz1568/getInfo.php?workbook=06_01.xlsx&amp;sheet=A0&amp;row=214&amp;col=11&amp;number=0.0037828&amp;sourceID=11","0.0037828")</f>
        <v>0.0037828</v>
      </c>
      <c r="L214" s="4" t="str">
        <f>HYPERLINK("http://141.218.60.56/~jnz1568/getInfo.php?workbook=06_01.xlsx&amp;sheet=A0&amp;row=214&amp;col=12&amp;number=&amp;sourceID=11","")</f>
        <v/>
      </c>
      <c r="M214" s="4" t="str">
        <f>HYPERLINK("http://141.218.60.56/~jnz1568/getInfo.php?workbook=06_01.xlsx&amp;sheet=A0&amp;row=214&amp;col=13&amp;number=3.8359e-05&amp;sourceID=11","3.8359e-05")</f>
        <v>3.8359e-05</v>
      </c>
      <c r="N214" s="4" t="str">
        <f>HYPERLINK("http://141.218.60.56/~jnz1568/getInfo.php?workbook=06_01.xlsx&amp;sheet=A0&amp;row=214&amp;col=14&amp;number=21405&amp;sourceID=12","21405")</f>
        <v>21405</v>
      </c>
      <c r="O214" s="4" t="str">
        <f>HYPERLINK("http://141.218.60.56/~jnz1568/getInfo.php?workbook=06_01.xlsx&amp;sheet=A0&amp;row=214&amp;col=15&amp;number=&amp;sourceID=12","")</f>
        <v/>
      </c>
      <c r="P214" s="4" t="str">
        <f>HYPERLINK("http://141.218.60.56/~jnz1568/getInfo.php?workbook=06_01.xlsx&amp;sheet=A0&amp;row=214&amp;col=16&amp;number=21405&amp;sourceID=12","21405")</f>
        <v>21405</v>
      </c>
      <c r="Q214" s="4" t="str">
        <f>HYPERLINK("http://141.218.60.56/~jnz1568/getInfo.php?workbook=06_01.xlsx&amp;sheet=A0&amp;row=214&amp;col=17&amp;number=&amp;sourceID=12","")</f>
        <v/>
      </c>
      <c r="R214" s="4" t="str">
        <f>HYPERLINK("http://141.218.60.56/~jnz1568/getInfo.php?workbook=06_01.xlsx&amp;sheet=A0&amp;row=214&amp;col=18&amp;number=0.0037833&amp;sourceID=12","0.0037833")</f>
        <v>0.0037833</v>
      </c>
      <c r="S214" s="4" t="str">
        <f>HYPERLINK("http://141.218.60.56/~jnz1568/getInfo.php?workbook=06_01.xlsx&amp;sheet=A0&amp;row=214&amp;col=19&amp;number=&amp;sourceID=12","")</f>
        <v/>
      </c>
      <c r="T214" s="4" t="str">
        <f>HYPERLINK("http://141.218.60.56/~jnz1568/getInfo.php?workbook=06_01.xlsx&amp;sheet=A0&amp;row=214&amp;col=20&amp;number=3.8361e-05&amp;sourceID=12","3.8361e-05")</f>
        <v>3.8361e-05</v>
      </c>
      <c r="U214" s="4" t="str">
        <f>HYPERLINK("http://141.218.60.56/~jnz1568/getInfo.php?workbook=06_01.xlsx&amp;sheet=A0&amp;row=214&amp;col=21&amp;number=&amp;sourceID=13","")</f>
        <v/>
      </c>
      <c r="V214" s="4" t="str">
        <f>HYPERLINK("http://141.218.60.56/~jnz1568/getInfo.php?workbook=06_01.xlsx&amp;sheet=A0&amp;row=214&amp;col=22&amp;number=&amp;sourceID=13","")</f>
        <v/>
      </c>
      <c r="W214" s="4" t="str">
        <f>HYPERLINK("http://141.218.60.56/~jnz1568/getInfo.php?workbook=06_01.xlsx&amp;sheet=A0&amp;row=214&amp;col=23&amp;number=&amp;sourceID=13","")</f>
        <v/>
      </c>
      <c r="X214" s="4" t="str">
        <f>HYPERLINK("http://141.218.60.56/~jnz1568/getInfo.php?workbook=06_01.xlsx&amp;sheet=A0&amp;row=214&amp;col=24&amp;number=&amp;sourceID=13","")</f>
        <v/>
      </c>
      <c r="Y214" s="4" t="str">
        <f>HYPERLINK("http://141.218.60.56/~jnz1568/getInfo.php?workbook=06_01.xlsx&amp;sheet=A0&amp;row=214&amp;col=25&amp;number=&amp;sourceID=13","")</f>
        <v/>
      </c>
      <c r="Z214" s="4" t="str">
        <f>HYPERLINK("http://141.218.60.56/~jnz1568/getInfo.php?workbook=06_01.xlsx&amp;sheet=A0&amp;row=214&amp;col=26&amp;number=&amp;sourceID=13","")</f>
        <v/>
      </c>
    </row>
    <row r="215" spans="1:26">
      <c r="A215" s="3">
        <v>6</v>
      </c>
      <c r="B215" s="3">
        <v>1</v>
      </c>
      <c r="C215" s="3">
        <v>22</v>
      </c>
      <c r="D215" s="3">
        <v>10</v>
      </c>
      <c r="E215" s="3">
        <f>((1/(INDEX(E0!J$4:J$28,C215,1)-INDEX(E0!J$4:J$28,D215,1))))*100000000</f>
        <v>0</v>
      </c>
      <c r="F215" s="4" t="str">
        <f>HYPERLINK("http://141.218.60.56/~jnz1568/getInfo.php?workbook=06_01.xlsx&amp;sheet=A0&amp;row=215&amp;col=6&amp;number=&amp;sourceID=18","")</f>
        <v/>
      </c>
      <c r="G215" s="4" t="str">
        <f>HYPERLINK("http://141.218.60.56/~jnz1568/getInfo.php?workbook=06_01.xlsx&amp;sheet=A0&amp;row=215&amp;col=7&amp;number==&amp;sourceID=11","=")</f>
        <v>=</v>
      </c>
      <c r="H215" s="4" t="str">
        <f>HYPERLINK("http://141.218.60.56/~jnz1568/getInfo.php?workbook=06_01.xlsx&amp;sheet=A0&amp;row=215&amp;col=8&amp;number=&amp;sourceID=11","")</f>
        <v/>
      </c>
      <c r="I215" s="4" t="str">
        <f>HYPERLINK("http://141.218.60.56/~jnz1568/getInfo.php?workbook=06_01.xlsx&amp;sheet=A0&amp;row=215&amp;col=9&amp;number=&amp;sourceID=11","")</f>
        <v/>
      </c>
      <c r="J215" s="4" t="str">
        <f>HYPERLINK("http://141.218.60.56/~jnz1568/getInfo.php?workbook=06_01.xlsx&amp;sheet=A0&amp;row=215&amp;col=10&amp;number=0.12251&amp;sourceID=11","0.12251")</f>
        <v>0.12251</v>
      </c>
      <c r="K215" s="4" t="str">
        <f>HYPERLINK("http://141.218.60.56/~jnz1568/getInfo.php?workbook=06_01.xlsx&amp;sheet=A0&amp;row=215&amp;col=11&amp;number=&amp;sourceID=11","")</f>
        <v/>
      </c>
      <c r="L215" s="4" t="str">
        <f>HYPERLINK("http://141.218.60.56/~jnz1568/getInfo.php?workbook=06_01.xlsx&amp;sheet=A0&amp;row=215&amp;col=12&amp;number=0.039863&amp;sourceID=11","0.039863")</f>
        <v>0.039863</v>
      </c>
      <c r="M215" s="4" t="str">
        <f>HYPERLINK("http://141.218.60.56/~jnz1568/getInfo.php?workbook=06_01.xlsx&amp;sheet=A0&amp;row=215&amp;col=13&amp;number=&amp;sourceID=11","")</f>
        <v/>
      </c>
      <c r="N215" s="4" t="str">
        <f>HYPERLINK("http://141.218.60.56/~jnz1568/getInfo.php?workbook=06_01.xlsx&amp;sheet=A0&amp;row=215&amp;col=14&amp;number=0.16239&amp;sourceID=12","0.16239")</f>
        <v>0.16239</v>
      </c>
      <c r="O215" s="4" t="str">
        <f>HYPERLINK("http://141.218.60.56/~jnz1568/getInfo.php?workbook=06_01.xlsx&amp;sheet=A0&amp;row=215&amp;col=15&amp;number=&amp;sourceID=12","")</f>
        <v/>
      </c>
      <c r="P215" s="4" t="str">
        <f>HYPERLINK("http://141.218.60.56/~jnz1568/getInfo.php?workbook=06_01.xlsx&amp;sheet=A0&amp;row=215&amp;col=16&amp;number=&amp;sourceID=12","")</f>
        <v/>
      </c>
      <c r="Q215" s="4" t="str">
        <f>HYPERLINK("http://141.218.60.56/~jnz1568/getInfo.php?workbook=06_01.xlsx&amp;sheet=A0&amp;row=215&amp;col=17&amp;number=0.12252&amp;sourceID=12","0.12252")</f>
        <v>0.12252</v>
      </c>
      <c r="R215" s="4" t="str">
        <f>HYPERLINK("http://141.218.60.56/~jnz1568/getInfo.php?workbook=06_01.xlsx&amp;sheet=A0&amp;row=215&amp;col=18&amp;number=&amp;sourceID=12","")</f>
        <v/>
      </c>
      <c r="S215" s="4" t="str">
        <f>HYPERLINK("http://141.218.60.56/~jnz1568/getInfo.php?workbook=06_01.xlsx&amp;sheet=A0&amp;row=215&amp;col=19&amp;number=0.039865&amp;sourceID=12","0.039865")</f>
        <v>0.039865</v>
      </c>
      <c r="T215" s="4" t="str">
        <f>HYPERLINK("http://141.218.60.56/~jnz1568/getInfo.php?workbook=06_01.xlsx&amp;sheet=A0&amp;row=215&amp;col=20&amp;number=&amp;sourceID=12","")</f>
        <v/>
      </c>
      <c r="U215" s="4" t="str">
        <f>HYPERLINK("http://141.218.60.56/~jnz1568/getInfo.php?workbook=06_01.xlsx&amp;sheet=A0&amp;row=215&amp;col=21&amp;number=&amp;sourceID=13","")</f>
        <v/>
      </c>
      <c r="V215" s="4" t="str">
        <f>HYPERLINK("http://141.218.60.56/~jnz1568/getInfo.php?workbook=06_01.xlsx&amp;sheet=A0&amp;row=215&amp;col=22&amp;number=&amp;sourceID=13","")</f>
        <v/>
      </c>
      <c r="W215" s="4" t="str">
        <f>HYPERLINK("http://141.218.60.56/~jnz1568/getInfo.php?workbook=06_01.xlsx&amp;sheet=A0&amp;row=215&amp;col=23&amp;number=&amp;sourceID=13","")</f>
        <v/>
      </c>
      <c r="X215" s="4" t="str">
        <f>HYPERLINK("http://141.218.60.56/~jnz1568/getInfo.php?workbook=06_01.xlsx&amp;sheet=A0&amp;row=215&amp;col=24&amp;number=&amp;sourceID=13","")</f>
        <v/>
      </c>
      <c r="Y215" s="4" t="str">
        <f>HYPERLINK("http://141.218.60.56/~jnz1568/getInfo.php?workbook=06_01.xlsx&amp;sheet=A0&amp;row=215&amp;col=25&amp;number=&amp;sourceID=13","")</f>
        <v/>
      </c>
      <c r="Z215" s="4" t="str">
        <f>HYPERLINK("http://141.218.60.56/~jnz1568/getInfo.php?workbook=06_01.xlsx&amp;sheet=A0&amp;row=215&amp;col=26&amp;number=&amp;sourceID=13","")</f>
        <v/>
      </c>
    </row>
    <row r="216" spans="1:26">
      <c r="A216" s="3">
        <v>6</v>
      </c>
      <c r="B216" s="3">
        <v>1</v>
      </c>
      <c r="C216" s="3">
        <v>22</v>
      </c>
      <c r="D216" s="3">
        <v>11</v>
      </c>
      <c r="E216" s="3">
        <f>((1/(INDEX(E0!J$4:J$28,C216,1)-INDEX(E0!J$4:J$28,D216,1))))*100000000</f>
        <v>0</v>
      </c>
      <c r="F216" s="4" t="str">
        <f>HYPERLINK("http://141.218.60.56/~jnz1568/getInfo.php?workbook=06_01.xlsx&amp;sheet=A0&amp;row=216&amp;col=6&amp;number=&amp;sourceID=18","")</f>
        <v/>
      </c>
      <c r="G216" s="4" t="str">
        <f>HYPERLINK("http://141.218.60.56/~jnz1568/getInfo.php?workbook=06_01.xlsx&amp;sheet=A0&amp;row=216&amp;col=7&amp;number==&amp;sourceID=11","=")</f>
        <v>=</v>
      </c>
      <c r="H216" s="4" t="str">
        <f>HYPERLINK("http://141.218.60.56/~jnz1568/getInfo.php?workbook=06_01.xlsx&amp;sheet=A0&amp;row=216&amp;col=8&amp;number=&amp;sourceID=11","")</f>
        <v/>
      </c>
      <c r="I216" s="4" t="str">
        <f>HYPERLINK("http://141.218.60.56/~jnz1568/getInfo.php?workbook=06_01.xlsx&amp;sheet=A0&amp;row=216&amp;col=9&amp;number=25212&amp;sourceID=11","25212")</f>
        <v>25212</v>
      </c>
      <c r="J216" s="4" t="str">
        <f>HYPERLINK("http://141.218.60.56/~jnz1568/getInfo.php?workbook=06_01.xlsx&amp;sheet=A0&amp;row=216&amp;col=10&amp;number=&amp;sourceID=11","")</f>
        <v/>
      </c>
      <c r="K216" s="4" t="str">
        <f>HYPERLINK("http://141.218.60.56/~jnz1568/getInfo.php?workbook=06_01.xlsx&amp;sheet=A0&amp;row=216&amp;col=11&amp;number=&amp;sourceID=11","")</f>
        <v/>
      </c>
      <c r="L216" s="4" t="str">
        <f>HYPERLINK("http://141.218.60.56/~jnz1568/getInfo.php?workbook=06_01.xlsx&amp;sheet=A0&amp;row=216&amp;col=12&amp;number=&amp;sourceID=11","")</f>
        <v/>
      </c>
      <c r="M216" s="4" t="str">
        <f>HYPERLINK("http://141.218.60.56/~jnz1568/getInfo.php?workbook=06_01.xlsx&amp;sheet=A0&amp;row=216&amp;col=13&amp;number=2.611e-06&amp;sourceID=11","2.611e-06")</f>
        <v>2.611e-06</v>
      </c>
      <c r="N216" s="4" t="str">
        <f>HYPERLINK("http://141.218.60.56/~jnz1568/getInfo.php?workbook=06_01.xlsx&amp;sheet=A0&amp;row=216&amp;col=14&amp;number=25214&amp;sourceID=12","25214")</f>
        <v>25214</v>
      </c>
      <c r="O216" s="4" t="str">
        <f>HYPERLINK("http://141.218.60.56/~jnz1568/getInfo.php?workbook=06_01.xlsx&amp;sheet=A0&amp;row=216&amp;col=15&amp;number=&amp;sourceID=12","")</f>
        <v/>
      </c>
      <c r="P216" s="4" t="str">
        <f>HYPERLINK("http://141.218.60.56/~jnz1568/getInfo.php?workbook=06_01.xlsx&amp;sheet=A0&amp;row=216&amp;col=16&amp;number=25214&amp;sourceID=12","25214")</f>
        <v>25214</v>
      </c>
      <c r="Q216" s="4" t="str">
        <f>HYPERLINK("http://141.218.60.56/~jnz1568/getInfo.php?workbook=06_01.xlsx&amp;sheet=A0&amp;row=216&amp;col=17&amp;number=&amp;sourceID=12","")</f>
        <v/>
      </c>
      <c r="R216" s="4" t="str">
        <f>HYPERLINK("http://141.218.60.56/~jnz1568/getInfo.php?workbook=06_01.xlsx&amp;sheet=A0&amp;row=216&amp;col=18&amp;number=&amp;sourceID=12","")</f>
        <v/>
      </c>
      <c r="S216" s="4" t="str">
        <f>HYPERLINK("http://141.218.60.56/~jnz1568/getInfo.php?workbook=06_01.xlsx&amp;sheet=A0&amp;row=216&amp;col=19&amp;number=&amp;sourceID=12","")</f>
        <v/>
      </c>
      <c r="T216" s="4" t="str">
        <f>HYPERLINK("http://141.218.60.56/~jnz1568/getInfo.php?workbook=06_01.xlsx&amp;sheet=A0&amp;row=216&amp;col=20&amp;number=2.6111e-06&amp;sourceID=12","2.6111e-06")</f>
        <v>2.6111e-06</v>
      </c>
      <c r="U216" s="4" t="str">
        <f>HYPERLINK("http://141.218.60.56/~jnz1568/getInfo.php?workbook=06_01.xlsx&amp;sheet=A0&amp;row=216&amp;col=21&amp;number=&amp;sourceID=13","")</f>
        <v/>
      </c>
      <c r="V216" s="4" t="str">
        <f>HYPERLINK("http://141.218.60.56/~jnz1568/getInfo.php?workbook=06_01.xlsx&amp;sheet=A0&amp;row=216&amp;col=22&amp;number=&amp;sourceID=13","")</f>
        <v/>
      </c>
      <c r="W216" s="4" t="str">
        <f>HYPERLINK("http://141.218.60.56/~jnz1568/getInfo.php?workbook=06_01.xlsx&amp;sheet=A0&amp;row=216&amp;col=23&amp;number=&amp;sourceID=13","")</f>
        <v/>
      </c>
      <c r="X216" s="4" t="str">
        <f>HYPERLINK("http://141.218.60.56/~jnz1568/getInfo.php?workbook=06_01.xlsx&amp;sheet=A0&amp;row=216&amp;col=24&amp;number=&amp;sourceID=13","")</f>
        <v/>
      </c>
      <c r="Y216" s="4" t="str">
        <f>HYPERLINK("http://141.218.60.56/~jnz1568/getInfo.php?workbook=06_01.xlsx&amp;sheet=A0&amp;row=216&amp;col=25&amp;number=&amp;sourceID=13","")</f>
        <v/>
      </c>
      <c r="Z216" s="4" t="str">
        <f>HYPERLINK("http://141.218.60.56/~jnz1568/getInfo.php?workbook=06_01.xlsx&amp;sheet=A0&amp;row=216&amp;col=26&amp;number=&amp;sourceID=13","")</f>
        <v/>
      </c>
    </row>
    <row r="217" spans="1:26">
      <c r="A217" s="3">
        <v>6</v>
      </c>
      <c r="B217" s="3">
        <v>1</v>
      </c>
      <c r="C217" s="3">
        <v>22</v>
      </c>
      <c r="D217" s="3">
        <v>12</v>
      </c>
      <c r="E217" s="3">
        <f>((1/(INDEX(E0!J$4:J$28,C217,1)-INDEX(E0!J$4:J$28,D217,1))))*100000000</f>
        <v>0</v>
      </c>
      <c r="F217" s="4" t="str">
        <f>HYPERLINK("http://141.218.60.56/~jnz1568/getInfo.php?workbook=06_01.xlsx&amp;sheet=A0&amp;row=217&amp;col=6&amp;number=&amp;sourceID=18","")</f>
        <v/>
      </c>
      <c r="G217" s="4" t="str">
        <f>HYPERLINK("http://141.218.60.56/~jnz1568/getInfo.php?workbook=06_01.xlsx&amp;sheet=A0&amp;row=217&amp;col=7&amp;number==&amp;sourceID=11","=")</f>
        <v>=</v>
      </c>
      <c r="H217" s="4" t="str">
        <f>HYPERLINK("http://141.218.60.56/~jnz1568/getInfo.php?workbook=06_01.xlsx&amp;sheet=A0&amp;row=217&amp;col=8&amp;number=&amp;sourceID=11","")</f>
        <v/>
      </c>
      <c r="I217" s="4" t="str">
        <f>HYPERLINK("http://141.218.60.56/~jnz1568/getInfo.php?workbook=06_01.xlsx&amp;sheet=A0&amp;row=217&amp;col=9&amp;number=2480.4&amp;sourceID=11","2480.4")</f>
        <v>2480.4</v>
      </c>
      <c r="J217" s="4" t="str">
        <f>HYPERLINK("http://141.218.60.56/~jnz1568/getInfo.php?workbook=06_01.xlsx&amp;sheet=A0&amp;row=217&amp;col=10&amp;number=&amp;sourceID=11","")</f>
        <v/>
      </c>
      <c r="K217" s="4" t="str">
        <f>HYPERLINK("http://141.218.60.56/~jnz1568/getInfo.php?workbook=06_01.xlsx&amp;sheet=A0&amp;row=217&amp;col=11&amp;number=0.00012683&amp;sourceID=11","0.00012683")</f>
        <v>0.00012683</v>
      </c>
      <c r="L217" s="4" t="str">
        <f>HYPERLINK("http://141.218.60.56/~jnz1568/getInfo.php?workbook=06_01.xlsx&amp;sheet=A0&amp;row=217&amp;col=12&amp;number=&amp;sourceID=11","")</f>
        <v/>
      </c>
      <c r="M217" s="4" t="str">
        <f>HYPERLINK("http://141.218.60.56/~jnz1568/getInfo.php?workbook=06_01.xlsx&amp;sheet=A0&amp;row=217&amp;col=13&amp;number=1.4659e-08&amp;sourceID=11","1.4659e-08")</f>
        <v>1.4659e-08</v>
      </c>
      <c r="N217" s="4" t="str">
        <f>HYPERLINK("http://141.218.60.56/~jnz1568/getInfo.php?workbook=06_01.xlsx&amp;sheet=A0&amp;row=217&amp;col=14&amp;number=2480.5&amp;sourceID=12","2480.5")</f>
        <v>2480.5</v>
      </c>
      <c r="O217" s="4" t="str">
        <f>HYPERLINK("http://141.218.60.56/~jnz1568/getInfo.php?workbook=06_01.xlsx&amp;sheet=A0&amp;row=217&amp;col=15&amp;number=&amp;sourceID=12","")</f>
        <v/>
      </c>
      <c r="P217" s="4" t="str">
        <f>HYPERLINK("http://141.218.60.56/~jnz1568/getInfo.php?workbook=06_01.xlsx&amp;sheet=A0&amp;row=217&amp;col=16&amp;number=2480.5&amp;sourceID=12","2480.5")</f>
        <v>2480.5</v>
      </c>
      <c r="Q217" s="4" t="str">
        <f>HYPERLINK("http://141.218.60.56/~jnz1568/getInfo.php?workbook=06_01.xlsx&amp;sheet=A0&amp;row=217&amp;col=17&amp;number=&amp;sourceID=12","")</f>
        <v/>
      </c>
      <c r="R217" s="4" t="str">
        <f>HYPERLINK("http://141.218.60.56/~jnz1568/getInfo.php?workbook=06_01.xlsx&amp;sheet=A0&amp;row=217&amp;col=18&amp;number=0.00012684&amp;sourceID=12","0.00012684")</f>
        <v>0.00012684</v>
      </c>
      <c r="S217" s="4" t="str">
        <f>HYPERLINK("http://141.218.60.56/~jnz1568/getInfo.php?workbook=06_01.xlsx&amp;sheet=A0&amp;row=217&amp;col=19&amp;number=&amp;sourceID=12","")</f>
        <v/>
      </c>
      <c r="T217" s="4" t="str">
        <f>HYPERLINK("http://141.218.60.56/~jnz1568/getInfo.php?workbook=06_01.xlsx&amp;sheet=A0&amp;row=217&amp;col=20&amp;number=1.466e-08&amp;sourceID=12","1.466e-08")</f>
        <v>1.466e-08</v>
      </c>
      <c r="U217" s="4" t="str">
        <f>HYPERLINK("http://141.218.60.56/~jnz1568/getInfo.php?workbook=06_01.xlsx&amp;sheet=A0&amp;row=217&amp;col=21&amp;number=&amp;sourceID=13","")</f>
        <v/>
      </c>
      <c r="V217" s="4" t="str">
        <f>HYPERLINK("http://141.218.60.56/~jnz1568/getInfo.php?workbook=06_01.xlsx&amp;sheet=A0&amp;row=217&amp;col=22&amp;number=&amp;sourceID=13","")</f>
        <v/>
      </c>
      <c r="W217" s="4" t="str">
        <f>HYPERLINK("http://141.218.60.56/~jnz1568/getInfo.php?workbook=06_01.xlsx&amp;sheet=A0&amp;row=217&amp;col=23&amp;number=&amp;sourceID=13","")</f>
        <v/>
      </c>
      <c r="X217" s="4" t="str">
        <f>HYPERLINK("http://141.218.60.56/~jnz1568/getInfo.php?workbook=06_01.xlsx&amp;sheet=A0&amp;row=217&amp;col=24&amp;number=&amp;sourceID=13","")</f>
        <v/>
      </c>
      <c r="Y217" s="4" t="str">
        <f>HYPERLINK("http://141.218.60.56/~jnz1568/getInfo.php?workbook=06_01.xlsx&amp;sheet=A0&amp;row=217&amp;col=25&amp;number=&amp;sourceID=13","")</f>
        <v/>
      </c>
      <c r="Z217" s="4" t="str">
        <f>HYPERLINK("http://141.218.60.56/~jnz1568/getInfo.php?workbook=06_01.xlsx&amp;sheet=A0&amp;row=217&amp;col=26&amp;number=&amp;sourceID=13","")</f>
        <v/>
      </c>
    </row>
    <row r="218" spans="1:26">
      <c r="A218" s="3">
        <v>6</v>
      </c>
      <c r="B218" s="3">
        <v>1</v>
      </c>
      <c r="C218" s="3">
        <v>22</v>
      </c>
      <c r="D218" s="3">
        <v>13</v>
      </c>
      <c r="E218" s="3">
        <f>((1/(INDEX(E0!J$4:J$28,C218,1)-INDEX(E0!J$4:J$28,D218,1))))*100000000</f>
        <v>0</v>
      </c>
      <c r="F218" s="4" t="str">
        <f>HYPERLINK("http://141.218.60.56/~jnz1568/getInfo.php?workbook=06_01.xlsx&amp;sheet=A0&amp;row=218&amp;col=6&amp;number=&amp;sourceID=18","")</f>
        <v/>
      </c>
      <c r="G218" s="4" t="str">
        <f>HYPERLINK("http://141.218.60.56/~jnz1568/getInfo.php?workbook=06_01.xlsx&amp;sheet=A0&amp;row=218&amp;col=7&amp;number==&amp;sourceID=11","=")</f>
        <v>=</v>
      </c>
      <c r="H218" s="4" t="str">
        <f>HYPERLINK("http://141.218.60.56/~jnz1568/getInfo.php?workbook=06_01.xlsx&amp;sheet=A0&amp;row=218&amp;col=8&amp;number=1926300000&amp;sourceID=11","1926300000")</f>
        <v>1926300000</v>
      </c>
      <c r="I218" s="4" t="str">
        <f>HYPERLINK("http://141.218.60.56/~jnz1568/getInfo.php?workbook=06_01.xlsx&amp;sheet=A0&amp;row=218&amp;col=9&amp;number=&amp;sourceID=11","")</f>
        <v/>
      </c>
      <c r="J218" s="4" t="str">
        <f>HYPERLINK("http://141.218.60.56/~jnz1568/getInfo.php?workbook=06_01.xlsx&amp;sheet=A0&amp;row=218&amp;col=10&amp;number=0.097765&amp;sourceID=11","0.097765")</f>
        <v>0.097765</v>
      </c>
      <c r="K218" s="4" t="str">
        <f>HYPERLINK("http://141.218.60.56/~jnz1568/getInfo.php?workbook=06_01.xlsx&amp;sheet=A0&amp;row=218&amp;col=11&amp;number=&amp;sourceID=11","")</f>
        <v/>
      </c>
      <c r="L218" s="4" t="str">
        <f>HYPERLINK("http://141.218.60.56/~jnz1568/getInfo.php?workbook=06_01.xlsx&amp;sheet=A0&amp;row=218&amp;col=12&amp;number=0.21789&amp;sourceID=11","0.21789")</f>
        <v>0.21789</v>
      </c>
      <c r="M218" s="4" t="str">
        <f>HYPERLINK("http://141.218.60.56/~jnz1568/getInfo.php?workbook=06_01.xlsx&amp;sheet=A0&amp;row=218&amp;col=13&amp;number=&amp;sourceID=11","")</f>
        <v/>
      </c>
      <c r="N218" s="4" t="str">
        <f>HYPERLINK("http://141.218.60.56/~jnz1568/getInfo.php?workbook=06_01.xlsx&amp;sheet=A0&amp;row=218&amp;col=14&amp;number=1926400000&amp;sourceID=12","1926400000")</f>
        <v>1926400000</v>
      </c>
      <c r="O218" s="4" t="str">
        <f>HYPERLINK("http://141.218.60.56/~jnz1568/getInfo.php?workbook=06_01.xlsx&amp;sheet=A0&amp;row=218&amp;col=15&amp;number=1926400000&amp;sourceID=12","1926400000")</f>
        <v>1926400000</v>
      </c>
      <c r="P218" s="4" t="str">
        <f>HYPERLINK("http://141.218.60.56/~jnz1568/getInfo.php?workbook=06_01.xlsx&amp;sheet=A0&amp;row=218&amp;col=16&amp;number=&amp;sourceID=12","")</f>
        <v/>
      </c>
      <c r="Q218" s="4" t="str">
        <f>HYPERLINK("http://141.218.60.56/~jnz1568/getInfo.php?workbook=06_01.xlsx&amp;sheet=A0&amp;row=218&amp;col=17&amp;number=0.09777&amp;sourceID=12","0.09777")</f>
        <v>0.09777</v>
      </c>
      <c r="R218" s="4" t="str">
        <f>HYPERLINK("http://141.218.60.56/~jnz1568/getInfo.php?workbook=06_01.xlsx&amp;sheet=A0&amp;row=218&amp;col=18&amp;number=&amp;sourceID=12","")</f>
        <v/>
      </c>
      <c r="S218" s="4" t="str">
        <f>HYPERLINK("http://141.218.60.56/~jnz1568/getInfo.php?workbook=06_01.xlsx&amp;sheet=A0&amp;row=218&amp;col=19&amp;number=0.2179&amp;sourceID=12","0.2179")</f>
        <v>0.2179</v>
      </c>
      <c r="T218" s="4" t="str">
        <f>HYPERLINK("http://141.218.60.56/~jnz1568/getInfo.php?workbook=06_01.xlsx&amp;sheet=A0&amp;row=218&amp;col=20&amp;number=&amp;sourceID=12","")</f>
        <v/>
      </c>
      <c r="U218" s="4" t="str">
        <f>HYPERLINK("http://141.218.60.56/~jnz1568/getInfo.php?workbook=06_01.xlsx&amp;sheet=A0&amp;row=218&amp;col=21&amp;number=&amp;sourceID=13","")</f>
        <v/>
      </c>
      <c r="V218" s="4" t="str">
        <f>HYPERLINK("http://141.218.60.56/~jnz1568/getInfo.php?workbook=06_01.xlsx&amp;sheet=A0&amp;row=218&amp;col=22&amp;number=&amp;sourceID=13","")</f>
        <v/>
      </c>
      <c r="W218" s="4" t="str">
        <f>HYPERLINK("http://141.218.60.56/~jnz1568/getInfo.php?workbook=06_01.xlsx&amp;sheet=A0&amp;row=218&amp;col=23&amp;number=&amp;sourceID=13","")</f>
        <v/>
      </c>
      <c r="X218" s="4" t="str">
        <f>HYPERLINK("http://141.218.60.56/~jnz1568/getInfo.php?workbook=06_01.xlsx&amp;sheet=A0&amp;row=218&amp;col=24&amp;number=&amp;sourceID=13","")</f>
        <v/>
      </c>
      <c r="Y218" s="4" t="str">
        <f>HYPERLINK("http://141.218.60.56/~jnz1568/getInfo.php?workbook=06_01.xlsx&amp;sheet=A0&amp;row=218&amp;col=25&amp;number=&amp;sourceID=13","")</f>
        <v/>
      </c>
      <c r="Z218" s="4" t="str">
        <f>HYPERLINK("http://141.218.60.56/~jnz1568/getInfo.php?workbook=06_01.xlsx&amp;sheet=A0&amp;row=218&amp;col=26&amp;number=&amp;sourceID=13","")</f>
        <v/>
      </c>
    </row>
    <row r="219" spans="1:26">
      <c r="A219" s="3">
        <v>6</v>
      </c>
      <c r="B219" s="3">
        <v>1</v>
      </c>
      <c r="C219" s="3">
        <v>22</v>
      </c>
      <c r="D219" s="3">
        <v>14</v>
      </c>
      <c r="E219" s="3">
        <f>((1/(INDEX(E0!J$4:J$28,C219,1)-INDEX(E0!J$4:J$28,D219,1))))*100000000</f>
        <v>0</v>
      </c>
      <c r="F219" s="4" t="str">
        <f>HYPERLINK("http://141.218.60.56/~jnz1568/getInfo.php?workbook=06_01.xlsx&amp;sheet=A0&amp;row=219&amp;col=6&amp;number=&amp;sourceID=18","")</f>
        <v/>
      </c>
      <c r="G219" s="4" t="str">
        <f>HYPERLINK("http://141.218.60.56/~jnz1568/getInfo.php?workbook=06_01.xlsx&amp;sheet=A0&amp;row=219&amp;col=7&amp;number==&amp;sourceID=11","=")</f>
        <v>=</v>
      </c>
      <c r="H219" s="4" t="str">
        <f>HYPERLINK("http://141.218.60.56/~jnz1568/getInfo.php?workbook=06_01.xlsx&amp;sheet=A0&amp;row=219&amp;col=8&amp;number=3117300&amp;sourceID=11","3117300")</f>
        <v>3117300</v>
      </c>
      <c r="I219" s="4" t="str">
        <f>HYPERLINK("http://141.218.60.56/~jnz1568/getInfo.php?workbook=06_01.xlsx&amp;sheet=A0&amp;row=219&amp;col=9&amp;number=&amp;sourceID=11","")</f>
        <v/>
      </c>
      <c r="J219" s="4" t="str">
        <f>HYPERLINK("http://141.218.60.56/~jnz1568/getInfo.php?workbook=06_01.xlsx&amp;sheet=A0&amp;row=219&amp;col=10&amp;number=0.0087973&amp;sourceID=11","0.0087973")</f>
        <v>0.0087973</v>
      </c>
      <c r="K219" s="4" t="str">
        <f>HYPERLINK("http://141.218.60.56/~jnz1568/getInfo.php?workbook=06_01.xlsx&amp;sheet=A0&amp;row=219&amp;col=11&amp;number=&amp;sourceID=11","")</f>
        <v/>
      </c>
      <c r="L219" s="4" t="str">
        <f>HYPERLINK("http://141.218.60.56/~jnz1568/getInfo.php?workbook=06_01.xlsx&amp;sheet=A0&amp;row=219&amp;col=12&amp;number=&amp;sourceID=11","")</f>
        <v/>
      </c>
      <c r="M219" s="4" t="str">
        <f>HYPERLINK("http://141.218.60.56/~jnz1568/getInfo.php?workbook=06_01.xlsx&amp;sheet=A0&amp;row=219&amp;col=13&amp;number=&amp;sourceID=11","")</f>
        <v/>
      </c>
      <c r="N219" s="4" t="str">
        <f>HYPERLINK("http://141.218.60.56/~jnz1568/getInfo.php?workbook=06_01.xlsx&amp;sheet=A0&amp;row=219&amp;col=14&amp;number=3117500&amp;sourceID=12","3117500")</f>
        <v>3117500</v>
      </c>
      <c r="O219" s="4" t="str">
        <f>HYPERLINK("http://141.218.60.56/~jnz1568/getInfo.php?workbook=06_01.xlsx&amp;sheet=A0&amp;row=219&amp;col=15&amp;number=3117500&amp;sourceID=12","3117500")</f>
        <v>3117500</v>
      </c>
      <c r="P219" s="4" t="str">
        <f>HYPERLINK("http://141.218.60.56/~jnz1568/getInfo.php?workbook=06_01.xlsx&amp;sheet=A0&amp;row=219&amp;col=16&amp;number=&amp;sourceID=12","")</f>
        <v/>
      </c>
      <c r="Q219" s="4" t="str">
        <f>HYPERLINK("http://141.218.60.56/~jnz1568/getInfo.php?workbook=06_01.xlsx&amp;sheet=A0&amp;row=219&amp;col=17&amp;number=0.0087977&amp;sourceID=12","0.0087977")</f>
        <v>0.0087977</v>
      </c>
      <c r="R219" s="4" t="str">
        <f>HYPERLINK("http://141.218.60.56/~jnz1568/getInfo.php?workbook=06_01.xlsx&amp;sheet=A0&amp;row=219&amp;col=18&amp;number=&amp;sourceID=12","")</f>
        <v/>
      </c>
      <c r="S219" s="4" t="str">
        <f>HYPERLINK("http://141.218.60.56/~jnz1568/getInfo.php?workbook=06_01.xlsx&amp;sheet=A0&amp;row=219&amp;col=19&amp;number=&amp;sourceID=12","")</f>
        <v/>
      </c>
      <c r="T219" s="4" t="str">
        <f>HYPERLINK("http://141.218.60.56/~jnz1568/getInfo.php?workbook=06_01.xlsx&amp;sheet=A0&amp;row=219&amp;col=20&amp;number=&amp;sourceID=12","")</f>
        <v/>
      </c>
      <c r="U219" s="4" t="str">
        <f>HYPERLINK("http://141.218.60.56/~jnz1568/getInfo.php?workbook=06_01.xlsx&amp;sheet=A0&amp;row=219&amp;col=21&amp;number=&amp;sourceID=13","")</f>
        <v/>
      </c>
      <c r="V219" s="4" t="str">
        <f>HYPERLINK("http://141.218.60.56/~jnz1568/getInfo.php?workbook=06_01.xlsx&amp;sheet=A0&amp;row=219&amp;col=22&amp;number=&amp;sourceID=13","")</f>
        <v/>
      </c>
      <c r="W219" s="4" t="str">
        <f>HYPERLINK("http://141.218.60.56/~jnz1568/getInfo.php?workbook=06_01.xlsx&amp;sheet=A0&amp;row=219&amp;col=23&amp;number=&amp;sourceID=13","")</f>
        <v/>
      </c>
      <c r="X219" s="4" t="str">
        <f>HYPERLINK("http://141.218.60.56/~jnz1568/getInfo.php?workbook=06_01.xlsx&amp;sheet=A0&amp;row=219&amp;col=24&amp;number=&amp;sourceID=13","")</f>
        <v/>
      </c>
      <c r="Y219" s="4" t="str">
        <f>HYPERLINK("http://141.218.60.56/~jnz1568/getInfo.php?workbook=06_01.xlsx&amp;sheet=A0&amp;row=219&amp;col=25&amp;number=&amp;sourceID=13","")</f>
        <v/>
      </c>
      <c r="Z219" s="4" t="str">
        <f>HYPERLINK("http://141.218.60.56/~jnz1568/getInfo.php?workbook=06_01.xlsx&amp;sheet=A0&amp;row=219&amp;col=26&amp;number=&amp;sourceID=13","")</f>
        <v/>
      </c>
    </row>
    <row r="220" spans="1:26">
      <c r="A220" s="3">
        <v>6</v>
      </c>
      <c r="B220" s="3">
        <v>1</v>
      </c>
      <c r="C220" s="3">
        <v>22</v>
      </c>
      <c r="D220" s="3">
        <v>15</v>
      </c>
      <c r="E220" s="3">
        <f>((1/(INDEX(E0!J$4:J$28,C220,1)-INDEX(E0!J$4:J$28,D220,1))))*100000000</f>
        <v>0</v>
      </c>
      <c r="F220" s="4" t="str">
        <f>HYPERLINK("http://141.218.60.56/~jnz1568/getInfo.php?workbook=06_01.xlsx&amp;sheet=A0&amp;row=220&amp;col=6&amp;number=&amp;sourceID=18","")</f>
        <v/>
      </c>
      <c r="G220" s="4" t="str">
        <f>HYPERLINK("http://141.218.60.56/~jnz1568/getInfo.php?workbook=06_01.xlsx&amp;sheet=A0&amp;row=220&amp;col=7&amp;number==&amp;sourceID=11","=")</f>
        <v>=</v>
      </c>
      <c r="H220" s="4" t="str">
        <f>HYPERLINK("http://141.218.60.56/~jnz1568/getInfo.php?workbook=06_01.xlsx&amp;sheet=A0&amp;row=220&amp;col=8&amp;number=&amp;sourceID=11","")</f>
        <v/>
      </c>
      <c r="I220" s="4" t="str">
        <f>HYPERLINK("http://141.218.60.56/~jnz1568/getInfo.php?workbook=06_01.xlsx&amp;sheet=A0&amp;row=220&amp;col=9&amp;number=9919.7&amp;sourceID=11","9919.7")</f>
        <v>9919.7</v>
      </c>
      <c r="J220" s="4" t="str">
        <f>HYPERLINK("http://141.218.60.56/~jnz1568/getInfo.php?workbook=06_01.xlsx&amp;sheet=A0&amp;row=220&amp;col=10&amp;number=&amp;sourceID=11","")</f>
        <v/>
      </c>
      <c r="K220" s="4" t="str">
        <f>HYPERLINK("http://141.218.60.56/~jnz1568/getInfo.php?workbook=06_01.xlsx&amp;sheet=A0&amp;row=220&amp;col=11&amp;number=0.00017548&amp;sourceID=11","0.00017548")</f>
        <v>0.00017548</v>
      </c>
      <c r="L220" s="4" t="str">
        <f>HYPERLINK("http://141.218.60.56/~jnz1568/getInfo.php?workbook=06_01.xlsx&amp;sheet=A0&amp;row=220&amp;col=12&amp;number=&amp;sourceID=11","")</f>
        <v/>
      </c>
      <c r="M220" s="4" t="str">
        <f>HYPERLINK("http://141.218.60.56/~jnz1568/getInfo.php?workbook=06_01.xlsx&amp;sheet=A0&amp;row=220&amp;col=13&amp;number=1.7799e-06&amp;sourceID=11","1.7799e-06")</f>
        <v>1.7799e-06</v>
      </c>
      <c r="N220" s="4" t="str">
        <f>HYPERLINK("http://141.218.60.56/~jnz1568/getInfo.php?workbook=06_01.xlsx&amp;sheet=A0&amp;row=220&amp;col=14&amp;number=9920.1&amp;sourceID=12","9920.1")</f>
        <v>9920.1</v>
      </c>
      <c r="O220" s="4" t="str">
        <f>HYPERLINK("http://141.218.60.56/~jnz1568/getInfo.php?workbook=06_01.xlsx&amp;sheet=A0&amp;row=220&amp;col=15&amp;number=&amp;sourceID=12","")</f>
        <v/>
      </c>
      <c r="P220" s="4" t="str">
        <f>HYPERLINK("http://141.218.60.56/~jnz1568/getInfo.php?workbook=06_01.xlsx&amp;sheet=A0&amp;row=220&amp;col=16&amp;number=9920.1&amp;sourceID=12","9920.1")</f>
        <v>9920.1</v>
      </c>
      <c r="Q220" s="4" t="str">
        <f>HYPERLINK("http://141.218.60.56/~jnz1568/getInfo.php?workbook=06_01.xlsx&amp;sheet=A0&amp;row=220&amp;col=17&amp;number=&amp;sourceID=12","")</f>
        <v/>
      </c>
      <c r="R220" s="4" t="str">
        <f>HYPERLINK("http://141.218.60.56/~jnz1568/getInfo.php?workbook=06_01.xlsx&amp;sheet=A0&amp;row=220&amp;col=18&amp;number=0.00017549&amp;sourceID=12","0.00017549")</f>
        <v>0.00017549</v>
      </c>
      <c r="S220" s="4" t="str">
        <f>HYPERLINK("http://141.218.60.56/~jnz1568/getInfo.php?workbook=06_01.xlsx&amp;sheet=A0&amp;row=220&amp;col=19&amp;number=&amp;sourceID=12","")</f>
        <v/>
      </c>
      <c r="T220" s="4" t="str">
        <f>HYPERLINK("http://141.218.60.56/~jnz1568/getInfo.php?workbook=06_01.xlsx&amp;sheet=A0&amp;row=220&amp;col=20&amp;number=1.78e-06&amp;sourceID=12","1.78e-06")</f>
        <v>1.78e-06</v>
      </c>
      <c r="U220" s="4" t="str">
        <f>HYPERLINK("http://141.218.60.56/~jnz1568/getInfo.php?workbook=06_01.xlsx&amp;sheet=A0&amp;row=220&amp;col=21&amp;number=&amp;sourceID=13","")</f>
        <v/>
      </c>
      <c r="V220" s="4" t="str">
        <f>HYPERLINK("http://141.218.60.56/~jnz1568/getInfo.php?workbook=06_01.xlsx&amp;sheet=A0&amp;row=220&amp;col=22&amp;number=&amp;sourceID=13","")</f>
        <v/>
      </c>
      <c r="W220" s="4" t="str">
        <f>HYPERLINK("http://141.218.60.56/~jnz1568/getInfo.php?workbook=06_01.xlsx&amp;sheet=A0&amp;row=220&amp;col=23&amp;number=&amp;sourceID=13","")</f>
        <v/>
      </c>
      <c r="X220" s="4" t="str">
        <f>HYPERLINK("http://141.218.60.56/~jnz1568/getInfo.php?workbook=06_01.xlsx&amp;sheet=A0&amp;row=220&amp;col=24&amp;number=&amp;sourceID=13","")</f>
        <v/>
      </c>
      <c r="Y220" s="4" t="str">
        <f>HYPERLINK("http://141.218.60.56/~jnz1568/getInfo.php?workbook=06_01.xlsx&amp;sheet=A0&amp;row=220&amp;col=25&amp;number=&amp;sourceID=13","")</f>
        <v/>
      </c>
      <c r="Z220" s="4" t="str">
        <f>HYPERLINK("http://141.218.60.56/~jnz1568/getInfo.php?workbook=06_01.xlsx&amp;sheet=A0&amp;row=220&amp;col=26&amp;number=&amp;sourceID=13","")</f>
        <v/>
      </c>
    </row>
    <row r="221" spans="1:26">
      <c r="A221" s="3">
        <v>6</v>
      </c>
      <c r="B221" s="3">
        <v>1</v>
      </c>
      <c r="C221" s="3">
        <v>22</v>
      </c>
      <c r="D221" s="3">
        <v>16</v>
      </c>
      <c r="E221" s="3">
        <f>((1/(INDEX(E0!J$4:J$28,C221,1)-INDEX(E0!J$4:J$28,D221,1))))*100000000</f>
        <v>0</v>
      </c>
      <c r="F221" s="4" t="str">
        <f>HYPERLINK("http://141.218.60.56/~jnz1568/getInfo.php?workbook=06_01.xlsx&amp;sheet=A0&amp;row=221&amp;col=6&amp;number=&amp;sourceID=18","")</f>
        <v/>
      </c>
      <c r="G221" s="4" t="str">
        <f>HYPERLINK("http://141.218.60.56/~jnz1568/getInfo.php?workbook=06_01.xlsx&amp;sheet=A0&amp;row=221&amp;col=7&amp;number==&amp;sourceID=11","=")</f>
        <v>=</v>
      </c>
      <c r="H221" s="4" t="str">
        <f>HYPERLINK("http://141.218.60.56/~jnz1568/getInfo.php?workbook=06_01.xlsx&amp;sheet=A0&amp;row=221&amp;col=8&amp;number=62402000&amp;sourceID=11","62402000")</f>
        <v>62402000</v>
      </c>
      <c r="I221" s="4" t="str">
        <f>HYPERLINK("http://141.218.60.56/~jnz1568/getInfo.php?workbook=06_01.xlsx&amp;sheet=A0&amp;row=221&amp;col=9&amp;number=&amp;sourceID=11","")</f>
        <v/>
      </c>
      <c r="J221" s="4" t="str">
        <f>HYPERLINK("http://141.218.60.56/~jnz1568/getInfo.php?workbook=06_01.xlsx&amp;sheet=A0&amp;row=221&amp;col=10&amp;number=0.021987&amp;sourceID=11","0.021987")</f>
        <v>0.021987</v>
      </c>
      <c r="K221" s="4" t="str">
        <f>HYPERLINK("http://141.218.60.56/~jnz1568/getInfo.php?workbook=06_01.xlsx&amp;sheet=A0&amp;row=221&amp;col=11&amp;number=&amp;sourceID=11","")</f>
        <v/>
      </c>
      <c r="L221" s="4" t="str">
        <f>HYPERLINK("http://141.218.60.56/~jnz1568/getInfo.php?workbook=06_01.xlsx&amp;sheet=A0&amp;row=221&amp;col=12&amp;number=0.010667&amp;sourceID=11","0.010667")</f>
        <v>0.010667</v>
      </c>
      <c r="M221" s="4" t="str">
        <f>HYPERLINK("http://141.218.60.56/~jnz1568/getInfo.php?workbook=06_01.xlsx&amp;sheet=A0&amp;row=221&amp;col=13&amp;number=&amp;sourceID=11","")</f>
        <v/>
      </c>
      <c r="N221" s="4" t="str">
        <f>HYPERLINK("http://141.218.60.56/~jnz1568/getInfo.php?workbook=06_01.xlsx&amp;sheet=A0&amp;row=221&amp;col=14&amp;number=62405000&amp;sourceID=12","62405000")</f>
        <v>62405000</v>
      </c>
      <c r="O221" s="4" t="str">
        <f>HYPERLINK("http://141.218.60.56/~jnz1568/getInfo.php?workbook=06_01.xlsx&amp;sheet=A0&amp;row=221&amp;col=15&amp;number=62405000&amp;sourceID=12","62405000")</f>
        <v>62405000</v>
      </c>
      <c r="P221" s="4" t="str">
        <f>HYPERLINK("http://141.218.60.56/~jnz1568/getInfo.php?workbook=06_01.xlsx&amp;sheet=A0&amp;row=221&amp;col=16&amp;number=&amp;sourceID=12","")</f>
        <v/>
      </c>
      <c r="Q221" s="4" t="str">
        <f>HYPERLINK("http://141.218.60.56/~jnz1568/getInfo.php?workbook=06_01.xlsx&amp;sheet=A0&amp;row=221&amp;col=17&amp;number=0.021988&amp;sourceID=12","0.021988")</f>
        <v>0.021988</v>
      </c>
      <c r="R221" s="4" t="str">
        <f>HYPERLINK("http://141.218.60.56/~jnz1568/getInfo.php?workbook=06_01.xlsx&amp;sheet=A0&amp;row=221&amp;col=18&amp;number=&amp;sourceID=12","")</f>
        <v/>
      </c>
      <c r="S221" s="4" t="str">
        <f>HYPERLINK("http://141.218.60.56/~jnz1568/getInfo.php?workbook=06_01.xlsx&amp;sheet=A0&amp;row=221&amp;col=19&amp;number=0.010668&amp;sourceID=12","0.010668")</f>
        <v>0.010668</v>
      </c>
      <c r="T221" s="4" t="str">
        <f>HYPERLINK("http://141.218.60.56/~jnz1568/getInfo.php?workbook=06_01.xlsx&amp;sheet=A0&amp;row=221&amp;col=20&amp;number=&amp;sourceID=12","")</f>
        <v/>
      </c>
      <c r="U221" s="4" t="str">
        <f>HYPERLINK("http://141.218.60.56/~jnz1568/getInfo.php?workbook=06_01.xlsx&amp;sheet=A0&amp;row=221&amp;col=21&amp;number=&amp;sourceID=13","")</f>
        <v/>
      </c>
      <c r="V221" s="4" t="str">
        <f>HYPERLINK("http://141.218.60.56/~jnz1568/getInfo.php?workbook=06_01.xlsx&amp;sheet=A0&amp;row=221&amp;col=22&amp;number=&amp;sourceID=13","")</f>
        <v/>
      </c>
      <c r="W221" s="4" t="str">
        <f>HYPERLINK("http://141.218.60.56/~jnz1568/getInfo.php?workbook=06_01.xlsx&amp;sheet=A0&amp;row=221&amp;col=23&amp;number=&amp;sourceID=13","")</f>
        <v/>
      </c>
      <c r="X221" s="4" t="str">
        <f>HYPERLINK("http://141.218.60.56/~jnz1568/getInfo.php?workbook=06_01.xlsx&amp;sheet=A0&amp;row=221&amp;col=24&amp;number=&amp;sourceID=13","")</f>
        <v/>
      </c>
      <c r="Y221" s="4" t="str">
        <f>HYPERLINK("http://141.218.60.56/~jnz1568/getInfo.php?workbook=06_01.xlsx&amp;sheet=A0&amp;row=221&amp;col=25&amp;number=&amp;sourceID=13","")</f>
        <v/>
      </c>
      <c r="Z221" s="4" t="str">
        <f>HYPERLINK("http://141.218.60.56/~jnz1568/getInfo.php?workbook=06_01.xlsx&amp;sheet=A0&amp;row=221&amp;col=26&amp;number=&amp;sourceID=13","")</f>
        <v/>
      </c>
    </row>
    <row r="222" spans="1:26">
      <c r="A222" s="3">
        <v>6</v>
      </c>
      <c r="B222" s="3">
        <v>1</v>
      </c>
      <c r="C222" s="3">
        <v>22</v>
      </c>
      <c r="D222" s="3">
        <v>17</v>
      </c>
      <c r="E222" s="3">
        <f>((1/(INDEX(E0!J$4:J$28,C222,1)-INDEX(E0!J$4:J$28,D222,1))))*100000000</f>
        <v>0</v>
      </c>
      <c r="F222" s="4" t="str">
        <f>HYPERLINK("http://141.218.60.56/~jnz1568/getInfo.php?workbook=06_01.xlsx&amp;sheet=A0&amp;row=222&amp;col=6&amp;number=&amp;sourceID=18","")</f>
        <v/>
      </c>
      <c r="G222" s="4" t="str">
        <f>HYPERLINK("http://141.218.60.56/~jnz1568/getInfo.php?workbook=06_01.xlsx&amp;sheet=A0&amp;row=222&amp;col=7&amp;number==&amp;sourceID=11","=")</f>
        <v>=</v>
      </c>
      <c r="H222" s="4" t="str">
        <f>HYPERLINK("http://141.218.60.56/~jnz1568/getInfo.php?workbook=06_01.xlsx&amp;sheet=A0&amp;row=222&amp;col=8&amp;number=&amp;sourceID=11","")</f>
        <v/>
      </c>
      <c r="I222" s="4" t="str">
        <f>HYPERLINK("http://141.218.60.56/~jnz1568/getInfo.php?workbook=06_01.xlsx&amp;sheet=A0&amp;row=222&amp;col=9&amp;number=&amp;sourceID=11","")</f>
        <v/>
      </c>
      <c r="J222" s="4" t="str">
        <f>HYPERLINK("http://141.218.60.56/~jnz1568/getInfo.php?workbook=06_01.xlsx&amp;sheet=A0&amp;row=222&amp;col=10&amp;number=0&amp;sourceID=11","0")</f>
        <v>0</v>
      </c>
      <c r="K222" s="4" t="str">
        <f>HYPERLINK("http://141.218.60.56/~jnz1568/getInfo.php?workbook=06_01.xlsx&amp;sheet=A0&amp;row=222&amp;col=11&amp;number=&amp;sourceID=11","")</f>
        <v/>
      </c>
      <c r="L222" s="4" t="str">
        <f>HYPERLINK("http://141.218.60.56/~jnz1568/getInfo.php?workbook=06_01.xlsx&amp;sheet=A0&amp;row=222&amp;col=12&amp;number=0&amp;sourceID=11","0")</f>
        <v>0</v>
      </c>
      <c r="M222" s="4" t="str">
        <f>HYPERLINK("http://141.218.60.56/~jnz1568/getInfo.php?workbook=06_01.xlsx&amp;sheet=A0&amp;row=222&amp;col=13&amp;number=&amp;sourceID=11","")</f>
        <v/>
      </c>
      <c r="N222" s="4" t="str">
        <f>HYPERLINK("http://141.218.60.56/~jnz1568/getInfo.php?workbook=06_01.xlsx&amp;sheet=A0&amp;row=222&amp;col=14&amp;number=0&amp;sourceID=12","0")</f>
        <v>0</v>
      </c>
      <c r="O222" s="4" t="str">
        <f>HYPERLINK("http://141.218.60.56/~jnz1568/getInfo.php?workbook=06_01.xlsx&amp;sheet=A0&amp;row=222&amp;col=15&amp;number=&amp;sourceID=12","")</f>
        <v/>
      </c>
      <c r="P222" s="4" t="str">
        <f>HYPERLINK("http://141.218.60.56/~jnz1568/getInfo.php?workbook=06_01.xlsx&amp;sheet=A0&amp;row=222&amp;col=16&amp;number=&amp;sourceID=12","")</f>
        <v/>
      </c>
      <c r="Q222" s="4" t="str">
        <f>HYPERLINK("http://141.218.60.56/~jnz1568/getInfo.php?workbook=06_01.xlsx&amp;sheet=A0&amp;row=222&amp;col=17&amp;number=0&amp;sourceID=12","0")</f>
        <v>0</v>
      </c>
      <c r="R222" s="4" t="str">
        <f>HYPERLINK("http://141.218.60.56/~jnz1568/getInfo.php?workbook=06_01.xlsx&amp;sheet=A0&amp;row=222&amp;col=18&amp;number=&amp;sourceID=12","")</f>
        <v/>
      </c>
      <c r="S222" s="4" t="str">
        <f>HYPERLINK("http://141.218.60.56/~jnz1568/getInfo.php?workbook=06_01.xlsx&amp;sheet=A0&amp;row=222&amp;col=19&amp;number=0&amp;sourceID=12","0")</f>
        <v>0</v>
      </c>
      <c r="T222" s="4" t="str">
        <f>HYPERLINK("http://141.218.60.56/~jnz1568/getInfo.php?workbook=06_01.xlsx&amp;sheet=A0&amp;row=222&amp;col=20&amp;number=&amp;sourceID=12","")</f>
        <v/>
      </c>
      <c r="U222" s="4" t="str">
        <f>HYPERLINK("http://141.218.60.56/~jnz1568/getInfo.php?workbook=06_01.xlsx&amp;sheet=A0&amp;row=222&amp;col=21&amp;number=&amp;sourceID=13","")</f>
        <v/>
      </c>
      <c r="V222" s="4" t="str">
        <f>HYPERLINK("http://141.218.60.56/~jnz1568/getInfo.php?workbook=06_01.xlsx&amp;sheet=A0&amp;row=222&amp;col=22&amp;number=&amp;sourceID=13","")</f>
        <v/>
      </c>
      <c r="W222" s="4" t="str">
        <f>HYPERLINK("http://141.218.60.56/~jnz1568/getInfo.php?workbook=06_01.xlsx&amp;sheet=A0&amp;row=222&amp;col=23&amp;number=&amp;sourceID=13","")</f>
        <v/>
      </c>
      <c r="X222" s="4" t="str">
        <f>HYPERLINK("http://141.218.60.56/~jnz1568/getInfo.php?workbook=06_01.xlsx&amp;sheet=A0&amp;row=222&amp;col=24&amp;number=&amp;sourceID=13","")</f>
        <v/>
      </c>
      <c r="Y222" s="4" t="str">
        <f>HYPERLINK("http://141.218.60.56/~jnz1568/getInfo.php?workbook=06_01.xlsx&amp;sheet=A0&amp;row=222&amp;col=25&amp;number=&amp;sourceID=13","")</f>
        <v/>
      </c>
      <c r="Z222" s="4" t="str">
        <f>HYPERLINK("http://141.218.60.56/~jnz1568/getInfo.php?workbook=06_01.xlsx&amp;sheet=A0&amp;row=222&amp;col=26&amp;number=&amp;sourceID=13","")</f>
        <v/>
      </c>
    </row>
    <row r="223" spans="1:26">
      <c r="A223" s="3">
        <v>6</v>
      </c>
      <c r="B223" s="3">
        <v>1</v>
      </c>
      <c r="C223" s="3">
        <v>22</v>
      </c>
      <c r="D223" s="3">
        <v>18</v>
      </c>
      <c r="E223" s="3">
        <f>((1/(INDEX(E0!J$4:J$28,C223,1)-INDEX(E0!J$4:J$28,D223,1))))*100000000</f>
        <v>0</v>
      </c>
      <c r="F223" s="4" t="str">
        <f>HYPERLINK("http://141.218.60.56/~jnz1568/getInfo.php?workbook=06_01.xlsx&amp;sheet=A0&amp;row=223&amp;col=6&amp;number=&amp;sourceID=18","")</f>
        <v/>
      </c>
      <c r="G223" s="4" t="str">
        <f>HYPERLINK("http://141.218.60.56/~jnz1568/getInfo.php?workbook=06_01.xlsx&amp;sheet=A0&amp;row=223&amp;col=7&amp;number==&amp;sourceID=11","=")</f>
        <v>=</v>
      </c>
      <c r="H223" s="4" t="str">
        <f>HYPERLINK("http://141.218.60.56/~jnz1568/getInfo.php?workbook=06_01.xlsx&amp;sheet=A0&amp;row=223&amp;col=8&amp;number=&amp;sourceID=11","")</f>
        <v/>
      </c>
      <c r="I223" s="4" t="str">
        <f>HYPERLINK("http://141.218.60.56/~jnz1568/getInfo.php?workbook=06_01.xlsx&amp;sheet=A0&amp;row=223&amp;col=9&amp;number=3.674e-12&amp;sourceID=11","3.674e-12")</f>
        <v>3.674e-12</v>
      </c>
      <c r="J223" s="4" t="str">
        <f>HYPERLINK("http://141.218.60.56/~jnz1568/getInfo.php?workbook=06_01.xlsx&amp;sheet=A0&amp;row=223&amp;col=10&amp;number=&amp;sourceID=11","")</f>
        <v/>
      </c>
      <c r="K223" s="4" t="str">
        <f>HYPERLINK("http://141.218.60.56/~jnz1568/getInfo.php?workbook=06_01.xlsx&amp;sheet=A0&amp;row=223&amp;col=11&amp;number=&amp;sourceID=11","")</f>
        <v/>
      </c>
      <c r="L223" s="4" t="str">
        <f>HYPERLINK("http://141.218.60.56/~jnz1568/getInfo.php?workbook=06_01.xlsx&amp;sheet=A0&amp;row=223&amp;col=12&amp;number=&amp;sourceID=11","")</f>
        <v/>
      </c>
      <c r="M223" s="4" t="str">
        <f>HYPERLINK("http://141.218.60.56/~jnz1568/getInfo.php?workbook=06_01.xlsx&amp;sheet=A0&amp;row=223&amp;col=13&amp;number=0&amp;sourceID=11","0")</f>
        <v>0</v>
      </c>
      <c r="N223" s="4" t="str">
        <f>HYPERLINK("http://141.218.60.56/~jnz1568/getInfo.php?workbook=06_01.xlsx&amp;sheet=A0&amp;row=223&amp;col=14&amp;number=3.675e-12&amp;sourceID=12","3.675e-12")</f>
        <v>3.675e-12</v>
      </c>
      <c r="O223" s="4" t="str">
        <f>HYPERLINK("http://141.218.60.56/~jnz1568/getInfo.php?workbook=06_01.xlsx&amp;sheet=A0&amp;row=223&amp;col=15&amp;number=&amp;sourceID=12","")</f>
        <v/>
      </c>
      <c r="P223" s="4" t="str">
        <f>HYPERLINK("http://141.218.60.56/~jnz1568/getInfo.php?workbook=06_01.xlsx&amp;sheet=A0&amp;row=223&amp;col=16&amp;number=3.675e-12&amp;sourceID=12","3.675e-12")</f>
        <v>3.675e-12</v>
      </c>
      <c r="Q223" s="4" t="str">
        <f>HYPERLINK("http://141.218.60.56/~jnz1568/getInfo.php?workbook=06_01.xlsx&amp;sheet=A0&amp;row=223&amp;col=17&amp;number=&amp;sourceID=12","")</f>
        <v/>
      </c>
      <c r="R223" s="4" t="str">
        <f>HYPERLINK("http://141.218.60.56/~jnz1568/getInfo.php?workbook=06_01.xlsx&amp;sheet=A0&amp;row=223&amp;col=18&amp;number=&amp;sourceID=12","")</f>
        <v/>
      </c>
      <c r="S223" s="4" t="str">
        <f>HYPERLINK("http://141.218.60.56/~jnz1568/getInfo.php?workbook=06_01.xlsx&amp;sheet=A0&amp;row=223&amp;col=19&amp;number=&amp;sourceID=12","")</f>
        <v/>
      </c>
      <c r="T223" s="4" t="str">
        <f>HYPERLINK("http://141.218.60.56/~jnz1568/getInfo.php?workbook=06_01.xlsx&amp;sheet=A0&amp;row=223&amp;col=20&amp;number=0&amp;sourceID=12","0")</f>
        <v>0</v>
      </c>
      <c r="U223" s="4" t="str">
        <f>HYPERLINK("http://141.218.60.56/~jnz1568/getInfo.php?workbook=06_01.xlsx&amp;sheet=A0&amp;row=223&amp;col=21&amp;number=&amp;sourceID=13","")</f>
        <v/>
      </c>
      <c r="V223" s="4" t="str">
        <f>HYPERLINK("http://141.218.60.56/~jnz1568/getInfo.php?workbook=06_01.xlsx&amp;sheet=A0&amp;row=223&amp;col=22&amp;number=&amp;sourceID=13","")</f>
        <v/>
      </c>
      <c r="W223" s="4" t="str">
        <f>HYPERLINK("http://141.218.60.56/~jnz1568/getInfo.php?workbook=06_01.xlsx&amp;sheet=A0&amp;row=223&amp;col=23&amp;number=&amp;sourceID=13","")</f>
        <v/>
      </c>
      <c r="X223" s="4" t="str">
        <f>HYPERLINK("http://141.218.60.56/~jnz1568/getInfo.php?workbook=06_01.xlsx&amp;sheet=A0&amp;row=223&amp;col=24&amp;number=&amp;sourceID=13","")</f>
        <v/>
      </c>
      <c r="Y223" s="4" t="str">
        <f>HYPERLINK("http://141.218.60.56/~jnz1568/getInfo.php?workbook=06_01.xlsx&amp;sheet=A0&amp;row=223&amp;col=25&amp;number=&amp;sourceID=13","")</f>
        <v/>
      </c>
      <c r="Z223" s="4" t="str">
        <f>HYPERLINK("http://141.218.60.56/~jnz1568/getInfo.php?workbook=06_01.xlsx&amp;sheet=A0&amp;row=223&amp;col=26&amp;number=&amp;sourceID=13","")</f>
        <v/>
      </c>
    </row>
    <row r="224" spans="1:26">
      <c r="A224" s="3">
        <v>6</v>
      </c>
      <c r="B224" s="3">
        <v>1</v>
      </c>
      <c r="C224" s="3">
        <v>22</v>
      </c>
      <c r="D224" s="3">
        <v>19</v>
      </c>
      <c r="E224" s="3">
        <f>((1/(INDEX(E0!J$4:J$28,C224,1)-INDEX(E0!J$4:J$28,D224,1))))*100000000</f>
        <v>0</v>
      </c>
      <c r="F224" s="4" t="str">
        <f>HYPERLINK("http://141.218.60.56/~jnz1568/getInfo.php?workbook=06_01.xlsx&amp;sheet=A0&amp;row=224&amp;col=6&amp;number=&amp;sourceID=18","")</f>
        <v/>
      </c>
      <c r="G224" s="4" t="str">
        <f>HYPERLINK("http://141.218.60.56/~jnz1568/getInfo.php?workbook=06_01.xlsx&amp;sheet=A0&amp;row=224&amp;col=7&amp;number==&amp;sourceID=11","=")</f>
        <v>=</v>
      </c>
      <c r="H224" s="4" t="str">
        <f>HYPERLINK("http://141.218.60.56/~jnz1568/getInfo.php?workbook=06_01.xlsx&amp;sheet=A0&amp;row=224&amp;col=8&amp;number=&amp;sourceID=11","")</f>
        <v/>
      </c>
      <c r="I224" s="4" t="str">
        <f>HYPERLINK("http://141.218.60.56/~jnz1568/getInfo.php?workbook=06_01.xlsx&amp;sheet=A0&amp;row=224&amp;col=9&amp;number=1e-15&amp;sourceID=11","1e-15")</f>
        <v>1e-15</v>
      </c>
      <c r="J224" s="4" t="str">
        <f>HYPERLINK("http://141.218.60.56/~jnz1568/getInfo.php?workbook=06_01.xlsx&amp;sheet=A0&amp;row=224&amp;col=10&amp;number=&amp;sourceID=11","")</f>
        <v/>
      </c>
      <c r="K224" s="4" t="str">
        <f>HYPERLINK("http://141.218.60.56/~jnz1568/getInfo.php?workbook=06_01.xlsx&amp;sheet=A0&amp;row=224&amp;col=11&amp;number=1.1121e-08&amp;sourceID=11","1.1121e-08")</f>
        <v>1.1121e-08</v>
      </c>
      <c r="L224" s="4" t="str">
        <f>HYPERLINK("http://141.218.60.56/~jnz1568/getInfo.php?workbook=06_01.xlsx&amp;sheet=A0&amp;row=224&amp;col=12&amp;number=&amp;sourceID=11","")</f>
        <v/>
      </c>
      <c r="M224" s="4" t="str">
        <f>HYPERLINK("http://141.218.60.56/~jnz1568/getInfo.php?workbook=06_01.xlsx&amp;sheet=A0&amp;row=224&amp;col=13&amp;number=0&amp;sourceID=11","0")</f>
        <v>0</v>
      </c>
      <c r="N224" s="4" t="str">
        <f>HYPERLINK("http://141.218.60.56/~jnz1568/getInfo.php?workbook=06_01.xlsx&amp;sheet=A0&amp;row=224&amp;col=14&amp;number=1.1125e-08&amp;sourceID=12","1.1125e-08")</f>
        <v>1.1125e-08</v>
      </c>
      <c r="O224" s="4" t="str">
        <f>HYPERLINK("http://141.218.60.56/~jnz1568/getInfo.php?workbook=06_01.xlsx&amp;sheet=A0&amp;row=224&amp;col=15&amp;number=&amp;sourceID=12","")</f>
        <v/>
      </c>
      <c r="P224" s="4" t="str">
        <f>HYPERLINK("http://141.218.60.56/~jnz1568/getInfo.php?workbook=06_01.xlsx&amp;sheet=A0&amp;row=224&amp;col=16&amp;number=1e-15&amp;sourceID=12","1e-15")</f>
        <v>1e-15</v>
      </c>
      <c r="Q224" s="4" t="str">
        <f>HYPERLINK("http://141.218.60.56/~jnz1568/getInfo.php?workbook=06_01.xlsx&amp;sheet=A0&amp;row=224&amp;col=17&amp;number=&amp;sourceID=12","")</f>
        <v/>
      </c>
      <c r="R224" s="4" t="str">
        <f>HYPERLINK("http://141.218.60.56/~jnz1568/getInfo.php?workbook=06_01.xlsx&amp;sheet=A0&amp;row=224&amp;col=18&amp;number=1.1125e-08&amp;sourceID=12","1.1125e-08")</f>
        <v>1.1125e-08</v>
      </c>
      <c r="S224" s="4" t="str">
        <f>HYPERLINK("http://141.218.60.56/~jnz1568/getInfo.php?workbook=06_01.xlsx&amp;sheet=A0&amp;row=224&amp;col=19&amp;number=&amp;sourceID=12","")</f>
        <v/>
      </c>
      <c r="T224" s="4" t="str">
        <f>HYPERLINK("http://141.218.60.56/~jnz1568/getInfo.php?workbook=06_01.xlsx&amp;sheet=A0&amp;row=224&amp;col=20&amp;number=0&amp;sourceID=12","0")</f>
        <v>0</v>
      </c>
      <c r="U224" s="4" t="str">
        <f>HYPERLINK("http://141.218.60.56/~jnz1568/getInfo.php?workbook=06_01.xlsx&amp;sheet=A0&amp;row=224&amp;col=21&amp;number=&amp;sourceID=13","")</f>
        <v/>
      </c>
      <c r="V224" s="4" t="str">
        <f>HYPERLINK("http://141.218.60.56/~jnz1568/getInfo.php?workbook=06_01.xlsx&amp;sheet=A0&amp;row=224&amp;col=22&amp;number=&amp;sourceID=13","")</f>
        <v/>
      </c>
      <c r="W224" s="4" t="str">
        <f>HYPERLINK("http://141.218.60.56/~jnz1568/getInfo.php?workbook=06_01.xlsx&amp;sheet=A0&amp;row=224&amp;col=23&amp;number=&amp;sourceID=13","")</f>
        <v/>
      </c>
      <c r="X224" s="4" t="str">
        <f>HYPERLINK("http://141.218.60.56/~jnz1568/getInfo.php?workbook=06_01.xlsx&amp;sheet=A0&amp;row=224&amp;col=24&amp;number=&amp;sourceID=13","")</f>
        <v/>
      </c>
      <c r="Y224" s="4" t="str">
        <f>HYPERLINK("http://141.218.60.56/~jnz1568/getInfo.php?workbook=06_01.xlsx&amp;sheet=A0&amp;row=224&amp;col=25&amp;number=&amp;sourceID=13","")</f>
        <v/>
      </c>
      <c r="Z224" s="4" t="str">
        <f>HYPERLINK("http://141.218.60.56/~jnz1568/getInfo.php?workbook=06_01.xlsx&amp;sheet=A0&amp;row=224&amp;col=26&amp;number=&amp;sourceID=13","")</f>
        <v/>
      </c>
    </row>
    <row r="225" spans="1:26">
      <c r="A225" s="3">
        <v>6</v>
      </c>
      <c r="B225" s="3">
        <v>1</v>
      </c>
      <c r="C225" s="3">
        <v>22</v>
      </c>
      <c r="D225" s="3">
        <v>20</v>
      </c>
      <c r="E225" s="3">
        <f>((1/(INDEX(E0!J$4:J$28,C225,1)-INDEX(E0!J$4:J$28,D225,1))))*100000000</f>
        <v>0</v>
      </c>
      <c r="F225" s="4" t="str">
        <f>HYPERLINK("http://141.218.60.56/~jnz1568/getInfo.php?workbook=06_01.xlsx&amp;sheet=A0&amp;row=225&amp;col=6&amp;number=&amp;sourceID=18","")</f>
        <v/>
      </c>
      <c r="G225" s="4" t="str">
        <f>HYPERLINK("http://141.218.60.56/~jnz1568/getInfo.php?workbook=06_01.xlsx&amp;sheet=A0&amp;row=225&amp;col=7&amp;number==&amp;sourceID=11","=")</f>
        <v>=</v>
      </c>
      <c r="H225" s="4" t="str">
        <f>HYPERLINK("http://141.218.60.56/~jnz1568/getInfo.php?workbook=06_01.xlsx&amp;sheet=A0&amp;row=225&amp;col=8&amp;number=0.027407&amp;sourceID=11","0.027407")</f>
        <v>0.027407</v>
      </c>
      <c r="I225" s="4" t="str">
        <f>HYPERLINK("http://141.218.60.56/~jnz1568/getInfo.php?workbook=06_01.xlsx&amp;sheet=A0&amp;row=225&amp;col=9&amp;number=&amp;sourceID=11","")</f>
        <v/>
      </c>
      <c r="J225" s="4" t="str">
        <f>HYPERLINK("http://141.218.60.56/~jnz1568/getInfo.php?workbook=06_01.xlsx&amp;sheet=A0&amp;row=225&amp;col=10&amp;number=0&amp;sourceID=11","0")</f>
        <v>0</v>
      </c>
      <c r="K225" s="4" t="str">
        <f>HYPERLINK("http://141.218.60.56/~jnz1568/getInfo.php?workbook=06_01.xlsx&amp;sheet=A0&amp;row=225&amp;col=11&amp;number=&amp;sourceID=11","")</f>
        <v/>
      </c>
      <c r="L225" s="4" t="str">
        <f>HYPERLINK("http://141.218.60.56/~jnz1568/getInfo.php?workbook=06_01.xlsx&amp;sheet=A0&amp;row=225&amp;col=12&amp;number=0&amp;sourceID=11","0")</f>
        <v>0</v>
      </c>
      <c r="M225" s="4" t="str">
        <f>HYPERLINK("http://141.218.60.56/~jnz1568/getInfo.php?workbook=06_01.xlsx&amp;sheet=A0&amp;row=225&amp;col=13&amp;number=&amp;sourceID=11","")</f>
        <v/>
      </c>
      <c r="N225" s="4" t="str">
        <f>HYPERLINK("http://141.218.60.56/~jnz1568/getInfo.php?workbook=06_01.xlsx&amp;sheet=A0&amp;row=225&amp;col=14&amp;number=0.027418&amp;sourceID=12","0.027418")</f>
        <v>0.027418</v>
      </c>
      <c r="O225" s="4" t="str">
        <f>HYPERLINK("http://141.218.60.56/~jnz1568/getInfo.php?workbook=06_01.xlsx&amp;sheet=A0&amp;row=225&amp;col=15&amp;number=0.027418&amp;sourceID=12","0.027418")</f>
        <v>0.027418</v>
      </c>
      <c r="P225" s="4" t="str">
        <f>HYPERLINK("http://141.218.60.56/~jnz1568/getInfo.php?workbook=06_01.xlsx&amp;sheet=A0&amp;row=225&amp;col=16&amp;number=&amp;sourceID=12","")</f>
        <v/>
      </c>
      <c r="Q225" s="4" t="str">
        <f>HYPERLINK("http://141.218.60.56/~jnz1568/getInfo.php?workbook=06_01.xlsx&amp;sheet=A0&amp;row=225&amp;col=17&amp;number=0&amp;sourceID=12","0")</f>
        <v>0</v>
      </c>
      <c r="R225" s="4" t="str">
        <f>HYPERLINK("http://141.218.60.56/~jnz1568/getInfo.php?workbook=06_01.xlsx&amp;sheet=A0&amp;row=225&amp;col=18&amp;number=&amp;sourceID=12","")</f>
        <v/>
      </c>
      <c r="S225" s="4" t="str">
        <f>HYPERLINK("http://141.218.60.56/~jnz1568/getInfo.php?workbook=06_01.xlsx&amp;sheet=A0&amp;row=225&amp;col=19&amp;number=0&amp;sourceID=12","0")</f>
        <v>0</v>
      </c>
      <c r="T225" s="4" t="str">
        <f>HYPERLINK("http://141.218.60.56/~jnz1568/getInfo.php?workbook=06_01.xlsx&amp;sheet=A0&amp;row=225&amp;col=20&amp;number=&amp;sourceID=12","")</f>
        <v/>
      </c>
      <c r="U225" s="4" t="str">
        <f>HYPERLINK("http://141.218.60.56/~jnz1568/getInfo.php?workbook=06_01.xlsx&amp;sheet=A0&amp;row=225&amp;col=21&amp;number=&amp;sourceID=13","")</f>
        <v/>
      </c>
      <c r="V225" s="4" t="str">
        <f>HYPERLINK("http://141.218.60.56/~jnz1568/getInfo.php?workbook=06_01.xlsx&amp;sheet=A0&amp;row=225&amp;col=22&amp;number=&amp;sourceID=13","")</f>
        <v/>
      </c>
      <c r="W225" s="4" t="str">
        <f>HYPERLINK("http://141.218.60.56/~jnz1568/getInfo.php?workbook=06_01.xlsx&amp;sheet=A0&amp;row=225&amp;col=23&amp;number=&amp;sourceID=13","")</f>
        <v/>
      </c>
      <c r="X225" s="4" t="str">
        <f>HYPERLINK("http://141.218.60.56/~jnz1568/getInfo.php?workbook=06_01.xlsx&amp;sheet=A0&amp;row=225&amp;col=24&amp;number=&amp;sourceID=13","")</f>
        <v/>
      </c>
      <c r="Y225" s="4" t="str">
        <f>HYPERLINK("http://141.218.60.56/~jnz1568/getInfo.php?workbook=06_01.xlsx&amp;sheet=A0&amp;row=225&amp;col=25&amp;number=&amp;sourceID=13","")</f>
        <v/>
      </c>
      <c r="Z225" s="4" t="str">
        <f>HYPERLINK("http://141.218.60.56/~jnz1568/getInfo.php?workbook=06_01.xlsx&amp;sheet=A0&amp;row=225&amp;col=26&amp;number=&amp;sourceID=13","")</f>
        <v/>
      </c>
    </row>
    <row r="226" spans="1:26">
      <c r="A226" s="3">
        <v>6</v>
      </c>
      <c r="B226" s="3">
        <v>1</v>
      </c>
      <c r="C226" s="3">
        <v>23</v>
      </c>
      <c r="D226" s="3">
        <v>1</v>
      </c>
      <c r="E226" s="3">
        <f>((1/(INDEX(E0!J$4:J$28,C226,1)-INDEX(E0!J$4:J$28,D226,1))))*100000000</f>
        <v>0</v>
      </c>
      <c r="F226" s="4" t="str">
        <f>HYPERLINK("http://141.218.60.56/~jnz1568/getInfo.php?workbook=06_01.xlsx&amp;sheet=A0&amp;row=226&amp;col=6&amp;number=&amp;sourceID=18","")</f>
        <v/>
      </c>
      <c r="G226" s="4" t="str">
        <f>HYPERLINK("http://141.218.60.56/~jnz1568/getInfo.php?workbook=06_01.xlsx&amp;sheet=A0&amp;row=226&amp;col=7&amp;number==&amp;sourceID=11","=")</f>
        <v>=</v>
      </c>
      <c r="H226" s="4" t="str">
        <f>HYPERLINK("http://141.218.60.56/~jnz1568/getInfo.php?workbook=06_01.xlsx&amp;sheet=A0&amp;row=226&amp;col=8&amp;number=&amp;sourceID=11","")</f>
        <v/>
      </c>
      <c r="I226" s="4" t="str">
        <f>HYPERLINK("http://141.218.60.56/~jnz1568/getInfo.php?workbook=06_01.xlsx&amp;sheet=A0&amp;row=226&amp;col=9&amp;number=&amp;sourceID=11","")</f>
        <v/>
      </c>
      <c r="J226" s="4" t="str">
        <f>HYPERLINK("http://141.218.60.56/~jnz1568/getInfo.php?workbook=06_01.xlsx&amp;sheet=A0&amp;row=226&amp;col=10&amp;number=&amp;sourceID=11","")</f>
        <v/>
      </c>
      <c r="K226" s="4" t="str">
        <f>HYPERLINK("http://141.218.60.56/~jnz1568/getInfo.php?workbook=06_01.xlsx&amp;sheet=A0&amp;row=226&amp;col=11&amp;number=&amp;sourceID=11","")</f>
        <v/>
      </c>
      <c r="L226" s="4" t="str">
        <f>HYPERLINK("http://141.218.60.56/~jnz1568/getInfo.php?workbook=06_01.xlsx&amp;sheet=A0&amp;row=226&amp;col=12&amp;number=&amp;sourceID=11","")</f>
        <v/>
      </c>
      <c r="M226" s="4" t="str">
        <f>HYPERLINK("http://141.218.60.56/~jnz1568/getInfo.php?workbook=06_01.xlsx&amp;sheet=A0&amp;row=226&amp;col=13&amp;number=2.296e-11&amp;sourceID=11","2.296e-11")</f>
        <v>2.296e-11</v>
      </c>
      <c r="N226" s="4" t="str">
        <f>HYPERLINK("http://141.218.60.56/~jnz1568/getInfo.php?workbook=06_01.xlsx&amp;sheet=A0&amp;row=226&amp;col=14&amp;number=1.2645e-11&amp;sourceID=12","1.2645e-11")</f>
        <v>1.2645e-11</v>
      </c>
      <c r="O226" s="4" t="str">
        <f>HYPERLINK("http://141.218.60.56/~jnz1568/getInfo.php?workbook=06_01.xlsx&amp;sheet=A0&amp;row=226&amp;col=15&amp;number=&amp;sourceID=12","")</f>
        <v/>
      </c>
      <c r="P226" s="4" t="str">
        <f>HYPERLINK("http://141.218.60.56/~jnz1568/getInfo.php?workbook=06_01.xlsx&amp;sheet=A0&amp;row=226&amp;col=16&amp;number=&amp;sourceID=12","")</f>
        <v/>
      </c>
      <c r="Q226" s="4" t="str">
        <f>HYPERLINK("http://141.218.60.56/~jnz1568/getInfo.php?workbook=06_01.xlsx&amp;sheet=A0&amp;row=226&amp;col=17&amp;number=&amp;sourceID=12","")</f>
        <v/>
      </c>
      <c r="R226" s="4" t="str">
        <f>HYPERLINK("http://141.218.60.56/~jnz1568/getInfo.php?workbook=06_01.xlsx&amp;sheet=A0&amp;row=226&amp;col=18&amp;number=&amp;sourceID=12","")</f>
        <v/>
      </c>
      <c r="S226" s="4" t="str">
        <f>HYPERLINK("http://141.218.60.56/~jnz1568/getInfo.php?workbook=06_01.xlsx&amp;sheet=A0&amp;row=226&amp;col=19&amp;number=&amp;sourceID=12","")</f>
        <v/>
      </c>
      <c r="T226" s="4" t="str">
        <f>HYPERLINK("http://141.218.60.56/~jnz1568/getInfo.php?workbook=06_01.xlsx&amp;sheet=A0&amp;row=226&amp;col=20&amp;number=1.2645e-11&amp;sourceID=12","1.2645e-11")</f>
        <v>1.2645e-11</v>
      </c>
      <c r="U226" s="4" t="str">
        <f>HYPERLINK("http://141.218.60.56/~jnz1568/getInfo.php?workbook=06_01.xlsx&amp;sheet=A0&amp;row=226&amp;col=21&amp;number=&amp;sourceID=13","")</f>
        <v/>
      </c>
      <c r="V226" s="4" t="str">
        <f>HYPERLINK("http://141.218.60.56/~jnz1568/getInfo.php?workbook=06_01.xlsx&amp;sheet=A0&amp;row=226&amp;col=22&amp;number=&amp;sourceID=13","")</f>
        <v/>
      </c>
      <c r="W226" s="4" t="str">
        <f>HYPERLINK("http://141.218.60.56/~jnz1568/getInfo.php?workbook=06_01.xlsx&amp;sheet=A0&amp;row=226&amp;col=23&amp;number=&amp;sourceID=13","")</f>
        <v/>
      </c>
      <c r="X226" s="4" t="str">
        <f>HYPERLINK("http://141.218.60.56/~jnz1568/getInfo.php?workbook=06_01.xlsx&amp;sheet=A0&amp;row=226&amp;col=24&amp;number=&amp;sourceID=13","")</f>
        <v/>
      </c>
      <c r="Y226" s="4" t="str">
        <f>HYPERLINK("http://141.218.60.56/~jnz1568/getInfo.php?workbook=06_01.xlsx&amp;sheet=A0&amp;row=226&amp;col=25&amp;number=&amp;sourceID=13","")</f>
        <v/>
      </c>
      <c r="Z226" s="4" t="str">
        <f>HYPERLINK("http://141.218.60.56/~jnz1568/getInfo.php?workbook=06_01.xlsx&amp;sheet=A0&amp;row=226&amp;col=26&amp;number=&amp;sourceID=13","")</f>
        <v/>
      </c>
    </row>
    <row r="227" spans="1:26">
      <c r="A227" s="3">
        <v>6</v>
      </c>
      <c r="B227" s="3">
        <v>1</v>
      </c>
      <c r="C227" s="3">
        <v>23</v>
      </c>
      <c r="D227" s="3">
        <v>2</v>
      </c>
      <c r="E227" s="3">
        <f>((1/(INDEX(E0!J$4:J$28,C227,1)-INDEX(E0!J$4:J$28,D227,1))))*100000000</f>
        <v>0</v>
      </c>
      <c r="F227" s="4" t="str">
        <f>HYPERLINK("http://141.218.60.56/~jnz1568/getInfo.php?workbook=06_01.xlsx&amp;sheet=A0&amp;row=227&amp;col=6&amp;number=&amp;sourceID=18","")</f>
        <v/>
      </c>
      <c r="G227" s="4" t="str">
        <f>HYPERLINK("http://141.218.60.56/~jnz1568/getInfo.php?workbook=06_01.xlsx&amp;sheet=A0&amp;row=227&amp;col=7&amp;number==&amp;sourceID=11","=")</f>
        <v>=</v>
      </c>
      <c r="H227" s="4" t="str">
        <f>HYPERLINK("http://141.218.60.56/~jnz1568/getInfo.php?workbook=06_01.xlsx&amp;sheet=A0&amp;row=227&amp;col=8&amp;number=&amp;sourceID=11","")</f>
        <v/>
      </c>
      <c r="I227" s="4" t="str">
        <f>HYPERLINK("http://141.218.60.56/~jnz1568/getInfo.php?workbook=06_01.xlsx&amp;sheet=A0&amp;row=227&amp;col=9&amp;number=&amp;sourceID=11","")</f>
        <v/>
      </c>
      <c r="J227" s="4" t="str">
        <f>HYPERLINK("http://141.218.60.56/~jnz1568/getInfo.php?workbook=06_01.xlsx&amp;sheet=A0&amp;row=227&amp;col=10&amp;number=42.207&amp;sourceID=11","42.207")</f>
        <v>42.207</v>
      </c>
      <c r="K227" s="4" t="str">
        <f>HYPERLINK("http://141.218.60.56/~jnz1568/getInfo.php?workbook=06_01.xlsx&amp;sheet=A0&amp;row=227&amp;col=11&amp;number=&amp;sourceID=11","")</f>
        <v/>
      </c>
      <c r="L227" s="4" t="str">
        <f>HYPERLINK("http://141.218.60.56/~jnz1568/getInfo.php?workbook=06_01.xlsx&amp;sheet=A0&amp;row=227&amp;col=12&amp;number=&amp;sourceID=11","")</f>
        <v/>
      </c>
      <c r="M227" s="4" t="str">
        <f>HYPERLINK("http://141.218.60.56/~jnz1568/getInfo.php?workbook=06_01.xlsx&amp;sheet=A0&amp;row=227&amp;col=13&amp;number=&amp;sourceID=11","")</f>
        <v/>
      </c>
      <c r="N227" s="4" t="str">
        <f>HYPERLINK("http://141.218.60.56/~jnz1568/getInfo.php?workbook=06_01.xlsx&amp;sheet=A0&amp;row=227&amp;col=14&amp;number=42.209&amp;sourceID=12","42.209")</f>
        <v>42.209</v>
      </c>
      <c r="O227" s="4" t="str">
        <f>HYPERLINK("http://141.218.60.56/~jnz1568/getInfo.php?workbook=06_01.xlsx&amp;sheet=A0&amp;row=227&amp;col=15&amp;number=&amp;sourceID=12","")</f>
        <v/>
      </c>
      <c r="P227" s="4" t="str">
        <f>HYPERLINK("http://141.218.60.56/~jnz1568/getInfo.php?workbook=06_01.xlsx&amp;sheet=A0&amp;row=227&amp;col=16&amp;number=&amp;sourceID=12","")</f>
        <v/>
      </c>
      <c r="Q227" s="4" t="str">
        <f>HYPERLINK("http://141.218.60.56/~jnz1568/getInfo.php?workbook=06_01.xlsx&amp;sheet=A0&amp;row=227&amp;col=17&amp;number=42.209&amp;sourceID=12","42.209")</f>
        <v>42.209</v>
      </c>
      <c r="R227" s="4" t="str">
        <f>HYPERLINK("http://141.218.60.56/~jnz1568/getInfo.php?workbook=06_01.xlsx&amp;sheet=A0&amp;row=227&amp;col=18&amp;number=&amp;sourceID=12","")</f>
        <v/>
      </c>
      <c r="S227" s="4" t="str">
        <f>HYPERLINK("http://141.218.60.56/~jnz1568/getInfo.php?workbook=06_01.xlsx&amp;sheet=A0&amp;row=227&amp;col=19&amp;number=&amp;sourceID=12","")</f>
        <v/>
      </c>
      <c r="T227" s="4" t="str">
        <f>HYPERLINK("http://141.218.60.56/~jnz1568/getInfo.php?workbook=06_01.xlsx&amp;sheet=A0&amp;row=227&amp;col=20&amp;number=&amp;sourceID=12","")</f>
        <v/>
      </c>
      <c r="U227" s="4" t="str">
        <f>HYPERLINK("http://141.218.60.56/~jnz1568/getInfo.php?workbook=06_01.xlsx&amp;sheet=A0&amp;row=227&amp;col=21&amp;number=&amp;sourceID=13","")</f>
        <v/>
      </c>
      <c r="V227" s="4" t="str">
        <f>HYPERLINK("http://141.218.60.56/~jnz1568/getInfo.php?workbook=06_01.xlsx&amp;sheet=A0&amp;row=227&amp;col=22&amp;number=&amp;sourceID=13","")</f>
        <v/>
      </c>
      <c r="W227" s="4" t="str">
        <f>HYPERLINK("http://141.218.60.56/~jnz1568/getInfo.php?workbook=06_01.xlsx&amp;sheet=A0&amp;row=227&amp;col=23&amp;number=&amp;sourceID=13","")</f>
        <v/>
      </c>
      <c r="X227" s="4" t="str">
        <f>HYPERLINK("http://141.218.60.56/~jnz1568/getInfo.php?workbook=06_01.xlsx&amp;sheet=A0&amp;row=227&amp;col=24&amp;number=&amp;sourceID=13","")</f>
        <v/>
      </c>
      <c r="Y227" s="4" t="str">
        <f>HYPERLINK("http://141.218.60.56/~jnz1568/getInfo.php?workbook=06_01.xlsx&amp;sheet=A0&amp;row=227&amp;col=25&amp;number=&amp;sourceID=13","")</f>
        <v/>
      </c>
      <c r="Z227" s="4" t="str">
        <f>HYPERLINK("http://141.218.60.56/~jnz1568/getInfo.php?workbook=06_01.xlsx&amp;sheet=A0&amp;row=227&amp;col=26&amp;number=&amp;sourceID=13","")</f>
        <v/>
      </c>
    </row>
    <row r="228" spans="1:26">
      <c r="A228" s="3">
        <v>6</v>
      </c>
      <c r="B228" s="3">
        <v>1</v>
      </c>
      <c r="C228" s="3">
        <v>23</v>
      </c>
      <c r="D228" s="3">
        <v>3</v>
      </c>
      <c r="E228" s="3">
        <f>((1/(INDEX(E0!J$4:J$28,C228,1)-INDEX(E0!J$4:J$28,D228,1))))*100000000</f>
        <v>0</v>
      </c>
      <c r="F228" s="4" t="str">
        <f>HYPERLINK("http://141.218.60.56/~jnz1568/getInfo.php?workbook=06_01.xlsx&amp;sheet=A0&amp;row=228&amp;col=6&amp;number=&amp;sourceID=18","")</f>
        <v/>
      </c>
      <c r="G228" s="4" t="str">
        <f>HYPERLINK("http://141.218.60.56/~jnz1568/getInfo.php?workbook=06_01.xlsx&amp;sheet=A0&amp;row=228&amp;col=7&amp;number==&amp;sourceID=11","=")</f>
        <v>=</v>
      </c>
      <c r="H228" s="4" t="str">
        <f>HYPERLINK("http://141.218.60.56/~jnz1568/getInfo.php?workbook=06_01.xlsx&amp;sheet=A0&amp;row=228&amp;col=8&amp;number=&amp;sourceID=11","")</f>
        <v/>
      </c>
      <c r="I228" s="4" t="str">
        <f>HYPERLINK("http://141.218.60.56/~jnz1568/getInfo.php?workbook=06_01.xlsx&amp;sheet=A0&amp;row=228&amp;col=9&amp;number=&amp;sourceID=11","")</f>
        <v/>
      </c>
      <c r="J228" s="4" t="str">
        <f>HYPERLINK("http://141.218.60.56/~jnz1568/getInfo.php?workbook=06_01.xlsx&amp;sheet=A0&amp;row=228&amp;col=10&amp;number=&amp;sourceID=11","")</f>
        <v/>
      </c>
      <c r="K228" s="4" t="str">
        <f>HYPERLINK("http://141.218.60.56/~jnz1568/getInfo.php?workbook=06_01.xlsx&amp;sheet=A0&amp;row=228&amp;col=11&amp;number=&amp;sourceID=11","")</f>
        <v/>
      </c>
      <c r="L228" s="4" t="str">
        <f>HYPERLINK("http://141.218.60.56/~jnz1568/getInfo.php?workbook=06_01.xlsx&amp;sheet=A0&amp;row=228&amp;col=12&amp;number=&amp;sourceID=11","")</f>
        <v/>
      </c>
      <c r="M228" s="4" t="str">
        <f>HYPERLINK("http://141.218.60.56/~jnz1568/getInfo.php?workbook=06_01.xlsx&amp;sheet=A0&amp;row=228&amp;col=13&amp;number=2.375e-12&amp;sourceID=11","2.375e-12")</f>
        <v>2.375e-12</v>
      </c>
      <c r="N228" s="4" t="str">
        <f>HYPERLINK("http://141.218.60.56/~jnz1568/getInfo.php?workbook=06_01.xlsx&amp;sheet=A0&amp;row=228&amp;col=14&amp;number=2.328e-12&amp;sourceID=12","2.328e-12")</f>
        <v>2.328e-12</v>
      </c>
      <c r="O228" s="4" t="str">
        <f>HYPERLINK("http://141.218.60.56/~jnz1568/getInfo.php?workbook=06_01.xlsx&amp;sheet=A0&amp;row=228&amp;col=15&amp;number=&amp;sourceID=12","")</f>
        <v/>
      </c>
      <c r="P228" s="4" t="str">
        <f>HYPERLINK("http://141.218.60.56/~jnz1568/getInfo.php?workbook=06_01.xlsx&amp;sheet=A0&amp;row=228&amp;col=16&amp;number=&amp;sourceID=12","")</f>
        <v/>
      </c>
      <c r="Q228" s="4" t="str">
        <f>HYPERLINK("http://141.218.60.56/~jnz1568/getInfo.php?workbook=06_01.xlsx&amp;sheet=A0&amp;row=228&amp;col=17&amp;number=&amp;sourceID=12","")</f>
        <v/>
      </c>
      <c r="R228" s="4" t="str">
        <f>HYPERLINK("http://141.218.60.56/~jnz1568/getInfo.php?workbook=06_01.xlsx&amp;sheet=A0&amp;row=228&amp;col=18&amp;number=&amp;sourceID=12","")</f>
        <v/>
      </c>
      <c r="S228" s="4" t="str">
        <f>HYPERLINK("http://141.218.60.56/~jnz1568/getInfo.php?workbook=06_01.xlsx&amp;sheet=A0&amp;row=228&amp;col=19&amp;number=&amp;sourceID=12","")</f>
        <v/>
      </c>
      <c r="T228" s="4" t="str">
        <f>HYPERLINK("http://141.218.60.56/~jnz1568/getInfo.php?workbook=06_01.xlsx&amp;sheet=A0&amp;row=228&amp;col=20&amp;number=2.328e-12&amp;sourceID=12","2.328e-12")</f>
        <v>2.328e-12</v>
      </c>
      <c r="U228" s="4" t="str">
        <f>HYPERLINK("http://141.218.60.56/~jnz1568/getInfo.php?workbook=06_01.xlsx&amp;sheet=A0&amp;row=228&amp;col=21&amp;number=&amp;sourceID=13","")</f>
        <v/>
      </c>
      <c r="V228" s="4" t="str">
        <f>HYPERLINK("http://141.218.60.56/~jnz1568/getInfo.php?workbook=06_01.xlsx&amp;sheet=A0&amp;row=228&amp;col=22&amp;number=&amp;sourceID=13","")</f>
        <v/>
      </c>
      <c r="W228" s="4" t="str">
        <f>HYPERLINK("http://141.218.60.56/~jnz1568/getInfo.php?workbook=06_01.xlsx&amp;sheet=A0&amp;row=228&amp;col=23&amp;number=&amp;sourceID=13","")</f>
        <v/>
      </c>
      <c r="X228" s="4" t="str">
        <f>HYPERLINK("http://141.218.60.56/~jnz1568/getInfo.php?workbook=06_01.xlsx&amp;sheet=A0&amp;row=228&amp;col=24&amp;number=&amp;sourceID=13","")</f>
        <v/>
      </c>
      <c r="Y228" s="4" t="str">
        <f>HYPERLINK("http://141.218.60.56/~jnz1568/getInfo.php?workbook=06_01.xlsx&amp;sheet=A0&amp;row=228&amp;col=25&amp;number=&amp;sourceID=13","")</f>
        <v/>
      </c>
      <c r="Z228" s="4" t="str">
        <f>HYPERLINK("http://141.218.60.56/~jnz1568/getInfo.php?workbook=06_01.xlsx&amp;sheet=A0&amp;row=228&amp;col=26&amp;number=&amp;sourceID=13","")</f>
        <v/>
      </c>
    </row>
    <row r="229" spans="1:26">
      <c r="A229" s="3">
        <v>6</v>
      </c>
      <c r="B229" s="3">
        <v>1</v>
      </c>
      <c r="C229" s="3">
        <v>23</v>
      </c>
      <c r="D229" s="3">
        <v>4</v>
      </c>
      <c r="E229" s="3">
        <f>((1/(INDEX(E0!J$4:J$28,C229,1)-INDEX(E0!J$4:J$28,D229,1))))*100000000</f>
        <v>0</v>
      </c>
      <c r="F229" s="4" t="str">
        <f>HYPERLINK("http://141.218.60.56/~jnz1568/getInfo.php?workbook=06_01.xlsx&amp;sheet=A0&amp;row=229&amp;col=6&amp;number=&amp;sourceID=18","")</f>
        <v/>
      </c>
      <c r="G229" s="4" t="str">
        <f>HYPERLINK("http://141.218.60.56/~jnz1568/getInfo.php?workbook=06_01.xlsx&amp;sheet=A0&amp;row=229&amp;col=7&amp;number==&amp;sourceID=11","=")</f>
        <v>=</v>
      </c>
      <c r="H229" s="4" t="str">
        <f>HYPERLINK("http://141.218.60.56/~jnz1568/getInfo.php?workbook=06_01.xlsx&amp;sheet=A0&amp;row=229&amp;col=8&amp;number=&amp;sourceID=11","")</f>
        <v/>
      </c>
      <c r="I229" s="4" t="str">
        <f>HYPERLINK("http://141.218.60.56/~jnz1568/getInfo.php?workbook=06_01.xlsx&amp;sheet=A0&amp;row=229&amp;col=9&amp;number=&amp;sourceID=11","")</f>
        <v/>
      </c>
      <c r="J229" s="4" t="str">
        <f>HYPERLINK("http://141.218.60.56/~jnz1568/getInfo.php?workbook=06_01.xlsx&amp;sheet=A0&amp;row=229&amp;col=10&amp;number=14.073&amp;sourceID=11","14.073")</f>
        <v>14.073</v>
      </c>
      <c r="K229" s="4" t="str">
        <f>HYPERLINK("http://141.218.60.56/~jnz1568/getInfo.php?workbook=06_01.xlsx&amp;sheet=A0&amp;row=229&amp;col=11&amp;number=&amp;sourceID=11","")</f>
        <v/>
      </c>
      <c r="L229" s="4" t="str">
        <f>HYPERLINK("http://141.218.60.56/~jnz1568/getInfo.php?workbook=06_01.xlsx&amp;sheet=A0&amp;row=229&amp;col=12&amp;number=2.7796e-08&amp;sourceID=11","2.7796e-08")</f>
        <v>2.7796e-08</v>
      </c>
      <c r="M229" s="4" t="str">
        <f>HYPERLINK("http://141.218.60.56/~jnz1568/getInfo.php?workbook=06_01.xlsx&amp;sheet=A0&amp;row=229&amp;col=13&amp;number=&amp;sourceID=11","")</f>
        <v/>
      </c>
      <c r="N229" s="4" t="str">
        <f>HYPERLINK("http://141.218.60.56/~jnz1568/getInfo.php?workbook=06_01.xlsx&amp;sheet=A0&amp;row=229&amp;col=14&amp;number=14.074&amp;sourceID=12","14.074")</f>
        <v>14.074</v>
      </c>
      <c r="O229" s="4" t="str">
        <f>HYPERLINK("http://141.218.60.56/~jnz1568/getInfo.php?workbook=06_01.xlsx&amp;sheet=A0&amp;row=229&amp;col=15&amp;number=&amp;sourceID=12","")</f>
        <v/>
      </c>
      <c r="P229" s="4" t="str">
        <f>HYPERLINK("http://141.218.60.56/~jnz1568/getInfo.php?workbook=06_01.xlsx&amp;sheet=A0&amp;row=229&amp;col=16&amp;number=&amp;sourceID=12","")</f>
        <v/>
      </c>
      <c r="Q229" s="4" t="str">
        <f>HYPERLINK("http://141.218.60.56/~jnz1568/getInfo.php?workbook=06_01.xlsx&amp;sheet=A0&amp;row=229&amp;col=17&amp;number=14.074&amp;sourceID=12","14.074")</f>
        <v>14.074</v>
      </c>
      <c r="R229" s="4" t="str">
        <f>HYPERLINK("http://141.218.60.56/~jnz1568/getInfo.php?workbook=06_01.xlsx&amp;sheet=A0&amp;row=229&amp;col=18&amp;number=&amp;sourceID=12","")</f>
        <v/>
      </c>
      <c r="S229" s="4" t="str">
        <f>HYPERLINK("http://141.218.60.56/~jnz1568/getInfo.php?workbook=06_01.xlsx&amp;sheet=A0&amp;row=229&amp;col=19&amp;number=2.7543e-08&amp;sourceID=12","2.7543e-08")</f>
        <v>2.7543e-08</v>
      </c>
      <c r="T229" s="4" t="str">
        <f>HYPERLINK("http://141.218.60.56/~jnz1568/getInfo.php?workbook=06_01.xlsx&amp;sheet=A0&amp;row=229&amp;col=20&amp;number=&amp;sourceID=12","")</f>
        <v/>
      </c>
      <c r="U229" s="4" t="str">
        <f>HYPERLINK("http://141.218.60.56/~jnz1568/getInfo.php?workbook=06_01.xlsx&amp;sheet=A0&amp;row=229&amp;col=21&amp;number=&amp;sourceID=13","")</f>
        <v/>
      </c>
      <c r="V229" s="4" t="str">
        <f>HYPERLINK("http://141.218.60.56/~jnz1568/getInfo.php?workbook=06_01.xlsx&amp;sheet=A0&amp;row=229&amp;col=22&amp;number=&amp;sourceID=13","")</f>
        <v/>
      </c>
      <c r="W229" s="4" t="str">
        <f>HYPERLINK("http://141.218.60.56/~jnz1568/getInfo.php?workbook=06_01.xlsx&amp;sheet=A0&amp;row=229&amp;col=23&amp;number=&amp;sourceID=13","")</f>
        <v/>
      </c>
      <c r="X229" s="4" t="str">
        <f>HYPERLINK("http://141.218.60.56/~jnz1568/getInfo.php?workbook=06_01.xlsx&amp;sheet=A0&amp;row=229&amp;col=24&amp;number=&amp;sourceID=13","")</f>
        <v/>
      </c>
      <c r="Y229" s="4" t="str">
        <f>HYPERLINK("http://141.218.60.56/~jnz1568/getInfo.php?workbook=06_01.xlsx&amp;sheet=A0&amp;row=229&amp;col=25&amp;number=&amp;sourceID=13","")</f>
        <v/>
      </c>
      <c r="Z229" s="4" t="str">
        <f>HYPERLINK("http://141.218.60.56/~jnz1568/getInfo.php?workbook=06_01.xlsx&amp;sheet=A0&amp;row=229&amp;col=26&amp;number=&amp;sourceID=13","")</f>
        <v/>
      </c>
    </row>
    <row r="230" spans="1:26">
      <c r="A230" s="3">
        <v>6</v>
      </c>
      <c r="B230" s="3">
        <v>1</v>
      </c>
      <c r="C230" s="3">
        <v>23</v>
      </c>
      <c r="D230" s="3">
        <v>5</v>
      </c>
      <c r="E230" s="3">
        <f>((1/(INDEX(E0!J$4:J$28,C230,1)-INDEX(E0!J$4:J$28,D230,1))))*100000000</f>
        <v>0</v>
      </c>
      <c r="F230" s="4" t="str">
        <f>HYPERLINK("http://141.218.60.56/~jnz1568/getInfo.php?workbook=06_01.xlsx&amp;sheet=A0&amp;row=230&amp;col=6&amp;number=&amp;sourceID=18","")</f>
        <v/>
      </c>
      <c r="G230" s="4" t="str">
        <f>HYPERLINK("http://141.218.60.56/~jnz1568/getInfo.php?workbook=06_01.xlsx&amp;sheet=A0&amp;row=230&amp;col=7&amp;number==&amp;sourceID=11","=")</f>
        <v>=</v>
      </c>
      <c r="H230" s="4" t="str">
        <f>HYPERLINK("http://141.218.60.56/~jnz1568/getInfo.php?workbook=06_01.xlsx&amp;sheet=A0&amp;row=230&amp;col=8&amp;number=&amp;sourceID=11","")</f>
        <v/>
      </c>
      <c r="I230" s="4" t="str">
        <f>HYPERLINK("http://141.218.60.56/~jnz1568/getInfo.php?workbook=06_01.xlsx&amp;sheet=A0&amp;row=230&amp;col=9&amp;number=&amp;sourceID=11","")</f>
        <v/>
      </c>
      <c r="J230" s="4" t="str">
        <f>HYPERLINK("http://141.218.60.56/~jnz1568/getInfo.php?workbook=06_01.xlsx&amp;sheet=A0&amp;row=230&amp;col=10&amp;number=17.865&amp;sourceID=11","17.865")</f>
        <v>17.865</v>
      </c>
      <c r="K230" s="4" t="str">
        <f>HYPERLINK("http://141.218.60.56/~jnz1568/getInfo.php?workbook=06_01.xlsx&amp;sheet=A0&amp;row=230&amp;col=11&amp;number=&amp;sourceID=11","")</f>
        <v/>
      </c>
      <c r="L230" s="4" t="str">
        <f>HYPERLINK("http://141.218.60.56/~jnz1568/getInfo.php?workbook=06_01.xlsx&amp;sheet=A0&amp;row=230&amp;col=12&amp;number=&amp;sourceID=11","")</f>
        <v/>
      </c>
      <c r="M230" s="4" t="str">
        <f>HYPERLINK("http://141.218.60.56/~jnz1568/getInfo.php?workbook=06_01.xlsx&amp;sheet=A0&amp;row=230&amp;col=13&amp;number=&amp;sourceID=11","")</f>
        <v/>
      </c>
      <c r="N230" s="4" t="str">
        <f>HYPERLINK("http://141.218.60.56/~jnz1568/getInfo.php?workbook=06_01.xlsx&amp;sheet=A0&amp;row=230&amp;col=14&amp;number=17.865&amp;sourceID=12","17.865")</f>
        <v>17.865</v>
      </c>
      <c r="O230" s="4" t="str">
        <f>HYPERLINK("http://141.218.60.56/~jnz1568/getInfo.php?workbook=06_01.xlsx&amp;sheet=A0&amp;row=230&amp;col=15&amp;number=&amp;sourceID=12","")</f>
        <v/>
      </c>
      <c r="P230" s="4" t="str">
        <f>HYPERLINK("http://141.218.60.56/~jnz1568/getInfo.php?workbook=06_01.xlsx&amp;sheet=A0&amp;row=230&amp;col=16&amp;number=&amp;sourceID=12","")</f>
        <v/>
      </c>
      <c r="Q230" s="4" t="str">
        <f>HYPERLINK("http://141.218.60.56/~jnz1568/getInfo.php?workbook=06_01.xlsx&amp;sheet=A0&amp;row=230&amp;col=17&amp;number=17.865&amp;sourceID=12","17.865")</f>
        <v>17.865</v>
      </c>
      <c r="R230" s="4" t="str">
        <f>HYPERLINK("http://141.218.60.56/~jnz1568/getInfo.php?workbook=06_01.xlsx&amp;sheet=A0&amp;row=230&amp;col=18&amp;number=&amp;sourceID=12","")</f>
        <v/>
      </c>
      <c r="S230" s="4" t="str">
        <f>HYPERLINK("http://141.218.60.56/~jnz1568/getInfo.php?workbook=06_01.xlsx&amp;sheet=A0&amp;row=230&amp;col=19&amp;number=&amp;sourceID=12","")</f>
        <v/>
      </c>
      <c r="T230" s="4" t="str">
        <f>HYPERLINK("http://141.218.60.56/~jnz1568/getInfo.php?workbook=06_01.xlsx&amp;sheet=A0&amp;row=230&amp;col=20&amp;number=&amp;sourceID=12","")</f>
        <v/>
      </c>
      <c r="U230" s="4" t="str">
        <f>HYPERLINK("http://141.218.60.56/~jnz1568/getInfo.php?workbook=06_01.xlsx&amp;sheet=A0&amp;row=230&amp;col=21&amp;number=&amp;sourceID=13","")</f>
        <v/>
      </c>
      <c r="V230" s="4" t="str">
        <f>HYPERLINK("http://141.218.60.56/~jnz1568/getInfo.php?workbook=06_01.xlsx&amp;sheet=A0&amp;row=230&amp;col=22&amp;number=&amp;sourceID=13","")</f>
        <v/>
      </c>
      <c r="W230" s="4" t="str">
        <f>HYPERLINK("http://141.218.60.56/~jnz1568/getInfo.php?workbook=06_01.xlsx&amp;sheet=A0&amp;row=230&amp;col=23&amp;number=&amp;sourceID=13","")</f>
        <v/>
      </c>
      <c r="X230" s="4" t="str">
        <f>HYPERLINK("http://141.218.60.56/~jnz1568/getInfo.php?workbook=06_01.xlsx&amp;sheet=A0&amp;row=230&amp;col=24&amp;number=&amp;sourceID=13","")</f>
        <v/>
      </c>
      <c r="Y230" s="4" t="str">
        <f>HYPERLINK("http://141.218.60.56/~jnz1568/getInfo.php?workbook=06_01.xlsx&amp;sheet=A0&amp;row=230&amp;col=25&amp;number=&amp;sourceID=13","")</f>
        <v/>
      </c>
      <c r="Z230" s="4" t="str">
        <f>HYPERLINK("http://141.218.60.56/~jnz1568/getInfo.php?workbook=06_01.xlsx&amp;sheet=A0&amp;row=230&amp;col=26&amp;number=&amp;sourceID=13","")</f>
        <v/>
      </c>
    </row>
    <row r="231" spans="1:26">
      <c r="A231" s="3">
        <v>6</v>
      </c>
      <c r="B231" s="3">
        <v>1</v>
      </c>
      <c r="C231" s="3">
        <v>23</v>
      </c>
      <c r="D231" s="3">
        <v>6</v>
      </c>
      <c r="E231" s="3">
        <f>((1/(INDEX(E0!J$4:J$28,C231,1)-INDEX(E0!J$4:J$28,D231,1))))*100000000</f>
        <v>0</v>
      </c>
      <c r="F231" s="4" t="str">
        <f>HYPERLINK("http://141.218.60.56/~jnz1568/getInfo.php?workbook=06_01.xlsx&amp;sheet=A0&amp;row=231&amp;col=6&amp;number=&amp;sourceID=18","")</f>
        <v/>
      </c>
      <c r="G231" s="4" t="str">
        <f>HYPERLINK("http://141.218.60.56/~jnz1568/getInfo.php?workbook=06_01.xlsx&amp;sheet=A0&amp;row=231&amp;col=7&amp;number==&amp;sourceID=11","=")</f>
        <v>=</v>
      </c>
      <c r="H231" s="4" t="str">
        <f>HYPERLINK("http://141.218.60.56/~jnz1568/getInfo.php?workbook=06_01.xlsx&amp;sheet=A0&amp;row=231&amp;col=8&amp;number=&amp;sourceID=11","")</f>
        <v/>
      </c>
      <c r="I231" s="4" t="str">
        <f>HYPERLINK("http://141.218.60.56/~jnz1568/getInfo.php?workbook=06_01.xlsx&amp;sheet=A0&amp;row=231&amp;col=9&amp;number=&amp;sourceID=11","")</f>
        <v/>
      </c>
      <c r="J231" s="4" t="str">
        <f>HYPERLINK("http://141.218.60.56/~jnz1568/getInfo.php?workbook=06_01.xlsx&amp;sheet=A0&amp;row=231&amp;col=10&amp;number=&amp;sourceID=11","")</f>
        <v/>
      </c>
      <c r="K231" s="4" t="str">
        <f>HYPERLINK("http://141.218.60.56/~jnz1568/getInfo.php?workbook=06_01.xlsx&amp;sheet=A0&amp;row=231&amp;col=11&amp;number=&amp;sourceID=11","")</f>
        <v/>
      </c>
      <c r="L231" s="4" t="str">
        <f>HYPERLINK("http://141.218.60.56/~jnz1568/getInfo.php?workbook=06_01.xlsx&amp;sheet=A0&amp;row=231&amp;col=12&amp;number=&amp;sourceID=11","")</f>
        <v/>
      </c>
      <c r="M231" s="4" t="str">
        <f>HYPERLINK("http://141.218.60.56/~jnz1568/getInfo.php?workbook=06_01.xlsx&amp;sheet=A0&amp;row=231&amp;col=13&amp;number=6e-14&amp;sourceID=11","6e-14")</f>
        <v>6e-14</v>
      </c>
      <c r="N231" s="4" t="str">
        <f>HYPERLINK("http://141.218.60.56/~jnz1568/getInfo.php?workbook=06_01.xlsx&amp;sheet=A0&amp;row=231&amp;col=14&amp;number=6e-14&amp;sourceID=12","6e-14")</f>
        <v>6e-14</v>
      </c>
      <c r="O231" s="4" t="str">
        <f>HYPERLINK("http://141.218.60.56/~jnz1568/getInfo.php?workbook=06_01.xlsx&amp;sheet=A0&amp;row=231&amp;col=15&amp;number=&amp;sourceID=12","")</f>
        <v/>
      </c>
      <c r="P231" s="4" t="str">
        <f>HYPERLINK("http://141.218.60.56/~jnz1568/getInfo.php?workbook=06_01.xlsx&amp;sheet=A0&amp;row=231&amp;col=16&amp;number=&amp;sourceID=12","")</f>
        <v/>
      </c>
      <c r="Q231" s="4" t="str">
        <f>HYPERLINK("http://141.218.60.56/~jnz1568/getInfo.php?workbook=06_01.xlsx&amp;sheet=A0&amp;row=231&amp;col=17&amp;number=&amp;sourceID=12","")</f>
        <v/>
      </c>
      <c r="R231" s="4" t="str">
        <f>HYPERLINK("http://141.218.60.56/~jnz1568/getInfo.php?workbook=06_01.xlsx&amp;sheet=A0&amp;row=231&amp;col=18&amp;number=&amp;sourceID=12","")</f>
        <v/>
      </c>
      <c r="S231" s="4" t="str">
        <f>HYPERLINK("http://141.218.60.56/~jnz1568/getInfo.php?workbook=06_01.xlsx&amp;sheet=A0&amp;row=231&amp;col=19&amp;number=&amp;sourceID=12","")</f>
        <v/>
      </c>
      <c r="T231" s="4" t="str">
        <f>HYPERLINK("http://141.218.60.56/~jnz1568/getInfo.php?workbook=06_01.xlsx&amp;sheet=A0&amp;row=231&amp;col=20&amp;number=6e-14&amp;sourceID=12","6e-14")</f>
        <v>6e-14</v>
      </c>
      <c r="U231" s="4" t="str">
        <f>HYPERLINK("http://141.218.60.56/~jnz1568/getInfo.php?workbook=06_01.xlsx&amp;sheet=A0&amp;row=231&amp;col=21&amp;number=&amp;sourceID=13","")</f>
        <v/>
      </c>
      <c r="V231" s="4" t="str">
        <f>HYPERLINK("http://141.218.60.56/~jnz1568/getInfo.php?workbook=06_01.xlsx&amp;sheet=A0&amp;row=231&amp;col=22&amp;number=&amp;sourceID=13","")</f>
        <v/>
      </c>
      <c r="W231" s="4" t="str">
        <f>HYPERLINK("http://141.218.60.56/~jnz1568/getInfo.php?workbook=06_01.xlsx&amp;sheet=A0&amp;row=231&amp;col=23&amp;number=&amp;sourceID=13","")</f>
        <v/>
      </c>
      <c r="X231" s="4" t="str">
        <f>HYPERLINK("http://141.218.60.56/~jnz1568/getInfo.php?workbook=06_01.xlsx&amp;sheet=A0&amp;row=231&amp;col=24&amp;number=&amp;sourceID=13","")</f>
        <v/>
      </c>
      <c r="Y231" s="4" t="str">
        <f>HYPERLINK("http://141.218.60.56/~jnz1568/getInfo.php?workbook=06_01.xlsx&amp;sheet=A0&amp;row=231&amp;col=25&amp;number=&amp;sourceID=13","")</f>
        <v/>
      </c>
      <c r="Z231" s="4" t="str">
        <f>HYPERLINK("http://141.218.60.56/~jnz1568/getInfo.php?workbook=06_01.xlsx&amp;sheet=A0&amp;row=231&amp;col=26&amp;number=&amp;sourceID=13","")</f>
        <v/>
      </c>
    </row>
    <row r="232" spans="1:26">
      <c r="A232" s="3">
        <v>6</v>
      </c>
      <c r="B232" s="3">
        <v>1</v>
      </c>
      <c r="C232" s="3">
        <v>23</v>
      </c>
      <c r="D232" s="3">
        <v>7</v>
      </c>
      <c r="E232" s="3">
        <f>((1/(INDEX(E0!J$4:J$28,C232,1)-INDEX(E0!J$4:J$28,D232,1))))*100000000</f>
        <v>0</v>
      </c>
      <c r="F232" s="4" t="str">
        <f>HYPERLINK("http://141.218.60.56/~jnz1568/getInfo.php?workbook=06_01.xlsx&amp;sheet=A0&amp;row=232&amp;col=6&amp;number=&amp;sourceID=18","")</f>
        <v/>
      </c>
      <c r="G232" s="4" t="str">
        <f>HYPERLINK("http://141.218.60.56/~jnz1568/getInfo.php?workbook=06_01.xlsx&amp;sheet=A0&amp;row=232&amp;col=7&amp;number==&amp;sourceID=11","=")</f>
        <v>=</v>
      </c>
      <c r="H232" s="4" t="str">
        <f>HYPERLINK("http://141.218.60.56/~jnz1568/getInfo.php?workbook=06_01.xlsx&amp;sheet=A0&amp;row=232&amp;col=8&amp;number=&amp;sourceID=11","")</f>
        <v/>
      </c>
      <c r="I232" s="4" t="str">
        <f>HYPERLINK("http://141.218.60.56/~jnz1568/getInfo.php?workbook=06_01.xlsx&amp;sheet=A0&amp;row=232&amp;col=9&amp;number=487740&amp;sourceID=11","487740")</f>
        <v>487740</v>
      </c>
      <c r="J232" s="4" t="str">
        <f>HYPERLINK("http://141.218.60.56/~jnz1568/getInfo.php?workbook=06_01.xlsx&amp;sheet=A0&amp;row=232&amp;col=10&amp;number=&amp;sourceID=11","")</f>
        <v/>
      </c>
      <c r="K232" s="4" t="str">
        <f>HYPERLINK("http://141.218.60.56/~jnz1568/getInfo.php?workbook=06_01.xlsx&amp;sheet=A0&amp;row=232&amp;col=11&amp;number=&amp;sourceID=11","")</f>
        <v/>
      </c>
      <c r="L232" s="4" t="str">
        <f>HYPERLINK("http://141.218.60.56/~jnz1568/getInfo.php?workbook=06_01.xlsx&amp;sheet=A0&amp;row=232&amp;col=12&amp;number=&amp;sourceID=11","")</f>
        <v/>
      </c>
      <c r="M232" s="4" t="str">
        <f>HYPERLINK("http://141.218.60.56/~jnz1568/getInfo.php?workbook=06_01.xlsx&amp;sheet=A0&amp;row=232&amp;col=13&amp;number=5.3975e-05&amp;sourceID=11","5.3975e-05")</f>
        <v>5.3975e-05</v>
      </c>
      <c r="N232" s="4" t="str">
        <f>HYPERLINK("http://141.218.60.56/~jnz1568/getInfo.php?workbook=06_01.xlsx&amp;sheet=A0&amp;row=232&amp;col=14&amp;number=487760&amp;sourceID=12","487760")</f>
        <v>487760</v>
      </c>
      <c r="O232" s="4" t="str">
        <f>HYPERLINK("http://141.218.60.56/~jnz1568/getInfo.php?workbook=06_01.xlsx&amp;sheet=A0&amp;row=232&amp;col=15&amp;number=&amp;sourceID=12","")</f>
        <v/>
      </c>
      <c r="P232" s="4" t="str">
        <f>HYPERLINK("http://141.218.60.56/~jnz1568/getInfo.php?workbook=06_01.xlsx&amp;sheet=A0&amp;row=232&amp;col=16&amp;number=487760&amp;sourceID=12","487760")</f>
        <v>487760</v>
      </c>
      <c r="Q232" s="4" t="str">
        <f>HYPERLINK("http://141.218.60.56/~jnz1568/getInfo.php?workbook=06_01.xlsx&amp;sheet=A0&amp;row=232&amp;col=17&amp;number=&amp;sourceID=12","")</f>
        <v/>
      </c>
      <c r="R232" s="4" t="str">
        <f>HYPERLINK("http://141.218.60.56/~jnz1568/getInfo.php?workbook=06_01.xlsx&amp;sheet=A0&amp;row=232&amp;col=18&amp;number=&amp;sourceID=12","")</f>
        <v/>
      </c>
      <c r="S232" s="4" t="str">
        <f>HYPERLINK("http://141.218.60.56/~jnz1568/getInfo.php?workbook=06_01.xlsx&amp;sheet=A0&amp;row=232&amp;col=19&amp;number=&amp;sourceID=12","")</f>
        <v/>
      </c>
      <c r="T232" s="4" t="str">
        <f>HYPERLINK("http://141.218.60.56/~jnz1568/getInfo.php?workbook=06_01.xlsx&amp;sheet=A0&amp;row=232&amp;col=20&amp;number=5.3977e-05&amp;sourceID=12","5.3977e-05")</f>
        <v>5.3977e-05</v>
      </c>
      <c r="U232" s="4" t="str">
        <f>HYPERLINK("http://141.218.60.56/~jnz1568/getInfo.php?workbook=06_01.xlsx&amp;sheet=A0&amp;row=232&amp;col=21&amp;number=&amp;sourceID=13","")</f>
        <v/>
      </c>
      <c r="V232" s="4" t="str">
        <f>HYPERLINK("http://141.218.60.56/~jnz1568/getInfo.php?workbook=06_01.xlsx&amp;sheet=A0&amp;row=232&amp;col=22&amp;number=&amp;sourceID=13","")</f>
        <v/>
      </c>
      <c r="W232" s="4" t="str">
        <f>HYPERLINK("http://141.218.60.56/~jnz1568/getInfo.php?workbook=06_01.xlsx&amp;sheet=A0&amp;row=232&amp;col=23&amp;number=&amp;sourceID=13","")</f>
        <v/>
      </c>
      <c r="X232" s="4" t="str">
        <f>HYPERLINK("http://141.218.60.56/~jnz1568/getInfo.php?workbook=06_01.xlsx&amp;sheet=A0&amp;row=232&amp;col=24&amp;number=&amp;sourceID=13","")</f>
        <v/>
      </c>
      <c r="Y232" s="4" t="str">
        <f>HYPERLINK("http://141.218.60.56/~jnz1568/getInfo.php?workbook=06_01.xlsx&amp;sheet=A0&amp;row=232&amp;col=25&amp;number=&amp;sourceID=13","")</f>
        <v/>
      </c>
      <c r="Z232" s="4" t="str">
        <f>HYPERLINK("http://141.218.60.56/~jnz1568/getInfo.php?workbook=06_01.xlsx&amp;sheet=A0&amp;row=232&amp;col=26&amp;number=&amp;sourceID=13","")</f>
        <v/>
      </c>
    </row>
    <row r="233" spans="1:26">
      <c r="A233" s="3">
        <v>6</v>
      </c>
      <c r="B233" s="3">
        <v>1</v>
      </c>
      <c r="C233" s="3">
        <v>23</v>
      </c>
      <c r="D233" s="3">
        <v>8</v>
      </c>
      <c r="E233" s="3">
        <f>((1/(INDEX(E0!J$4:J$28,C233,1)-INDEX(E0!J$4:J$28,D233,1))))*100000000</f>
        <v>0</v>
      </c>
      <c r="F233" s="4" t="str">
        <f>HYPERLINK("http://141.218.60.56/~jnz1568/getInfo.php?workbook=06_01.xlsx&amp;sheet=A0&amp;row=233&amp;col=6&amp;number=&amp;sourceID=18","")</f>
        <v/>
      </c>
      <c r="G233" s="4" t="str">
        <f>HYPERLINK("http://141.218.60.56/~jnz1568/getInfo.php?workbook=06_01.xlsx&amp;sheet=A0&amp;row=233&amp;col=7&amp;number==&amp;sourceID=11","=")</f>
        <v>=</v>
      </c>
      <c r="H233" s="4" t="str">
        <f>HYPERLINK("http://141.218.60.56/~jnz1568/getInfo.php?workbook=06_01.xlsx&amp;sheet=A0&amp;row=233&amp;col=8&amp;number=&amp;sourceID=11","")</f>
        <v/>
      </c>
      <c r="I233" s="4" t="str">
        <f>HYPERLINK("http://141.218.60.56/~jnz1568/getInfo.php?workbook=06_01.xlsx&amp;sheet=A0&amp;row=233&amp;col=9&amp;number=&amp;sourceID=11","")</f>
        <v/>
      </c>
      <c r="J233" s="4" t="str">
        <f>HYPERLINK("http://141.218.60.56/~jnz1568/getInfo.php?workbook=06_01.xlsx&amp;sheet=A0&amp;row=233&amp;col=10&amp;number=5.9476&amp;sourceID=11","5.9476")</f>
        <v>5.9476</v>
      </c>
      <c r="K233" s="4" t="str">
        <f>HYPERLINK("http://141.218.60.56/~jnz1568/getInfo.php?workbook=06_01.xlsx&amp;sheet=A0&amp;row=233&amp;col=11&amp;number=&amp;sourceID=11","")</f>
        <v/>
      </c>
      <c r="L233" s="4" t="str">
        <f>HYPERLINK("http://141.218.60.56/~jnz1568/getInfo.php?workbook=06_01.xlsx&amp;sheet=A0&amp;row=233&amp;col=12&amp;number=3.683e-09&amp;sourceID=11","3.683e-09")</f>
        <v>3.683e-09</v>
      </c>
      <c r="M233" s="4" t="str">
        <f>HYPERLINK("http://141.218.60.56/~jnz1568/getInfo.php?workbook=06_01.xlsx&amp;sheet=A0&amp;row=233&amp;col=13&amp;number=&amp;sourceID=11","")</f>
        <v/>
      </c>
      <c r="N233" s="4" t="str">
        <f>HYPERLINK("http://141.218.60.56/~jnz1568/getInfo.php?workbook=06_01.xlsx&amp;sheet=A0&amp;row=233&amp;col=14&amp;number=5.9479&amp;sourceID=12","5.9479")</f>
        <v>5.9479</v>
      </c>
      <c r="O233" s="4" t="str">
        <f>HYPERLINK("http://141.218.60.56/~jnz1568/getInfo.php?workbook=06_01.xlsx&amp;sheet=A0&amp;row=233&amp;col=15&amp;number=&amp;sourceID=12","")</f>
        <v/>
      </c>
      <c r="P233" s="4" t="str">
        <f>HYPERLINK("http://141.218.60.56/~jnz1568/getInfo.php?workbook=06_01.xlsx&amp;sheet=A0&amp;row=233&amp;col=16&amp;number=&amp;sourceID=12","")</f>
        <v/>
      </c>
      <c r="Q233" s="4" t="str">
        <f>HYPERLINK("http://141.218.60.56/~jnz1568/getInfo.php?workbook=06_01.xlsx&amp;sheet=A0&amp;row=233&amp;col=17&amp;number=5.9479&amp;sourceID=12","5.9479")</f>
        <v>5.9479</v>
      </c>
      <c r="R233" s="4" t="str">
        <f>HYPERLINK("http://141.218.60.56/~jnz1568/getInfo.php?workbook=06_01.xlsx&amp;sheet=A0&amp;row=233&amp;col=18&amp;number=&amp;sourceID=12","")</f>
        <v/>
      </c>
      <c r="S233" s="4" t="str">
        <f>HYPERLINK("http://141.218.60.56/~jnz1568/getInfo.php?workbook=06_01.xlsx&amp;sheet=A0&amp;row=233&amp;col=19&amp;number=3.6819e-09&amp;sourceID=12","3.6819e-09")</f>
        <v>3.6819e-09</v>
      </c>
      <c r="T233" s="4" t="str">
        <f>HYPERLINK("http://141.218.60.56/~jnz1568/getInfo.php?workbook=06_01.xlsx&amp;sheet=A0&amp;row=233&amp;col=20&amp;number=&amp;sourceID=12","")</f>
        <v/>
      </c>
      <c r="U233" s="4" t="str">
        <f>HYPERLINK("http://141.218.60.56/~jnz1568/getInfo.php?workbook=06_01.xlsx&amp;sheet=A0&amp;row=233&amp;col=21&amp;number=&amp;sourceID=13","")</f>
        <v/>
      </c>
      <c r="V233" s="4" t="str">
        <f>HYPERLINK("http://141.218.60.56/~jnz1568/getInfo.php?workbook=06_01.xlsx&amp;sheet=A0&amp;row=233&amp;col=22&amp;number=&amp;sourceID=13","")</f>
        <v/>
      </c>
      <c r="W233" s="4" t="str">
        <f>HYPERLINK("http://141.218.60.56/~jnz1568/getInfo.php?workbook=06_01.xlsx&amp;sheet=A0&amp;row=233&amp;col=23&amp;number=&amp;sourceID=13","")</f>
        <v/>
      </c>
      <c r="X233" s="4" t="str">
        <f>HYPERLINK("http://141.218.60.56/~jnz1568/getInfo.php?workbook=06_01.xlsx&amp;sheet=A0&amp;row=233&amp;col=24&amp;number=&amp;sourceID=13","")</f>
        <v/>
      </c>
      <c r="Y233" s="4" t="str">
        <f>HYPERLINK("http://141.218.60.56/~jnz1568/getInfo.php?workbook=06_01.xlsx&amp;sheet=A0&amp;row=233&amp;col=25&amp;number=&amp;sourceID=13","")</f>
        <v/>
      </c>
      <c r="Z233" s="4" t="str">
        <f>HYPERLINK("http://141.218.60.56/~jnz1568/getInfo.php?workbook=06_01.xlsx&amp;sheet=A0&amp;row=233&amp;col=26&amp;number=&amp;sourceID=13","")</f>
        <v/>
      </c>
    </row>
    <row r="234" spans="1:26">
      <c r="A234" s="3">
        <v>6</v>
      </c>
      <c r="B234" s="3">
        <v>1</v>
      </c>
      <c r="C234" s="3">
        <v>23</v>
      </c>
      <c r="D234" s="3">
        <v>9</v>
      </c>
      <c r="E234" s="3">
        <f>((1/(INDEX(E0!J$4:J$28,C234,1)-INDEX(E0!J$4:J$28,D234,1))))*100000000</f>
        <v>0</v>
      </c>
      <c r="F234" s="4" t="str">
        <f>HYPERLINK("http://141.218.60.56/~jnz1568/getInfo.php?workbook=06_01.xlsx&amp;sheet=A0&amp;row=234&amp;col=6&amp;number=&amp;sourceID=18","")</f>
        <v/>
      </c>
      <c r="G234" s="4" t="str">
        <f>HYPERLINK("http://141.218.60.56/~jnz1568/getInfo.php?workbook=06_01.xlsx&amp;sheet=A0&amp;row=234&amp;col=7&amp;number==&amp;sourceID=11","=")</f>
        <v>=</v>
      </c>
      <c r="H234" s="4" t="str">
        <f>HYPERLINK("http://141.218.60.56/~jnz1568/getInfo.php?workbook=06_01.xlsx&amp;sheet=A0&amp;row=234&amp;col=8&amp;number=&amp;sourceID=11","")</f>
        <v/>
      </c>
      <c r="I234" s="4" t="str">
        <f>HYPERLINK("http://141.218.60.56/~jnz1568/getInfo.php?workbook=06_01.xlsx&amp;sheet=A0&amp;row=234&amp;col=9&amp;number=54189&amp;sourceID=11","54189")</f>
        <v>54189</v>
      </c>
      <c r="J234" s="4" t="str">
        <f>HYPERLINK("http://141.218.60.56/~jnz1568/getInfo.php?workbook=06_01.xlsx&amp;sheet=A0&amp;row=234&amp;col=10&amp;number=&amp;sourceID=11","")</f>
        <v/>
      </c>
      <c r="K234" s="4" t="str">
        <f>HYPERLINK("http://141.218.60.56/~jnz1568/getInfo.php?workbook=06_01.xlsx&amp;sheet=A0&amp;row=234&amp;col=11&amp;number=8.3953e-05&amp;sourceID=11","8.3953e-05")</f>
        <v>8.3953e-05</v>
      </c>
      <c r="L234" s="4" t="str">
        <f>HYPERLINK("http://141.218.60.56/~jnz1568/getInfo.php?workbook=06_01.xlsx&amp;sheet=A0&amp;row=234&amp;col=12&amp;number=&amp;sourceID=11","")</f>
        <v/>
      </c>
      <c r="M234" s="4" t="str">
        <f>HYPERLINK("http://141.218.60.56/~jnz1568/getInfo.php?workbook=06_01.xlsx&amp;sheet=A0&amp;row=234&amp;col=13&amp;number=1.9985e-06&amp;sourceID=11","1.9985e-06")</f>
        <v>1.9985e-06</v>
      </c>
      <c r="N234" s="4" t="str">
        <f>HYPERLINK("http://141.218.60.56/~jnz1568/getInfo.php?workbook=06_01.xlsx&amp;sheet=A0&amp;row=234&amp;col=14&amp;number=54191&amp;sourceID=12","54191")</f>
        <v>54191</v>
      </c>
      <c r="O234" s="4" t="str">
        <f>HYPERLINK("http://141.218.60.56/~jnz1568/getInfo.php?workbook=06_01.xlsx&amp;sheet=A0&amp;row=234&amp;col=15&amp;number=&amp;sourceID=12","")</f>
        <v/>
      </c>
      <c r="P234" s="4" t="str">
        <f>HYPERLINK("http://141.218.60.56/~jnz1568/getInfo.php?workbook=06_01.xlsx&amp;sheet=A0&amp;row=234&amp;col=16&amp;number=54191&amp;sourceID=12","54191")</f>
        <v>54191</v>
      </c>
      <c r="Q234" s="4" t="str">
        <f>HYPERLINK("http://141.218.60.56/~jnz1568/getInfo.php?workbook=06_01.xlsx&amp;sheet=A0&amp;row=234&amp;col=17&amp;number=&amp;sourceID=12","")</f>
        <v/>
      </c>
      <c r="R234" s="4" t="str">
        <f>HYPERLINK("http://141.218.60.56/~jnz1568/getInfo.php?workbook=06_01.xlsx&amp;sheet=A0&amp;row=234&amp;col=18&amp;number=8.3938e-05&amp;sourceID=12","8.3938e-05")</f>
        <v>8.3938e-05</v>
      </c>
      <c r="S234" s="4" t="str">
        <f>HYPERLINK("http://141.218.60.56/~jnz1568/getInfo.php?workbook=06_01.xlsx&amp;sheet=A0&amp;row=234&amp;col=19&amp;number=&amp;sourceID=12","")</f>
        <v/>
      </c>
      <c r="T234" s="4" t="str">
        <f>HYPERLINK("http://141.218.60.56/~jnz1568/getInfo.php?workbook=06_01.xlsx&amp;sheet=A0&amp;row=234&amp;col=20&amp;number=1.9986e-06&amp;sourceID=12","1.9986e-06")</f>
        <v>1.9986e-06</v>
      </c>
      <c r="U234" s="4" t="str">
        <f>HYPERLINK("http://141.218.60.56/~jnz1568/getInfo.php?workbook=06_01.xlsx&amp;sheet=A0&amp;row=234&amp;col=21&amp;number=&amp;sourceID=13","")</f>
        <v/>
      </c>
      <c r="V234" s="4" t="str">
        <f>HYPERLINK("http://141.218.60.56/~jnz1568/getInfo.php?workbook=06_01.xlsx&amp;sheet=A0&amp;row=234&amp;col=22&amp;number=&amp;sourceID=13","")</f>
        <v/>
      </c>
      <c r="W234" s="4" t="str">
        <f>HYPERLINK("http://141.218.60.56/~jnz1568/getInfo.php?workbook=06_01.xlsx&amp;sheet=A0&amp;row=234&amp;col=23&amp;number=&amp;sourceID=13","")</f>
        <v/>
      </c>
      <c r="X234" s="4" t="str">
        <f>HYPERLINK("http://141.218.60.56/~jnz1568/getInfo.php?workbook=06_01.xlsx&amp;sheet=A0&amp;row=234&amp;col=24&amp;number=&amp;sourceID=13","")</f>
        <v/>
      </c>
      <c r="Y234" s="4" t="str">
        <f>HYPERLINK("http://141.218.60.56/~jnz1568/getInfo.php?workbook=06_01.xlsx&amp;sheet=A0&amp;row=234&amp;col=25&amp;number=&amp;sourceID=13","")</f>
        <v/>
      </c>
      <c r="Z234" s="4" t="str">
        <f>HYPERLINK("http://141.218.60.56/~jnz1568/getInfo.php?workbook=06_01.xlsx&amp;sheet=A0&amp;row=234&amp;col=26&amp;number=&amp;sourceID=13","")</f>
        <v/>
      </c>
    </row>
    <row r="235" spans="1:26">
      <c r="A235" s="3">
        <v>6</v>
      </c>
      <c r="B235" s="3">
        <v>1</v>
      </c>
      <c r="C235" s="3">
        <v>23</v>
      </c>
      <c r="D235" s="3">
        <v>10</v>
      </c>
      <c r="E235" s="3">
        <f>((1/(INDEX(E0!J$4:J$28,C235,1)-INDEX(E0!J$4:J$28,D235,1))))*100000000</f>
        <v>0</v>
      </c>
      <c r="F235" s="4" t="str">
        <f>HYPERLINK("http://141.218.60.56/~jnz1568/getInfo.php?workbook=06_01.xlsx&amp;sheet=A0&amp;row=235&amp;col=6&amp;number=&amp;sourceID=18","")</f>
        <v/>
      </c>
      <c r="G235" s="4" t="str">
        <f>HYPERLINK("http://141.218.60.56/~jnz1568/getInfo.php?workbook=06_01.xlsx&amp;sheet=A0&amp;row=235&amp;col=7&amp;number==&amp;sourceID=11","=")</f>
        <v>=</v>
      </c>
      <c r="H235" s="4" t="str">
        <f>HYPERLINK("http://141.218.60.56/~jnz1568/getInfo.php?workbook=06_01.xlsx&amp;sheet=A0&amp;row=235&amp;col=8&amp;number=&amp;sourceID=11","")</f>
        <v/>
      </c>
      <c r="I235" s="4" t="str">
        <f>HYPERLINK("http://141.218.60.56/~jnz1568/getInfo.php?workbook=06_01.xlsx&amp;sheet=A0&amp;row=235&amp;col=9&amp;number=&amp;sourceID=11","")</f>
        <v/>
      </c>
      <c r="J235" s="4" t="str">
        <f>HYPERLINK("http://141.218.60.56/~jnz1568/getInfo.php?workbook=06_01.xlsx&amp;sheet=A0&amp;row=235&amp;col=10&amp;number=0.16518&amp;sourceID=11","0.16518")</f>
        <v>0.16518</v>
      </c>
      <c r="K235" s="4" t="str">
        <f>HYPERLINK("http://141.218.60.56/~jnz1568/getInfo.php?workbook=06_01.xlsx&amp;sheet=A0&amp;row=235&amp;col=11&amp;number=&amp;sourceID=11","")</f>
        <v/>
      </c>
      <c r="L235" s="4" t="str">
        <f>HYPERLINK("http://141.218.60.56/~jnz1568/getInfo.php?workbook=06_01.xlsx&amp;sheet=A0&amp;row=235&amp;col=12&amp;number=&amp;sourceID=11","")</f>
        <v/>
      </c>
      <c r="M235" s="4" t="str">
        <f>HYPERLINK("http://141.218.60.56/~jnz1568/getInfo.php?workbook=06_01.xlsx&amp;sheet=A0&amp;row=235&amp;col=13&amp;number=&amp;sourceID=11","")</f>
        <v/>
      </c>
      <c r="N235" s="4" t="str">
        <f>HYPERLINK("http://141.218.60.56/~jnz1568/getInfo.php?workbook=06_01.xlsx&amp;sheet=A0&amp;row=235&amp;col=14&amp;number=0.16518&amp;sourceID=12","0.16518")</f>
        <v>0.16518</v>
      </c>
      <c r="O235" s="4" t="str">
        <f>HYPERLINK("http://141.218.60.56/~jnz1568/getInfo.php?workbook=06_01.xlsx&amp;sheet=A0&amp;row=235&amp;col=15&amp;number=&amp;sourceID=12","")</f>
        <v/>
      </c>
      <c r="P235" s="4" t="str">
        <f>HYPERLINK("http://141.218.60.56/~jnz1568/getInfo.php?workbook=06_01.xlsx&amp;sheet=A0&amp;row=235&amp;col=16&amp;number=&amp;sourceID=12","")</f>
        <v/>
      </c>
      <c r="Q235" s="4" t="str">
        <f>HYPERLINK("http://141.218.60.56/~jnz1568/getInfo.php?workbook=06_01.xlsx&amp;sheet=A0&amp;row=235&amp;col=17&amp;number=0.16518&amp;sourceID=12","0.16518")</f>
        <v>0.16518</v>
      </c>
      <c r="R235" s="4" t="str">
        <f>HYPERLINK("http://141.218.60.56/~jnz1568/getInfo.php?workbook=06_01.xlsx&amp;sheet=A0&amp;row=235&amp;col=18&amp;number=&amp;sourceID=12","")</f>
        <v/>
      </c>
      <c r="S235" s="4" t="str">
        <f>HYPERLINK("http://141.218.60.56/~jnz1568/getInfo.php?workbook=06_01.xlsx&amp;sheet=A0&amp;row=235&amp;col=19&amp;number=&amp;sourceID=12","")</f>
        <v/>
      </c>
      <c r="T235" s="4" t="str">
        <f>HYPERLINK("http://141.218.60.56/~jnz1568/getInfo.php?workbook=06_01.xlsx&amp;sheet=A0&amp;row=235&amp;col=20&amp;number=&amp;sourceID=12","")</f>
        <v/>
      </c>
      <c r="U235" s="4" t="str">
        <f>HYPERLINK("http://141.218.60.56/~jnz1568/getInfo.php?workbook=06_01.xlsx&amp;sheet=A0&amp;row=235&amp;col=21&amp;number=&amp;sourceID=13","")</f>
        <v/>
      </c>
      <c r="V235" s="4" t="str">
        <f>HYPERLINK("http://141.218.60.56/~jnz1568/getInfo.php?workbook=06_01.xlsx&amp;sheet=A0&amp;row=235&amp;col=22&amp;number=&amp;sourceID=13","")</f>
        <v/>
      </c>
      <c r="W235" s="4" t="str">
        <f>HYPERLINK("http://141.218.60.56/~jnz1568/getInfo.php?workbook=06_01.xlsx&amp;sheet=A0&amp;row=235&amp;col=23&amp;number=&amp;sourceID=13","")</f>
        <v/>
      </c>
      <c r="X235" s="4" t="str">
        <f>HYPERLINK("http://141.218.60.56/~jnz1568/getInfo.php?workbook=06_01.xlsx&amp;sheet=A0&amp;row=235&amp;col=24&amp;number=&amp;sourceID=13","")</f>
        <v/>
      </c>
      <c r="Y235" s="4" t="str">
        <f>HYPERLINK("http://141.218.60.56/~jnz1568/getInfo.php?workbook=06_01.xlsx&amp;sheet=A0&amp;row=235&amp;col=25&amp;number=&amp;sourceID=13","")</f>
        <v/>
      </c>
      <c r="Z235" s="4" t="str">
        <f>HYPERLINK("http://141.218.60.56/~jnz1568/getInfo.php?workbook=06_01.xlsx&amp;sheet=A0&amp;row=235&amp;col=26&amp;number=&amp;sourceID=13","")</f>
        <v/>
      </c>
    </row>
    <row r="236" spans="1:26">
      <c r="A236" s="3">
        <v>6</v>
      </c>
      <c r="B236" s="3">
        <v>1</v>
      </c>
      <c r="C236" s="3">
        <v>23</v>
      </c>
      <c r="D236" s="3">
        <v>11</v>
      </c>
      <c r="E236" s="3">
        <f>((1/(INDEX(E0!J$4:J$28,C236,1)-INDEX(E0!J$4:J$28,D236,1))))*100000000</f>
        <v>0</v>
      </c>
      <c r="F236" s="4" t="str">
        <f>HYPERLINK("http://141.218.60.56/~jnz1568/getInfo.php?workbook=06_01.xlsx&amp;sheet=A0&amp;row=236&amp;col=6&amp;number=&amp;sourceID=18","")</f>
        <v/>
      </c>
      <c r="G236" s="4" t="str">
        <f>HYPERLINK("http://141.218.60.56/~jnz1568/getInfo.php?workbook=06_01.xlsx&amp;sheet=A0&amp;row=236&amp;col=7&amp;number==&amp;sourceID=11","=")</f>
        <v>=</v>
      </c>
      <c r="H236" s="4" t="str">
        <f>HYPERLINK("http://141.218.60.56/~jnz1568/getInfo.php?workbook=06_01.xlsx&amp;sheet=A0&amp;row=236&amp;col=8&amp;number=&amp;sourceID=11","")</f>
        <v/>
      </c>
      <c r="I236" s="4" t="str">
        <f>HYPERLINK("http://141.218.60.56/~jnz1568/getInfo.php?workbook=06_01.xlsx&amp;sheet=A0&amp;row=236&amp;col=9&amp;number=&amp;sourceID=11","")</f>
        <v/>
      </c>
      <c r="J236" s="4" t="str">
        <f>HYPERLINK("http://141.218.60.56/~jnz1568/getInfo.php?workbook=06_01.xlsx&amp;sheet=A0&amp;row=236&amp;col=10&amp;number=&amp;sourceID=11","")</f>
        <v/>
      </c>
      <c r="K236" s="4" t="str">
        <f>HYPERLINK("http://141.218.60.56/~jnz1568/getInfo.php?workbook=06_01.xlsx&amp;sheet=A0&amp;row=236&amp;col=11&amp;number=&amp;sourceID=11","")</f>
        <v/>
      </c>
      <c r="L236" s="4" t="str">
        <f>HYPERLINK("http://141.218.60.56/~jnz1568/getInfo.php?workbook=06_01.xlsx&amp;sheet=A0&amp;row=236&amp;col=12&amp;number=&amp;sourceID=11","")</f>
        <v/>
      </c>
      <c r="M236" s="4" t="str">
        <f>HYPERLINK("http://141.218.60.56/~jnz1568/getInfo.php?workbook=06_01.xlsx&amp;sheet=A0&amp;row=236&amp;col=13&amp;number=0&amp;sourceID=11","0")</f>
        <v>0</v>
      </c>
      <c r="N236" s="4" t="str">
        <f>HYPERLINK("http://141.218.60.56/~jnz1568/getInfo.php?workbook=06_01.xlsx&amp;sheet=A0&amp;row=236&amp;col=14&amp;number=0&amp;sourceID=12","0")</f>
        <v>0</v>
      </c>
      <c r="O236" s="4" t="str">
        <f>HYPERLINK("http://141.218.60.56/~jnz1568/getInfo.php?workbook=06_01.xlsx&amp;sheet=A0&amp;row=236&amp;col=15&amp;number=&amp;sourceID=12","")</f>
        <v/>
      </c>
      <c r="P236" s="4" t="str">
        <f>HYPERLINK("http://141.218.60.56/~jnz1568/getInfo.php?workbook=06_01.xlsx&amp;sheet=A0&amp;row=236&amp;col=16&amp;number=&amp;sourceID=12","")</f>
        <v/>
      </c>
      <c r="Q236" s="4" t="str">
        <f>HYPERLINK("http://141.218.60.56/~jnz1568/getInfo.php?workbook=06_01.xlsx&amp;sheet=A0&amp;row=236&amp;col=17&amp;number=&amp;sourceID=12","")</f>
        <v/>
      </c>
      <c r="R236" s="4" t="str">
        <f>HYPERLINK("http://141.218.60.56/~jnz1568/getInfo.php?workbook=06_01.xlsx&amp;sheet=A0&amp;row=236&amp;col=18&amp;number=&amp;sourceID=12","")</f>
        <v/>
      </c>
      <c r="S236" s="4" t="str">
        <f>HYPERLINK("http://141.218.60.56/~jnz1568/getInfo.php?workbook=06_01.xlsx&amp;sheet=A0&amp;row=236&amp;col=19&amp;number=&amp;sourceID=12","")</f>
        <v/>
      </c>
      <c r="T236" s="4" t="str">
        <f>HYPERLINK("http://141.218.60.56/~jnz1568/getInfo.php?workbook=06_01.xlsx&amp;sheet=A0&amp;row=236&amp;col=20&amp;number=0&amp;sourceID=12","0")</f>
        <v>0</v>
      </c>
      <c r="U236" s="4" t="str">
        <f>HYPERLINK("http://141.218.60.56/~jnz1568/getInfo.php?workbook=06_01.xlsx&amp;sheet=A0&amp;row=236&amp;col=21&amp;number=&amp;sourceID=13","")</f>
        <v/>
      </c>
      <c r="V236" s="4" t="str">
        <f>HYPERLINK("http://141.218.60.56/~jnz1568/getInfo.php?workbook=06_01.xlsx&amp;sheet=A0&amp;row=236&amp;col=22&amp;number=&amp;sourceID=13","")</f>
        <v/>
      </c>
      <c r="W236" s="4" t="str">
        <f>HYPERLINK("http://141.218.60.56/~jnz1568/getInfo.php?workbook=06_01.xlsx&amp;sheet=A0&amp;row=236&amp;col=23&amp;number=&amp;sourceID=13","")</f>
        <v/>
      </c>
      <c r="X236" s="4" t="str">
        <f>HYPERLINK("http://141.218.60.56/~jnz1568/getInfo.php?workbook=06_01.xlsx&amp;sheet=A0&amp;row=236&amp;col=24&amp;number=&amp;sourceID=13","")</f>
        <v/>
      </c>
      <c r="Y236" s="4" t="str">
        <f>HYPERLINK("http://141.218.60.56/~jnz1568/getInfo.php?workbook=06_01.xlsx&amp;sheet=A0&amp;row=236&amp;col=25&amp;number=&amp;sourceID=13","")</f>
        <v/>
      </c>
      <c r="Z236" s="4" t="str">
        <f>HYPERLINK("http://141.218.60.56/~jnz1568/getInfo.php?workbook=06_01.xlsx&amp;sheet=A0&amp;row=236&amp;col=26&amp;number=&amp;sourceID=13","")</f>
        <v/>
      </c>
    </row>
    <row r="237" spans="1:26">
      <c r="A237" s="3">
        <v>6</v>
      </c>
      <c r="B237" s="3">
        <v>1</v>
      </c>
      <c r="C237" s="3">
        <v>23</v>
      </c>
      <c r="D237" s="3">
        <v>12</v>
      </c>
      <c r="E237" s="3">
        <f>((1/(INDEX(E0!J$4:J$28,C237,1)-INDEX(E0!J$4:J$28,D237,1))))*100000000</f>
        <v>0</v>
      </c>
      <c r="F237" s="4" t="str">
        <f>HYPERLINK("http://141.218.60.56/~jnz1568/getInfo.php?workbook=06_01.xlsx&amp;sheet=A0&amp;row=237&amp;col=6&amp;number=&amp;sourceID=18","")</f>
        <v/>
      </c>
      <c r="G237" s="4" t="str">
        <f>HYPERLINK("http://141.218.60.56/~jnz1568/getInfo.php?workbook=06_01.xlsx&amp;sheet=A0&amp;row=237&amp;col=7&amp;number==&amp;sourceID=11","=")</f>
        <v>=</v>
      </c>
      <c r="H237" s="4" t="str">
        <f>HYPERLINK("http://141.218.60.56/~jnz1568/getInfo.php?workbook=06_01.xlsx&amp;sheet=A0&amp;row=237&amp;col=8&amp;number=&amp;sourceID=11","")</f>
        <v/>
      </c>
      <c r="I237" s="4" t="str">
        <f>HYPERLINK("http://141.218.60.56/~jnz1568/getInfo.php?workbook=06_01.xlsx&amp;sheet=A0&amp;row=237&amp;col=9&amp;number=42016&amp;sourceID=11","42016")</f>
        <v>42016</v>
      </c>
      <c r="J237" s="4" t="str">
        <f>HYPERLINK("http://141.218.60.56/~jnz1568/getInfo.php?workbook=06_01.xlsx&amp;sheet=A0&amp;row=237&amp;col=10&amp;number=&amp;sourceID=11","")</f>
        <v/>
      </c>
      <c r="K237" s="4" t="str">
        <f>HYPERLINK("http://141.218.60.56/~jnz1568/getInfo.php?workbook=06_01.xlsx&amp;sheet=A0&amp;row=237&amp;col=11&amp;number=&amp;sourceID=11","")</f>
        <v/>
      </c>
      <c r="L237" s="4" t="str">
        <f>HYPERLINK("http://141.218.60.56/~jnz1568/getInfo.php?workbook=06_01.xlsx&amp;sheet=A0&amp;row=237&amp;col=12&amp;number=&amp;sourceID=11","")</f>
        <v/>
      </c>
      <c r="M237" s="4" t="str">
        <f>HYPERLINK("http://141.218.60.56/~jnz1568/getInfo.php?workbook=06_01.xlsx&amp;sheet=A0&amp;row=237&amp;col=13&amp;number=4.6561e-07&amp;sourceID=11","4.6561e-07")</f>
        <v>4.6561e-07</v>
      </c>
      <c r="N237" s="4" t="str">
        <f>HYPERLINK("http://141.218.60.56/~jnz1568/getInfo.php?workbook=06_01.xlsx&amp;sheet=A0&amp;row=237&amp;col=14&amp;number=42018&amp;sourceID=12","42018")</f>
        <v>42018</v>
      </c>
      <c r="O237" s="4" t="str">
        <f>HYPERLINK("http://141.218.60.56/~jnz1568/getInfo.php?workbook=06_01.xlsx&amp;sheet=A0&amp;row=237&amp;col=15&amp;number=&amp;sourceID=12","")</f>
        <v/>
      </c>
      <c r="P237" s="4" t="str">
        <f>HYPERLINK("http://141.218.60.56/~jnz1568/getInfo.php?workbook=06_01.xlsx&amp;sheet=A0&amp;row=237&amp;col=16&amp;number=42018&amp;sourceID=12","42018")</f>
        <v>42018</v>
      </c>
      <c r="Q237" s="4" t="str">
        <f>HYPERLINK("http://141.218.60.56/~jnz1568/getInfo.php?workbook=06_01.xlsx&amp;sheet=A0&amp;row=237&amp;col=17&amp;number=&amp;sourceID=12","")</f>
        <v/>
      </c>
      <c r="R237" s="4" t="str">
        <f>HYPERLINK("http://141.218.60.56/~jnz1568/getInfo.php?workbook=06_01.xlsx&amp;sheet=A0&amp;row=237&amp;col=18&amp;number=&amp;sourceID=12","")</f>
        <v/>
      </c>
      <c r="S237" s="4" t="str">
        <f>HYPERLINK("http://141.218.60.56/~jnz1568/getInfo.php?workbook=06_01.xlsx&amp;sheet=A0&amp;row=237&amp;col=19&amp;number=&amp;sourceID=12","")</f>
        <v/>
      </c>
      <c r="T237" s="4" t="str">
        <f>HYPERLINK("http://141.218.60.56/~jnz1568/getInfo.php?workbook=06_01.xlsx&amp;sheet=A0&amp;row=237&amp;col=20&amp;number=4.6563e-07&amp;sourceID=12","4.6563e-07")</f>
        <v>4.6563e-07</v>
      </c>
      <c r="U237" s="4" t="str">
        <f>HYPERLINK("http://141.218.60.56/~jnz1568/getInfo.php?workbook=06_01.xlsx&amp;sheet=A0&amp;row=237&amp;col=21&amp;number=&amp;sourceID=13","")</f>
        <v/>
      </c>
      <c r="V237" s="4" t="str">
        <f>HYPERLINK("http://141.218.60.56/~jnz1568/getInfo.php?workbook=06_01.xlsx&amp;sheet=A0&amp;row=237&amp;col=22&amp;number=&amp;sourceID=13","")</f>
        <v/>
      </c>
      <c r="W237" s="4" t="str">
        <f>HYPERLINK("http://141.218.60.56/~jnz1568/getInfo.php?workbook=06_01.xlsx&amp;sheet=A0&amp;row=237&amp;col=23&amp;number=&amp;sourceID=13","")</f>
        <v/>
      </c>
      <c r="X237" s="4" t="str">
        <f>HYPERLINK("http://141.218.60.56/~jnz1568/getInfo.php?workbook=06_01.xlsx&amp;sheet=A0&amp;row=237&amp;col=24&amp;number=&amp;sourceID=13","")</f>
        <v/>
      </c>
      <c r="Y237" s="4" t="str">
        <f>HYPERLINK("http://141.218.60.56/~jnz1568/getInfo.php?workbook=06_01.xlsx&amp;sheet=A0&amp;row=237&amp;col=25&amp;number=&amp;sourceID=13","")</f>
        <v/>
      </c>
      <c r="Z237" s="4" t="str">
        <f>HYPERLINK("http://141.218.60.56/~jnz1568/getInfo.php?workbook=06_01.xlsx&amp;sheet=A0&amp;row=237&amp;col=26&amp;number=&amp;sourceID=13","")</f>
        <v/>
      </c>
    </row>
    <row r="238" spans="1:26">
      <c r="A238" s="3">
        <v>6</v>
      </c>
      <c r="B238" s="3">
        <v>1</v>
      </c>
      <c r="C238" s="3">
        <v>23</v>
      </c>
      <c r="D238" s="3">
        <v>13</v>
      </c>
      <c r="E238" s="3">
        <f>((1/(INDEX(E0!J$4:J$28,C238,1)-INDEX(E0!J$4:J$28,D238,1))))*100000000</f>
        <v>0</v>
      </c>
      <c r="F238" s="4" t="str">
        <f>HYPERLINK("http://141.218.60.56/~jnz1568/getInfo.php?workbook=06_01.xlsx&amp;sheet=A0&amp;row=238&amp;col=6&amp;number=&amp;sourceID=18","")</f>
        <v/>
      </c>
      <c r="G238" s="4" t="str">
        <f>HYPERLINK("http://141.218.60.56/~jnz1568/getInfo.php?workbook=06_01.xlsx&amp;sheet=A0&amp;row=238&amp;col=7&amp;number==&amp;sourceID=11","=")</f>
        <v>=</v>
      </c>
      <c r="H238" s="4" t="str">
        <f>HYPERLINK("http://141.218.60.56/~jnz1568/getInfo.php?workbook=06_01.xlsx&amp;sheet=A0&amp;row=238&amp;col=8&amp;number=&amp;sourceID=11","")</f>
        <v/>
      </c>
      <c r="I238" s="4" t="str">
        <f>HYPERLINK("http://141.218.60.56/~jnz1568/getInfo.php?workbook=06_01.xlsx&amp;sheet=A0&amp;row=238&amp;col=9&amp;number=&amp;sourceID=11","")</f>
        <v/>
      </c>
      <c r="J238" s="4" t="str">
        <f>HYPERLINK("http://141.218.60.56/~jnz1568/getInfo.php?workbook=06_01.xlsx&amp;sheet=A0&amp;row=238&amp;col=10&amp;number=0.054857&amp;sourceID=11","0.054857")</f>
        <v>0.054857</v>
      </c>
      <c r="K238" s="4" t="str">
        <f>HYPERLINK("http://141.218.60.56/~jnz1568/getInfo.php?workbook=06_01.xlsx&amp;sheet=A0&amp;row=238&amp;col=11&amp;number=&amp;sourceID=11","")</f>
        <v/>
      </c>
      <c r="L238" s="4" t="str">
        <f>HYPERLINK("http://141.218.60.56/~jnz1568/getInfo.php?workbook=06_01.xlsx&amp;sheet=A0&amp;row=238&amp;col=12&amp;number=2.1411e-11&amp;sourceID=11","2.1411e-11")</f>
        <v>2.1411e-11</v>
      </c>
      <c r="M238" s="4" t="str">
        <f>HYPERLINK("http://141.218.60.56/~jnz1568/getInfo.php?workbook=06_01.xlsx&amp;sheet=A0&amp;row=238&amp;col=13&amp;number=&amp;sourceID=11","")</f>
        <v/>
      </c>
      <c r="N238" s="4" t="str">
        <f>HYPERLINK("http://141.218.60.56/~jnz1568/getInfo.php?workbook=06_01.xlsx&amp;sheet=A0&amp;row=238&amp;col=14&amp;number=0.054859&amp;sourceID=12","0.054859")</f>
        <v>0.054859</v>
      </c>
      <c r="O238" s="4" t="str">
        <f>HYPERLINK("http://141.218.60.56/~jnz1568/getInfo.php?workbook=06_01.xlsx&amp;sheet=A0&amp;row=238&amp;col=15&amp;number=&amp;sourceID=12","")</f>
        <v/>
      </c>
      <c r="P238" s="4" t="str">
        <f>HYPERLINK("http://141.218.60.56/~jnz1568/getInfo.php?workbook=06_01.xlsx&amp;sheet=A0&amp;row=238&amp;col=16&amp;number=&amp;sourceID=12","")</f>
        <v/>
      </c>
      <c r="Q238" s="4" t="str">
        <f>HYPERLINK("http://141.218.60.56/~jnz1568/getInfo.php?workbook=06_01.xlsx&amp;sheet=A0&amp;row=238&amp;col=17&amp;number=0.054859&amp;sourceID=12","0.054859")</f>
        <v>0.054859</v>
      </c>
      <c r="R238" s="4" t="str">
        <f>HYPERLINK("http://141.218.60.56/~jnz1568/getInfo.php?workbook=06_01.xlsx&amp;sheet=A0&amp;row=238&amp;col=18&amp;number=&amp;sourceID=12","")</f>
        <v/>
      </c>
      <c r="S238" s="4" t="str">
        <f>HYPERLINK("http://141.218.60.56/~jnz1568/getInfo.php?workbook=06_01.xlsx&amp;sheet=A0&amp;row=238&amp;col=19&amp;number=2.141e-11&amp;sourceID=12","2.141e-11")</f>
        <v>2.141e-11</v>
      </c>
      <c r="T238" s="4" t="str">
        <f>HYPERLINK("http://141.218.60.56/~jnz1568/getInfo.php?workbook=06_01.xlsx&amp;sheet=A0&amp;row=238&amp;col=20&amp;number=&amp;sourceID=12","")</f>
        <v/>
      </c>
      <c r="U238" s="4" t="str">
        <f>HYPERLINK("http://141.218.60.56/~jnz1568/getInfo.php?workbook=06_01.xlsx&amp;sheet=A0&amp;row=238&amp;col=21&amp;number=&amp;sourceID=13","")</f>
        <v/>
      </c>
      <c r="V238" s="4" t="str">
        <f>HYPERLINK("http://141.218.60.56/~jnz1568/getInfo.php?workbook=06_01.xlsx&amp;sheet=A0&amp;row=238&amp;col=22&amp;number=&amp;sourceID=13","")</f>
        <v/>
      </c>
      <c r="W238" s="4" t="str">
        <f>HYPERLINK("http://141.218.60.56/~jnz1568/getInfo.php?workbook=06_01.xlsx&amp;sheet=A0&amp;row=238&amp;col=23&amp;number=&amp;sourceID=13","")</f>
        <v/>
      </c>
      <c r="X238" s="4" t="str">
        <f>HYPERLINK("http://141.218.60.56/~jnz1568/getInfo.php?workbook=06_01.xlsx&amp;sheet=A0&amp;row=238&amp;col=24&amp;number=&amp;sourceID=13","")</f>
        <v/>
      </c>
      <c r="Y238" s="4" t="str">
        <f>HYPERLINK("http://141.218.60.56/~jnz1568/getInfo.php?workbook=06_01.xlsx&amp;sheet=A0&amp;row=238&amp;col=25&amp;number=&amp;sourceID=13","")</f>
        <v/>
      </c>
      <c r="Z238" s="4" t="str">
        <f>HYPERLINK("http://141.218.60.56/~jnz1568/getInfo.php?workbook=06_01.xlsx&amp;sheet=A0&amp;row=238&amp;col=26&amp;number=&amp;sourceID=13","")</f>
        <v/>
      </c>
    </row>
    <row r="239" spans="1:26">
      <c r="A239" s="3">
        <v>6</v>
      </c>
      <c r="B239" s="3">
        <v>1</v>
      </c>
      <c r="C239" s="3">
        <v>23</v>
      </c>
      <c r="D239" s="3">
        <v>14</v>
      </c>
      <c r="E239" s="3">
        <f>((1/(INDEX(E0!J$4:J$28,C239,1)-INDEX(E0!J$4:J$28,D239,1))))*100000000</f>
        <v>0</v>
      </c>
      <c r="F239" s="4" t="str">
        <f>HYPERLINK("http://141.218.60.56/~jnz1568/getInfo.php?workbook=06_01.xlsx&amp;sheet=A0&amp;row=239&amp;col=6&amp;number=&amp;sourceID=18","")</f>
        <v/>
      </c>
      <c r="G239" s="4" t="str">
        <f>HYPERLINK("http://141.218.60.56/~jnz1568/getInfo.php?workbook=06_01.xlsx&amp;sheet=A0&amp;row=239&amp;col=7&amp;number==&amp;sourceID=11","=")</f>
        <v>=</v>
      </c>
      <c r="H239" s="4" t="str">
        <f>HYPERLINK("http://141.218.60.56/~jnz1568/getInfo.php?workbook=06_01.xlsx&amp;sheet=A0&amp;row=239&amp;col=8&amp;number=5319700000&amp;sourceID=11","5319700000")</f>
        <v>5319700000</v>
      </c>
      <c r="I239" s="4" t="str">
        <f>HYPERLINK("http://141.218.60.56/~jnz1568/getInfo.php?workbook=06_01.xlsx&amp;sheet=A0&amp;row=239&amp;col=9&amp;number=&amp;sourceID=11","")</f>
        <v/>
      </c>
      <c r="J239" s="4" t="str">
        <f>HYPERLINK("http://141.218.60.56/~jnz1568/getInfo.php?workbook=06_01.xlsx&amp;sheet=A0&amp;row=239&amp;col=10&amp;number=0.056335&amp;sourceID=11","0.056335")</f>
        <v>0.056335</v>
      </c>
      <c r="K239" s="4" t="str">
        <f>HYPERLINK("http://141.218.60.56/~jnz1568/getInfo.php?workbook=06_01.xlsx&amp;sheet=A0&amp;row=239&amp;col=11&amp;number=&amp;sourceID=11","")</f>
        <v/>
      </c>
      <c r="L239" s="4" t="str">
        <f>HYPERLINK("http://141.218.60.56/~jnz1568/getInfo.php?workbook=06_01.xlsx&amp;sheet=A0&amp;row=239&amp;col=12&amp;number=0.2807&amp;sourceID=11","0.2807")</f>
        <v>0.2807</v>
      </c>
      <c r="M239" s="4" t="str">
        <f>HYPERLINK("http://141.218.60.56/~jnz1568/getInfo.php?workbook=06_01.xlsx&amp;sheet=A0&amp;row=239&amp;col=13&amp;number=&amp;sourceID=11","")</f>
        <v/>
      </c>
      <c r="N239" s="4" t="str">
        <f>HYPERLINK("http://141.218.60.56/~jnz1568/getInfo.php?workbook=06_01.xlsx&amp;sheet=A0&amp;row=239&amp;col=14&amp;number=5319900000&amp;sourceID=12","5319900000")</f>
        <v>5319900000</v>
      </c>
      <c r="O239" s="4" t="str">
        <f>HYPERLINK("http://141.218.60.56/~jnz1568/getInfo.php?workbook=06_01.xlsx&amp;sheet=A0&amp;row=239&amp;col=15&amp;number=5319900000&amp;sourceID=12","5319900000")</f>
        <v>5319900000</v>
      </c>
      <c r="P239" s="4" t="str">
        <f>HYPERLINK("http://141.218.60.56/~jnz1568/getInfo.php?workbook=06_01.xlsx&amp;sheet=A0&amp;row=239&amp;col=16&amp;number=&amp;sourceID=12","")</f>
        <v/>
      </c>
      <c r="Q239" s="4" t="str">
        <f>HYPERLINK("http://141.218.60.56/~jnz1568/getInfo.php?workbook=06_01.xlsx&amp;sheet=A0&amp;row=239&amp;col=17&amp;number=0.056338&amp;sourceID=12","0.056338")</f>
        <v>0.056338</v>
      </c>
      <c r="R239" s="4" t="str">
        <f>HYPERLINK("http://141.218.60.56/~jnz1568/getInfo.php?workbook=06_01.xlsx&amp;sheet=A0&amp;row=239&amp;col=18&amp;number=&amp;sourceID=12","")</f>
        <v/>
      </c>
      <c r="S239" s="4" t="str">
        <f>HYPERLINK("http://141.218.60.56/~jnz1568/getInfo.php?workbook=06_01.xlsx&amp;sheet=A0&amp;row=239&amp;col=19&amp;number=0.28072&amp;sourceID=12","0.28072")</f>
        <v>0.28072</v>
      </c>
      <c r="T239" s="4" t="str">
        <f>HYPERLINK("http://141.218.60.56/~jnz1568/getInfo.php?workbook=06_01.xlsx&amp;sheet=A0&amp;row=239&amp;col=20&amp;number=&amp;sourceID=12","")</f>
        <v/>
      </c>
      <c r="U239" s="4" t="str">
        <f>HYPERLINK("http://141.218.60.56/~jnz1568/getInfo.php?workbook=06_01.xlsx&amp;sheet=A0&amp;row=239&amp;col=21&amp;number=&amp;sourceID=13","")</f>
        <v/>
      </c>
      <c r="V239" s="4" t="str">
        <f>HYPERLINK("http://141.218.60.56/~jnz1568/getInfo.php?workbook=06_01.xlsx&amp;sheet=A0&amp;row=239&amp;col=22&amp;number=&amp;sourceID=13","")</f>
        <v/>
      </c>
      <c r="W239" s="4" t="str">
        <f>HYPERLINK("http://141.218.60.56/~jnz1568/getInfo.php?workbook=06_01.xlsx&amp;sheet=A0&amp;row=239&amp;col=23&amp;number=&amp;sourceID=13","")</f>
        <v/>
      </c>
      <c r="X239" s="4" t="str">
        <f>HYPERLINK("http://141.218.60.56/~jnz1568/getInfo.php?workbook=06_01.xlsx&amp;sheet=A0&amp;row=239&amp;col=24&amp;number=&amp;sourceID=13","")</f>
        <v/>
      </c>
      <c r="Y239" s="4" t="str">
        <f>HYPERLINK("http://141.218.60.56/~jnz1568/getInfo.php?workbook=06_01.xlsx&amp;sheet=A0&amp;row=239&amp;col=25&amp;number=&amp;sourceID=13","")</f>
        <v/>
      </c>
      <c r="Z239" s="4" t="str">
        <f>HYPERLINK("http://141.218.60.56/~jnz1568/getInfo.php?workbook=06_01.xlsx&amp;sheet=A0&amp;row=239&amp;col=26&amp;number=&amp;sourceID=13","")</f>
        <v/>
      </c>
    </row>
    <row r="240" spans="1:26">
      <c r="A240" s="3">
        <v>6</v>
      </c>
      <c r="B240" s="3">
        <v>1</v>
      </c>
      <c r="C240" s="3">
        <v>23</v>
      </c>
      <c r="D240" s="3">
        <v>15</v>
      </c>
      <c r="E240" s="3">
        <f>((1/(INDEX(E0!J$4:J$28,C240,1)-INDEX(E0!J$4:J$28,D240,1))))*100000000</f>
        <v>0</v>
      </c>
      <c r="F240" s="4" t="str">
        <f>HYPERLINK("http://141.218.60.56/~jnz1568/getInfo.php?workbook=06_01.xlsx&amp;sheet=A0&amp;row=240&amp;col=6&amp;number=&amp;sourceID=18","")</f>
        <v/>
      </c>
      <c r="G240" s="4" t="str">
        <f>HYPERLINK("http://141.218.60.56/~jnz1568/getInfo.php?workbook=06_01.xlsx&amp;sheet=A0&amp;row=240&amp;col=7&amp;number==&amp;sourceID=11","=")</f>
        <v>=</v>
      </c>
      <c r="H240" s="4" t="str">
        <f>HYPERLINK("http://141.218.60.56/~jnz1568/getInfo.php?workbook=06_01.xlsx&amp;sheet=A0&amp;row=240&amp;col=8&amp;number=&amp;sourceID=11","")</f>
        <v/>
      </c>
      <c r="I240" s="4" t="str">
        <f>HYPERLINK("http://141.218.60.56/~jnz1568/getInfo.php?workbook=06_01.xlsx&amp;sheet=A0&amp;row=240&amp;col=9&amp;number=4664.7&amp;sourceID=11","4664.7")</f>
        <v>4664.7</v>
      </c>
      <c r="J240" s="4" t="str">
        <f>HYPERLINK("http://141.218.60.56/~jnz1568/getInfo.php?workbook=06_01.xlsx&amp;sheet=A0&amp;row=240&amp;col=10&amp;number=&amp;sourceID=11","")</f>
        <v/>
      </c>
      <c r="K240" s="4" t="str">
        <f>HYPERLINK("http://141.218.60.56/~jnz1568/getInfo.php?workbook=06_01.xlsx&amp;sheet=A0&amp;row=240&amp;col=11&amp;number=3.2396e-06&amp;sourceID=11","3.2396e-06")</f>
        <v>3.2396e-06</v>
      </c>
      <c r="L240" s="4" t="str">
        <f>HYPERLINK("http://141.218.60.56/~jnz1568/getInfo.php?workbook=06_01.xlsx&amp;sheet=A0&amp;row=240&amp;col=12&amp;number=&amp;sourceID=11","")</f>
        <v/>
      </c>
      <c r="M240" s="4" t="str">
        <f>HYPERLINK("http://141.218.60.56/~jnz1568/getInfo.php?workbook=06_01.xlsx&amp;sheet=A0&amp;row=240&amp;col=13&amp;number=1.7224e-08&amp;sourceID=11","1.7224e-08")</f>
        <v>1.7224e-08</v>
      </c>
      <c r="N240" s="4" t="str">
        <f>HYPERLINK("http://141.218.60.56/~jnz1568/getInfo.php?workbook=06_01.xlsx&amp;sheet=A0&amp;row=240&amp;col=14&amp;number=4664.9&amp;sourceID=12","4664.9")</f>
        <v>4664.9</v>
      </c>
      <c r="O240" s="4" t="str">
        <f>HYPERLINK("http://141.218.60.56/~jnz1568/getInfo.php?workbook=06_01.xlsx&amp;sheet=A0&amp;row=240&amp;col=15&amp;number=&amp;sourceID=12","")</f>
        <v/>
      </c>
      <c r="P240" s="4" t="str">
        <f>HYPERLINK("http://141.218.60.56/~jnz1568/getInfo.php?workbook=06_01.xlsx&amp;sheet=A0&amp;row=240&amp;col=16&amp;number=4664.9&amp;sourceID=12","4664.9")</f>
        <v>4664.9</v>
      </c>
      <c r="Q240" s="4" t="str">
        <f>HYPERLINK("http://141.218.60.56/~jnz1568/getInfo.php?workbook=06_01.xlsx&amp;sheet=A0&amp;row=240&amp;col=17&amp;number=&amp;sourceID=12","")</f>
        <v/>
      </c>
      <c r="R240" s="4" t="str">
        <f>HYPERLINK("http://141.218.60.56/~jnz1568/getInfo.php?workbook=06_01.xlsx&amp;sheet=A0&amp;row=240&amp;col=18&amp;number=3.2392e-06&amp;sourceID=12","3.2392e-06")</f>
        <v>3.2392e-06</v>
      </c>
      <c r="S240" s="4" t="str">
        <f>HYPERLINK("http://141.218.60.56/~jnz1568/getInfo.php?workbook=06_01.xlsx&amp;sheet=A0&amp;row=240&amp;col=19&amp;number=&amp;sourceID=12","")</f>
        <v/>
      </c>
      <c r="T240" s="4" t="str">
        <f>HYPERLINK("http://141.218.60.56/~jnz1568/getInfo.php?workbook=06_01.xlsx&amp;sheet=A0&amp;row=240&amp;col=20&amp;number=1.7225e-08&amp;sourceID=12","1.7225e-08")</f>
        <v>1.7225e-08</v>
      </c>
      <c r="U240" s="4" t="str">
        <f>HYPERLINK("http://141.218.60.56/~jnz1568/getInfo.php?workbook=06_01.xlsx&amp;sheet=A0&amp;row=240&amp;col=21&amp;number=&amp;sourceID=13","")</f>
        <v/>
      </c>
      <c r="V240" s="4" t="str">
        <f>HYPERLINK("http://141.218.60.56/~jnz1568/getInfo.php?workbook=06_01.xlsx&amp;sheet=A0&amp;row=240&amp;col=22&amp;number=&amp;sourceID=13","")</f>
        <v/>
      </c>
      <c r="W240" s="4" t="str">
        <f>HYPERLINK("http://141.218.60.56/~jnz1568/getInfo.php?workbook=06_01.xlsx&amp;sheet=A0&amp;row=240&amp;col=23&amp;number=&amp;sourceID=13","")</f>
        <v/>
      </c>
      <c r="X240" s="4" t="str">
        <f>HYPERLINK("http://141.218.60.56/~jnz1568/getInfo.php?workbook=06_01.xlsx&amp;sheet=A0&amp;row=240&amp;col=24&amp;number=&amp;sourceID=13","")</f>
        <v/>
      </c>
      <c r="Y240" s="4" t="str">
        <f>HYPERLINK("http://141.218.60.56/~jnz1568/getInfo.php?workbook=06_01.xlsx&amp;sheet=A0&amp;row=240&amp;col=25&amp;number=&amp;sourceID=13","")</f>
        <v/>
      </c>
      <c r="Z240" s="4" t="str">
        <f>HYPERLINK("http://141.218.60.56/~jnz1568/getInfo.php?workbook=06_01.xlsx&amp;sheet=A0&amp;row=240&amp;col=26&amp;number=&amp;sourceID=13","")</f>
        <v/>
      </c>
    </row>
    <row r="241" spans="1:26">
      <c r="A241" s="3">
        <v>6</v>
      </c>
      <c r="B241" s="3">
        <v>1</v>
      </c>
      <c r="C241" s="3">
        <v>23</v>
      </c>
      <c r="D241" s="3">
        <v>16</v>
      </c>
      <c r="E241" s="3">
        <f>((1/(INDEX(E0!J$4:J$28,C241,1)-INDEX(E0!J$4:J$28,D241,1))))*100000000</f>
        <v>0</v>
      </c>
      <c r="F241" s="4" t="str">
        <f>HYPERLINK("http://141.218.60.56/~jnz1568/getInfo.php?workbook=06_01.xlsx&amp;sheet=A0&amp;row=241&amp;col=6&amp;number=&amp;sourceID=18","")</f>
        <v/>
      </c>
      <c r="G241" s="4" t="str">
        <f>HYPERLINK("http://141.218.60.56/~jnz1568/getInfo.php?workbook=06_01.xlsx&amp;sheet=A0&amp;row=241&amp;col=7&amp;number==&amp;sourceID=11","=")</f>
        <v>=</v>
      </c>
      <c r="H241" s="4" t="str">
        <f>HYPERLINK("http://141.218.60.56/~jnz1568/getInfo.php?workbook=06_01.xlsx&amp;sheet=A0&amp;row=241&amp;col=8&amp;number=196990000&amp;sourceID=11","196990000")</f>
        <v>196990000</v>
      </c>
      <c r="I241" s="4" t="str">
        <f>HYPERLINK("http://141.218.60.56/~jnz1568/getInfo.php?workbook=06_01.xlsx&amp;sheet=A0&amp;row=241&amp;col=9&amp;number=&amp;sourceID=11","")</f>
        <v/>
      </c>
      <c r="J241" s="4" t="str">
        <f>HYPERLINK("http://141.218.60.56/~jnz1568/getInfo.php?workbook=06_01.xlsx&amp;sheet=A0&amp;row=241&amp;col=10&amp;number=0.015356&amp;sourceID=11","0.015356")</f>
        <v>0.015356</v>
      </c>
      <c r="K241" s="4" t="str">
        <f>HYPERLINK("http://141.218.60.56/~jnz1568/getInfo.php?workbook=06_01.xlsx&amp;sheet=A0&amp;row=241&amp;col=11&amp;number=&amp;sourceID=11","")</f>
        <v/>
      </c>
      <c r="L241" s="4" t="str">
        <f>HYPERLINK("http://141.218.60.56/~jnz1568/getInfo.php?workbook=06_01.xlsx&amp;sheet=A0&amp;row=241&amp;col=12&amp;number=&amp;sourceID=11","")</f>
        <v/>
      </c>
      <c r="M241" s="4" t="str">
        <f>HYPERLINK("http://141.218.60.56/~jnz1568/getInfo.php?workbook=06_01.xlsx&amp;sheet=A0&amp;row=241&amp;col=13&amp;number=&amp;sourceID=11","")</f>
        <v/>
      </c>
      <c r="N241" s="4" t="str">
        <f>HYPERLINK("http://141.218.60.56/~jnz1568/getInfo.php?workbook=06_01.xlsx&amp;sheet=A0&amp;row=241&amp;col=14&amp;number=197000000&amp;sourceID=12","197000000")</f>
        <v>197000000</v>
      </c>
      <c r="O241" s="4" t="str">
        <f>HYPERLINK("http://141.218.60.56/~jnz1568/getInfo.php?workbook=06_01.xlsx&amp;sheet=A0&amp;row=241&amp;col=15&amp;number=197000000&amp;sourceID=12","197000000")</f>
        <v>197000000</v>
      </c>
      <c r="P241" s="4" t="str">
        <f>HYPERLINK("http://141.218.60.56/~jnz1568/getInfo.php?workbook=06_01.xlsx&amp;sheet=A0&amp;row=241&amp;col=16&amp;number=&amp;sourceID=12","")</f>
        <v/>
      </c>
      <c r="Q241" s="4" t="str">
        <f>HYPERLINK("http://141.218.60.56/~jnz1568/getInfo.php?workbook=06_01.xlsx&amp;sheet=A0&amp;row=241&amp;col=17&amp;number=0.015357&amp;sourceID=12","0.015357")</f>
        <v>0.015357</v>
      </c>
      <c r="R241" s="4" t="str">
        <f>HYPERLINK("http://141.218.60.56/~jnz1568/getInfo.php?workbook=06_01.xlsx&amp;sheet=A0&amp;row=241&amp;col=18&amp;number=&amp;sourceID=12","")</f>
        <v/>
      </c>
      <c r="S241" s="4" t="str">
        <f>HYPERLINK("http://141.218.60.56/~jnz1568/getInfo.php?workbook=06_01.xlsx&amp;sheet=A0&amp;row=241&amp;col=19&amp;number=&amp;sourceID=12","")</f>
        <v/>
      </c>
      <c r="T241" s="4" t="str">
        <f>HYPERLINK("http://141.218.60.56/~jnz1568/getInfo.php?workbook=06_01.xlsx&amp;sheet=A0&amp;row=241&amp;col=20&amp;number=&amp;sourceID=12","")</f>
        <v/>
      </c>
      <c r="U241" s="4" t="str">
        <f>HYPERLINK("http://141.218.60.56/~jnz1568/getInfo.php?workbook=06_01.xlsx&amp;sheet=A0&amp;row=241&amp;col=21&amp;number=&amp;sourceID=13","")</f>
        <v/>
      </c>
      <c r="V241" s="4" t="str">
        <f>HYPERLINK("http://141.218.60.56/~jnz1568/getInfo.php?workbook=06_01.xlsx&amp;sheet=A0&amp;row=241&amp;col=22&amp;number=&amp;sourceID=13","")</f>
        <v/>
      </c>
      <c r="W241" s="4" t="str">
        <f>HYPERLINK("http://141.218.60.56/~jnz1568/getInfo.php?workbook=06_01.xlsx&amp;sheet=A0&amp;row=241&amp;col=23&amp;number=&amp;sourceID=13","")</f>
        <v/>
      </c>
      <c r="X241" s="4" t="str">
        <f>HYPERLINK("http://141.218.60.56/~jnz1568/getInfo.php?workbook=06_01.xlsx&amp;sheet=A0&amp;row=241&amp;col=24&amp;number=&amp;sourceID=13","")</f>
        <v/>
      </c>
      <c r="Y241" s="4" t="str">
        <f>HYPERLINK("http://141.218.60.56/~jnz1568/getInfo.php?workbook=06_01.xlsx&amp;sheet=A0&amp;row=241&amp;col=25&amp;number=&amp;sourceID=13","")</f>
        <v/>
      </c>
      <c r="Z241" s="4" t="str">
        <f>HYPERLINK("http://141.218.60.56/~jnz1568/getInfo.php?workbook=06_01.xlsx&amp;sheet=A0&amp;row=241&amp;col=26&amp;number=&amp;sourceID=13","")</f>
        <v/>
      </c>
    </row>
    <row r="242" spans="1:26">
      <c r="A242" s="3">
        <v>6</v>
      </c>
      <c r="B242" s="3">
        <v>1</v>
      </c>
      <c r="C242" s="3">
        <v>23</v>
      </c>
      <c r="D242" s="3">
        <v>17</v>
      </c>
      <c r="E242" s="3">
        <f>((1/(INDEX(E0!J$4:J$28,C242,1)-INDEX(E0!J$4:J$28,D242,1))))*100000000</f>
        <v>0</v>
      </c>
      <c r="F242" s="4" t="str">
        <f>HYPERLINK("http://141.218.60.56/~jnz1568/getInfo.php?workbook=06_01.xlsx&amp;sheet=A0&amp;row=242&amp;col=6&amp;number=&amp;sourceID=18","")</f>
        <v/>
      </c>
      <c r="G242" s="4" t="str">
        <f>HYPERLINK("http://141.218.60.56/~jnz1568/getInfo.php?workbook=06_01.xlsx&amp;sheet=A0&amp;row=242&amp;col=7&amp;number==&amp;sourceID=11","=")</f>
        <v>=</v>
      </c>
      <c r="H242" s="4" t="str">
        <f>HYPERLINK("http://141.218.60.56/~jnz1568/getInfo.php?workbook=06_01.xlsx&amp;sheet=A0&amp;row=242&amp;col=8&amp;number=&amp;sourceID=11","")</f>
        <v/>
      </c>
      <c r="I242" s="4" t="str">
        <f>HYPERLINK("http://141.218.60.56/~jnz1568/getInfo.php?workbook=06_01.xlsx&amp;sheet=A0&amp;row=242&amp;col=9&amp;number=&amp;sourceID=11","")</f>
        <v/>
      </c>
      <c r="J242" s="4" t="str">
        <f>HYPERLINK("http://141.218.60.56/~jnz1568/getInfo.php?workbook=06_01.xlsx&amp;sheet=A0&amp;row=242&amp;col=10&amp;number=0&amp;sourceID=11","0")</f>
        <v>0</v>
      </c>
      <c r="K242" s="4" t="str">
        <f>HYPERLINK("http://141.218.60.56/~jnz1568/getInfo.php?workbook=06_01.xlsx&amp;sheet=A0&amp;row=242&amp;col=11&amp;number=&amp;sourceID=11","")</f>
        <v/>
      </c>
      <c r="L242" s="4" t="str">
        <f>HYPERLINK("http://141.218.60.56/~jnz1568/getInfo.php?workbook=06_01.xlsx&amp;sheet=A0&amp;row=242&amp;col=12&amp;number=&amp;sourceID=11","")</f>
        <v/>
      </c>
      <c r="M242" s="4" t="str">
        <f>HYPERLINK("http://141.218.60.56/~jnz1568/getInfo.php?workbook=06_01.xlsx&amp;sheet=A0&amp;row=242&amp;col=13&amp;number=&amp;sourceID=11","")</f>
        <v/>
      </c>
      <c r="N242" s="4" t="str">
        <f>HYPERLINK("http://141.218.60.56/~jnz1568/getInfo.php?workbook=06_01.xlsx&amp;sheet=A0&amp;row=242&amp;col=14&amp;number=0&amp;sourceID=12","0")</f>
        <v>0</v>
      </c>
      <c r="O242" s="4" t="str">
        <f>HYPERLINK("http://141.218.60.56/~jnz1568/getInfo.php?workbook=06_01.xlsx&amp;sheet=A0&amp;row=242&amp;col=15&amp;number=&amp;sourceID=12","")</f>
        <v/>
      </c>
      <c r="P242" s="4" t="str">
        <f>HYPERLINK("http://141.218.60.56/~jnz1568/getInfo.php?workbook=06_01.xlsx&amp;sheet=A0&amp;row=242&amp;col=16&amp;number=&amp;sourceID=12","")</f>
        <v/>
      </c>
      <c r="Q242" s="4" t="str">
        <f>HYPERLINK("http://141.218.60.56/~jnz1568/getInfo.php?workbook=06_01.xlsx&amp;sheet=A0&amp;row=242&amp;col=17&amp;number=0&amp;sourceID=12","0")</f>
        <v>0</v>
      </c>
      <c r="R242" s="4" t="str">
        <f>HYPERLINK("http://141.218.60.56/~jnz1568/getInfo.php?workbook=06_01.xlsx&amp;sheet=A0&amp;row=242&amp;col=18&amp;number=&amp;sourceID=12","")</f>
        <v/>
      </c>
      <c r="S242" s="4" t="str">
        <f>HYPERLINK("http://141.218.60.56/~jnz1568/getInfo.php?workbook=06_01.xlsx&amp;sheet=A0&amp;row=242&amp;col=19&amp;number=&amp;sourceID=12","")</f>
        <v/>
      </c>
      <c r="T242" s="4" t="str">
        <f>HYPERLINK("http://141.218.60.56/~jnz1568/getInfo.php?workbook=06_01.xlsx&amp;sheet=A0&amp;row=242&amp;col=20&amp;number=&amp;sourceID=12","")</f>
        <v/>
      </c>
      <c r="U242" s="4" t="str">
        <f>HYPERLINK("http://141.218.60.56/~jnz1568/getInfo.php?workbook=06_01.xlsx&amp;sheet=A0&amp;row=242&amp;col=21&amp;number=&amp;sourceID=13","")</f>
        <v/>
      </c>
      <c r="V242" s="4" t="str">
        <f>HYPERLINK("http://141.218.60.56/~jnz1568/getInfo.php?workbook=06_01.xlsx&amp;sheet=A0&amp;row=242&amp;col=22&amp;number=&amp;sourceID=13","")</f>
        <v/>
      </c>
      <c r="W242" s="4" t="str">
        <f>HYPERLINK("http://141.218.60.56/~jnz1568/getInfo.php?workbook=06_01.xlsx&amp;sheet=A0&amp;row=242&amp;col=23&amp;number=&amp;sourceID=13","")</f>
        <v/>
      </c>
      <c r="X242" s="4" t="str">
        <f>HYPERLINK("http://141.218.60.56/~jnz1568/getInfo.php?workbook=06_01.xlsx&amp;sheet=A0&amp;row=242&amp;col=24&amp;number=&amp;sourceID=13","")</f>
        <v/>
      </c>
      <c r="Y242" s="4" t="str">
        <f>HYPERLINK("http://141.218.60.56/~jnz1568/getInfo.php?workbook=06_01.xlsx&amp;sheet=A0&amp;row=242&amp;col=25&amp;number=&amp;sourceID=13","")</f>
        <v/>
      </c>
      <c r="Z242" s="4" t="str">
        <f>HYPERLINK("http://141.218.60.56/~jnz1568/getInfo.php?workbook=06_01.xlsx&amp;sheet=A0&amp;row=242&amp;col=26&amp;number=&amp;sourceID=13","")</f>
        <v/>
      </c>
    </row>
    <row r="243" spans="1:26">
      <c r="A243" s="3">
        <v>6</v>
      </c>
      <c r="B243" s="3">
        <v>1</v>
      </c>
      <c r="C243" s="3">
        <v>23</v>
      </c>
      <c r="D243" s="3">
        <v>18</v>
      </c>
      <c r="E243" s="3">
        <f>((1/(INDEX(E0!J$4:J$28,C243,1)-INDEX(E0!J$4:J$28,D243,1))))*100000000</f>
        <v>0</v>
      </c>
      <c r="F243" s="4" t="str">
        <f>HYPERLINK("http://141.218.60.56/~jnz1568/getInfo.php?workbook=06_01.xlsx&amp;sheet=A0&amp;row=243&amp;col=6&amp;number=&amp;sourceID=18","")</f>
        <v/>
      </c>
      <c r="G243" s="4" t="str">
        <f>HYPERLINK("http://141.218.60.56/~jnz1568/getInfo.php?workbook=06_01.xlsx&amp;sheet=A0&amp;row=243&amp;col=7&amp;number==&amp;sourceID=11","=")</f>
        <v>=</v>
      </c>
      <c r="H243" s="4" t="str">
        <f>HYPERLINK("http://141.218.60.56/~jnz1568/getInfo.php?workbook=06_01.xlsx&amp;sheet=A0&amp;row=243&amp;col=8&amp;number=&amp;sourceID=11","")</f>
        <v/>
      </c>
      <c r="I243" s="4" t="str">
        <f>HYPERLINK("http://141.218.60.56/~jnz1568/getInfo.php?workbook=06_01.xlsx&amp;sheet=A0&amp;row=243&amp;col=9&amp;number=&amp;sourceID=11","")</f>
        <v/>
      </c>
      <c r="J243" s="4" t="str">
        <f>HYPERLINK("http://141.218.60.56/~jnz1568/getInfo.php?workbook=06_01.xlsx&amp;sheet=A0&amp;row=243&amp;col=10&amp;number=&amp;sourceID=11","")</f>
        <v/>
      </c>
      <c r="K243" s="4" t="str">
        <f>HYPERLINK("http://141.218.60.56/~jnz1568/getInfo.php?workbook=06_01.xlsx&amp;sheet=A0&amp;row=243&amp;col=11&amp;number=&amp;sourceID=11","")</f>
        <v/>
      </c>
      <c r="L243" s="4" t="str">
        <f>HYPERLINK("http://141.218.60.56/~jnz1568/getInfo.php?workbook=06_01.xlsx&amp;sheet=A0&amp;row=243&amp;col=12&amp;number=&amp;sourceID=11","")</f>
        <v/>
      </c>
      <c r="M243" s="4" t="str">
        <f>HYPERLINK("http://141.218.60.56/~jnz1568/getInfo.php?workbook=06_01.xlsx&amp;sheet=A0&amp;row=243&amp;col=13&amp;number=0&amp;sourceID=11","0")</f>
        <v>0</v>
      </c>
      <c r="N243" s="4" t="str">
        <f>HYPERLINK("http://141.218.60.56/~jnz1568/getInfo.php?workbook=06_01.xlsx&amp;sheet=A0&amp;row=243&amp;col=14&amp;number=0&amp;sourceID=12","0")</f>
        <v>0</v>
      </c>
      <c r="O243" s="4" t="str">
        <f>HYPERLINK("http://141.218.60.56/~jnz1568/getInfo.php?workbook=06_01.xlsx&amp;sheet=A0&amp;row=243&amp;col=15&amp;number=&amp;sourceID=12","")</f>
        <v/>
      </c>
      <c r="P243" s="4" t="str">
        <f>HYPERLINK("http://141.218.60.56/~jnz1568/getInfo.php?workbook=06_01.xlsx&amp;sheet=A0&amp;row=243&amp;col=16&amp;number=&amp;sourceID=12","")</f>
        <v/>
      </c>
      <c r="Q243" s="4" t="str">
        <f>HYPERLINK("http://141.218.60.56/~jnz1568/getInfo.php?workbook=06_01.xlsx&amp;sheet=A0&amp;row=243&amp;col=17&amp;number=&amp;sourceID=12","")</f>
        <v/>
      </c>
      <c r="R243" s="4" t="str">
        <f>HYPERLINK("http://141.218.60.56/~jnz1568/getInfo.php?workbook=06_01.xlsx&amp;sheet=A0&amp;row=243&amp;col=18&amp;number=&amp;sourceID=12","")</f>
        <v/>
      </c>
      <c r="S243" s="4" t="str">
        <f>HYPERLINK("http://141.218.60.56/~jnz1568/getInfo.php?workbook=06_01.xlsx&amp;sheet=A0&amp;row=243&amp;col=19&amp;number=&amp;sourceID=12","")</f>
        <v/>
      </c>
      <c r="T243" s="4" t="str">
        <f>HYPERLINK("http://141.218.60.56/~jnz1568/getInfo.php?workbook=06_01.xlsx&amp;sheet=A0&amp;row=243&amp;col=20&amp;number=0&amp;sourceID=12","0")</f>
        <v>0</v>
      </c>
      <c r="U243" s="4" t="str">
        <f>HYPERLINK("http://141.218.60.56/~jnz1568/getInfo.php?workbook=06_01.xlsx&amp;sheet=A0&amp;row=243&amp;col=21&amp;number=&amp;sourceID=13","")</f>
        <v/>
      </c>
      <c r="V243" s="4" t="str">
        <f>HYPERLINK("http://141.218.60.56/~jnz1568/getInfo.php?workbook=06_01.xlsx&amp;sheet=A0&amp;row=243&amp;col=22&amp;number=&amp;sourceID=13","")</f>
        <v/>
      </c>
      <c r="W243" s="4" t="str">
        <f>HYPERLINK("http://141.218.60.56/~jnz1568/getInfo.php?workbook=06_01.xlsx&amp;sheet=A0&amp;row=243&amp;col=23&amp;number=&amp;sourceID=13","")</f>
        <v/>
      </c>
      <c r="X243" s="4" t="str">
        <f>HYPERLINK("http://141.218.60.56/~jnz1568/getInfo.php?workbook=06_01.xlsx&amp;sheet=A0&amp;row=243&amp;col=24&amp;number=&amp;sourceID=13","")</f>
        <v/>
      </c>
      <c r="Y243" s="4" t="str">
        <f>HYPERLINK("http://141.218.60.56/~jnz1568/getInfo.php?workbook=06_01.xlsx&amp;sheet=A0&amp;row=243&amp;col=25&amp;number=&amp;sourceID=13","")</f>
        <v/>
      </c>
      <c r="Z243" s="4" t="str">
        <f>HYPERLINK("http://141.218.60.56/~jnz1568/getInfo.php?workbook=06_01.xlsx&amp;sheet=A0&amp;row=243&amp;col=26&amp;number=&amp;sourceID=13","")</f>
        <v/>
      </c>
    </row>
    <row r="244" spans="1:26">
      <c r="A244" s="3">
        <v>6</v>
      </c>
      <c r="B244" s="3">
        <v>1</v>
      </c>
      <c r="C244" s="3">
        <v>23</v>
      </c>
      <c r="D244" s="3">
        <v>19</v>
      </c>
      <c r="E244" s="3">
        <f>((1/(INDEX(E0!J$4:J$28,C244,1)-INDEX(E0!J$4:J$28,D244,1))))*100000000</f>
        <v>0</v>
      </c>
      <c r="F244" s="4" t="str">
        <f>HYPERLINK("http://141.218.60.56/~jnz1568/getInfo.php?workbook=06_01.xlsx&amp;sheet=A0&amp;row=244&amp;col=6&amp;number=&amp;sourceID=18","")</f>
        <v/>
      </c>
      <c r="G244" s="4" t="str">
        <f>HYPERLINK("http://141.218.60.56/~jnz1568/getInfo.php?workbook=06_01.xlsx&amp;sheet=A0&amp;row=244&amp;col=7&amp;number==&amp;sourceID=11","=")</f>
        <v>=</v>
      </c>
      <c r="H244" s="4" t="str">
        <f>HYPERLINK("http://141.218.60.56/~jnz1568/getInfo.php?workbook=06_01.xlsx&amp;sheet=A0&amp;row=244&amp;col=8&amp;number=&amp;sourceID=11","")</f>
        <v/>
      </c>
      <c r="I244" s="4" t="str">
        <f>HYPERLINK("http://141.218.60.56/~jnz1568/getInfo.php?workbook=06_01.xlsx&amp;sheet=A0&amp;row=244&amp;col=9&amp;number=1e-14&amp;sourceID=11","1e-14")</f>
        <v>1e-14</v>
      </c>
      <c r="J244" s="4" t="str">
        <f>HYPERLINK("http://141.218.60.56/~jnz1568/getInfo.php?workbook=06_01.xlsx&amp;sheet=A0&amp;row=244&amp;col=10&amp;number=&amp;sourceID=11","")</f>
        <v/>
      </c>
      <c r="K244" s="4" t="str">
        <f>HYPERLINK("http://141.218.60.56/~jnz1568/getInfo.php?workbook=06_01.xlsx&amp;sheet=A0&amp;row=244&amp;col=11&amp;number=&amp;sourceID=11","")</f>
        <v/>
      </c>
      <c r="L244" s="4" t="str">
        <f>HYPERLINK("http://141.218.60.56/~jnz1568/getInfo.php?workbook=06_01.xlsx&amp;sheet=A0&amp;row=244&amp;col=12&amp;number=&amp;sourceID=11","")</f>
        <v/>
      </c>
      <c r="M244" s="4" t="str">
        <f>HYPERLINK("http://141.218.60.56/~jnz1568/getInfo.php?workbook=06_01.xlsx&amp;sheet=A0&amp;row=244&amp;col=13&amp;number=0&amp;sourceID=11","0")</f>
        <v>0</v>
      </c>
      <c r="N244" s="4" t="str">
        <f>HYPERLINK("http://141.218.60.56/~jnz1568/getInfo.php?workbook=06_01.xlsx&amp;sheet=A0&amp;row=244&amp;col=14&amp;number=1e-14&amp;sourceID=12","1e-14")</f>
        <v>1e-14</v>
      </c>
      <c r="O244" s="4" t="str">
        <f>HYPERLINK("http://141.218.60.56/~jnz1568/getInfo.php?workbook=06_01.xlsx&amp;sheet=A0&amp;row=244&amp;col=15&amp;number=&amp;sourceID=12","")</f>
        <v/>
      </c>
      <c r="P244" s="4" t="str">
        <f>HYPERLINK("http://141.218.60.56/~jnz1568/getInfo.php?workbook=06_01.xlsx&amp;sheet=A0&amp;row=244&amp;col=16&amp;number=1e-14&amp;sourceID=12","1e-14")</f>
        <v>1e-14</v>
      </c>
      <c r="Q244" s="4" t="str">
        <f>HYPERLINK("http://141.218.60.56/~jnz1568/getInfo.php?workbook=06_01.xlsx&amp;sheet=A0&amp;row=244&amp;col=17&amp;number=&amp;sourceID=12","")</f>
        <v/>
      </c>
      <c r="R244" s="4" t="str">
        <f>HYPERLINK("http://141.218.60.56/~jnz1568/getInfo.php?workbook=06_01.xlsx&amp;sheet=A0&amp;row=244&amp;col=18&amp;number=&amp;sourceID=12","")</f>
        <v/>
      </c>
      <c r="S244" s="4" t="str">
        <f>HYPERLINK("http://141.218.60.56/~jnz1568/getInfo.php?workbook=06_01.xlsx&amp;sheet=A0&amp;row=244&amp;col=19&amp;number=&amp;sourceID=12","")</f>
        <v/>
      </c>
      <c r="T244" s="4" t="str">
        <f>HYPERLINK("http://141.218.60.56/~jnz1568/getInfo.php?workbook=06_01.xlsx&amp;sheet=A0&amp;row=244&amp;col=20&amp;number=0&amp;sourceID=12","0")</f>
        <v>0</v>
      </c>
      <c r="U244" s="4" t="str">
        <f>HYPERLINK("http://141.218.60.56/~jnz1568/getInfo.php?workbook=06_01.xlsx&amp;sheet=A0&amp;row=244&amp;col=21&amp;number=&amp;sourceID=13","")</f>
        <v/>
      </c>
      <c r="V244" s="4" t="str">
        <f>HYPERLINK("http://141.218.60.56/~jnz1568/getInfo.php?workbook=06_01.xlsx&amp;sheet=A0&amp;row=244&amp;col=22&amp;number=&amp;sourceID=13","")</f>
        <v/>
      </c>
      <c r="W244" s="4" t="str">
        <f>HYPERLINK("http://141.218.60.56/~jnz1568/getInfo.php?workbook=06_01.xlsx&amp;sheet=A0&amp;row=244&amp;col=23&amp;number=&amp;sourceID=13","")</f>
        <v/>
      </c>
      <c r="X244" s="4" t="str">
        <f>HYPERLINK("http://141.218.60.56/~jnz1568/getInfo.php?workbook=06_01.xlsx&amp;sheet=A0&amp;row=244&amp;col=24&amp;number=&amp;sourceID=13","")</f>
        <v/>
      </c>
      <c r="Y244" s="4" t="str">
        <f>HYPERLINK("http://141.218.60.56/~jnz1568/getInfo.php?workbook=06_01.xlsx&amp;sheet=A0&amp;row=244&amp;col=25&amp;number=&amp;sourceID=13","")</f>
        <v/>
      </c>
      <c r="Z244" s="4" t="str">
        <f>HYPERLINK("http://141.218.60.56/~jnz1568/getInfo.php?workbook=06_01.xlsx&amp;sheet=A0&amp;row=244&amp;col=26&amp;number=&amp;sourceID=13","")</f>
        <v/>
      </c>
    </row>
    <row r="245" spans="1:26">
      <c r="A245" s="3">
        <v>6</v>
      </c>
      <c r="B245" s="3">
        <v>1</v>
      </c>
      <c r="C245" s="3">
        <v>23</v>
      </c>
      <c r="D245" s="3">
        <v>20</v>
      </c>
      <c r="E245" s="3">
        <f>((1/(INDEX(E0!J$4:J$28,C245,1)-INDEX(E0!J$4:J$28,D245,1))))*100000000</f>
        <v>0</v>
      </c>
      <c r="F245" s="4" t="str">
        <f>HYPERLINK("http://141.218.60.56/~jnz1568/getInfo.php?workbook=06_01.xlsx&amp;sheet=A0&amp;row=245&amp;col=6&amp;number=&amp;sourceID=18","")</f>
        <v/>
      </c>
      <c r="G245" s="4" t="str">
        <f>HYPERLINK("http://141.218.60.56/~jnz1568/getInfo.php?workbook=06_01.xlsx&amp;sheet=A0&amp;row=245&amp;col=7&amp;number==&amp;sourceID=11","=")</f>
        <v>=</v>
      </c>
      <c r="H245" s="4" t="str">
        <f>HYPERLINK("http://141.218.60.56/~jnz1568/getInfo.php?workbook=06_01.xlsx&amp;sheet=A0&amp;row=245&amp;col=8&amp;number=&amp;sourceID=11","")</f>
        <v/>
      </c>
      <c r="I245" s="4" t="str">
        <f>HYPERLINK("http://141.218.60.56/~jnz1568/getInfo.php?workbook=06_01.xlsx&amp;sheet=A0&amp;row=245&amp;col=9&amp;number=&amp;sourceID=11","")</f>
        <v/>
      </c>
      <c r="J245" s="4" t="str">
        <f>HYPERLINK("http://141.218.60.56/~jnz1568/getInfo.php?workbook=06_01.xlsx&amp;sheet=A0&amp;row=245&amp;col=10&amp;number=0&amp;sourceID=11","0")</f>
        <v>0</v>
      </c>
      <c r="K245" s="4" t="str">
        <f>HYPERLINK("http://141.218.60.56/~jnz1568/getInfo.php?workbook=06_01.xlsx&amp;sheet=A0&amp;row=245&amp;col=11&amp;number=&amp;sourceID=11","")</f>
        <v/>
      </c>
      <c r="L245" s="4" t="str">
        <f>HYPERLINK("http://141.218.60.56/~jnz1568/getInfo.php?workbook=06_01.xlsx&amp;sheet=A0&amp;row=245&amp;col=12&amp;number=0&amp;sourceID=11","0")</f>
        <v>0</v>
      </c>
      <c r="M245" s="4" t="str">
        <f>HYPERLINK("http://141.218.60.56/~jnz1568/getInfo.php?workbook=06_01.xlsx&amp;sheet=A0&amp;row=245&amp;col=13&amp;number=&amp;sourceID=11","")</f>
        <v/>
      </c>
      <c r="N245" s="4" t="str">
        <f>HYPERLINK("http://141.218.60.56/~jnz1568/getInfo.php?workbook=06_01.xlsx&amp;sheet=A0&amp;row=245&amp;col=14&amp;number=0&amp;sourceID=12","0")</f>
        <v>0</v>
      </c>
      <c r="O245" s="4" t="str">
        <f>HYPERLINK("http://141.218.60.56/~jnz1568/getInfo.php?workbook=06_01.xlsx&amp;sheet=A0&amp;row=245&amp;col=15&amp;number=&amp;sourceID=12","")</f>
        <v/>
      </c>
      <c r="P245" s="4" t="str">
        <f>HYPERLINK("http://141.218.60.56/~jnz1568/getInfo.php?workbook=06_01.xlsx&amp;sheet=A0&amp;row=245&amp;col=16&amp;number=&amp;sourceID=12","")</f>
        <v/>
      </c>
      <c r="Q245" s="4" t="str">
        <f>HYPERLINK("http://141.218.60.56/~jnz1568/getInfo.php?workbook=06_01.xlsx&amp;sheet=A0&amp;row=245&amp;col=17&amp;number=0&amp;sourceID=12","0")</f>
        <v>0</v>
      </c>
      <c r="R245" s="4" t="str">
        <f>HYPERLINK("http://141.218.60.56/~jnz1568/getInfo.php?workbook=06_01.xlsx&amp;sheet=A0&amp;row=245&amp;col=18&amp;number=&amp;sourceID=12","")</f>
        <v/>
      </c>
      <c r="S245" s="4" t="str">
        <f>HYPERLINK("http://141.218.60.56/~jnz1568/getInfo.php?workbook=06_01.xlsx&amp;sheet=A0&amp;row=245&amp;col=19&amp;number=0&amp;sourceID=12","0")</f>
        <v>0</v>
      </c>
      <c r="T245" s="4" t="str">
        <f>HYPERLINK("http://141.218.60.56/~jnz1568/getInfo.php?workbook=06_01.xlsx&amp;sheet=A0&amp;row=245&amp;col=20&amp;number=&amp;sourceID=12","")</f>
        <v/>
      </c>
      <c r="U245" s="4" t="str">
        <f>HYPERLINK("http://141.218.60.56/~jnz1568/getInfo.php?workbook=06_01.xlsx&amp;sheet=A0&amp;row=245&amp;col=21&amp;number=&amp;sourceID=13","")</f>
        <v/>
      </c>
      <c r="V245" s="4" t="str">
        <f>HYPERLINK("http://141.218.60.56/~jnz1568/getInfo.php?workbook=06_01.xlsx&amp;sheet=A0&amp;row=245&amp;col=22&amp;number=&amp;sourceID=13","")</f>
        <v/>
      </c>
      <c r="W245" s="4" t="str">
        <f>HYPERLINK("http://141.218.60.56/~jnz1568/getInfo.php?workbook=06_01.xlsx&amp;sheet=A0&amp;row=245&amp;col=23&amp;number=&amp;sourceID=13","")</f>
        <v/>
      </c>
      <c r="X245" s="4" t="str">
        <f>HYPERLINK("http://141.218.60.56/~jnz1568/getInfo.php?workbook=06_01.xlsx&amp;sheet=A0&amp;row=245&amp;col=24&amp;number=&amp;sourceID=13","")</f>
        <v/>
      </c>
      <c r="Y245" s="4" t="str">
        <f>HYPERLINK("http://141.218.60.56/~jnz1568/getInfo.php?workbook=06_01.xlsx&amp;sheet=A0&amp;row=245&amp;col=25&amp;number=&amp;sourceID=13","")</f>
        <v/>
      </c>
      <c r="Z245" s="4" t="str">
        <f>HYPERLINK("http://141.218.60.56/~jnz1568/getInfo.php?workbook=06_01.xlsx&amp;sheet=A0&amp;row=245&amp;col=26&amp;number=&amp;sourceID=13","")</f>
        <v/>
      </c>
    </row>
    <row r="246" spans="1:26">
      <c r="A246" s="3">
        <v>6</v>
      </c>
      <c r="B246" s="3">
        <v>1</v>
      </c>
      <c r="C246" s="3">
        <v>23</v>
      </c>
      <c r="D246" s="3">
        <v>21</v>
      </c>
      <c r="E246" s="3">
        <f>((1/(INDEX(E0!J$4:J$28,C246,1)-INDEX(E0!J$4:J$28,D246,1))))*100000000</f>
        <v>0</v>
      </c>
      <c r="F246" s="4" t="str">
        <f>HYPERLINK("http://141.218.60.56/~jnz1568/getInfo.php?workbook=06_01.xlsx&amp;sheet=A0&amp;row=246&amp;col=6&amp;number=&amp;sourceID=18","")</f>
        <v/>
      </c>
      <c r="G246" s="4" t="str">
        <f>HYPERLINK("http://141.218.60.56/~jnz1568/getInfo.php?workbook=06_01.xlsx&amp;sheet=A0&amp;row=246&amp;col=7&amp;number==&amp;sourceID=11","=")</f>
        <v>=</v>
      </c>
      <c r="H246" s="4" t="str">
        <f>HYPERLINK("http://141.218.60.56/~jnz1568/getInfo.php?workbook=06_01.xlsx&amp;sheet=A0&amp;row=246&amp;col=8&amp;number=0.0015723&amp;sourceID=11","0.0015723")</f>
        <v>0.0015723</v>
      </c>
      <c r="I246" s="4" t="str">
        <f>HYPERLINK("http://141.218.60.56/~jnz1568/getInfo.php?workbook=06_01.xlsx&amp;sheet=A0&amp;row=246&amp;col=9&amp;number=&amp;sourceID=11","")</f>
        <v/>
      </c>
      <c r="J246" s="4" t="str">
        <f>HYPERLINK("http://141.218.60.56/~jnz1568/getInfo.php?workbook=06_01.xlsx&amp;sheet=A0&amp;row=246&amp;col=10&amp;number=0&amp;sourceID=11","0")</f>
        <v>0</v>
      </c>
      <c r="K246" s="4" t="str">
        <f>HYPERLINK("http://141.218.60.56/~jnz1568/getInfo.php?workbook=06_01.xlsx&amp;sheet=A0&amp;row=246&amp;col=11&amp;number=&amp;sourceID=11","")</f>
        <v/>
      </c>
      <c r="L246" s="4" t="str">
        <f>HYPERLINK("http://141.218.60.56/~jnz1568/getInfo.php?workbook=06_01.xlsx&amp;sheet=A0&amp;row=246&amp;col=12&amp;number=0&amp;sourceID=11","0")</f>
        <v>0</v>
      </c>
      <c r="M246" s="4" t="str">
        <f>HYPERLINK("http://141.218.60.56/~jnz1568/getInfo.php?workbook=06_01.xlsx&amp;sheet=A0&amp;row=246&amp;col=13&amp;number=&amp;sourceID=11","")</f>
        <v/>
      </c>
      <c r="N246" s="4" t="str">
        <f>HYPERLINK("http://141.218.60.56/~jnz1568/getInfo.php?workbook=06_01.xlsx&amp;sheet=A0&amp;row=246&amp;col=14&amp;number=0.0015729&amp;sourceID=12","0.0015729")</f>
        <v>0.0015729</v>
      </c>
      <c r="O246" s="4" t="str">
        <f>HYPERLINK("http://141.218.60.56/~jnz1568/getInfo.php?workbook=06_01.xlsx&amp;sheet=A0&amp;row=246&amp;col=15&amp;number=0.0015729&amp;sourceID=12","0.0015729")</f>
        <v>0.0015729</v>
      </c>
      <c r="P246" s="4" t="str">
        <f>HYPERLINK("http://141.218.60.56/~jnz1568/getInfo.php?workbook=06_01.xlsx&amp;sheet=A0&amp;row=246&amp;col=16&amp;number=&amp;sourceID=12","")</f>
        <v/>
      </c>
      <c r="Q246" s="4" t="str">
        <f>HYPERLINK("http://141.218.60.56/~jnz1568/getInfo.php?workbook=06_01.xlsx&amp;sheet=A0&amp;row=246&amp;col=17&amp;number=0&amp;sourceID=12","0")</f>
        <v>0</v>
      </c>
      <c r="R246" s="4" t="str">
        <f>HYPERLINK("http://141.218.60.56/~jnz1568/getInfo.php?workbook=06_01.xlsx&amp;sheet=A0&amp;row=246&amp;col=18&amp;number=&amp;sourceID=12","")</f>
        <v/>
      </c>
      <c r="S246" s="4" t="str">
        <f>HYPERLINK("http://141.218.60.56/~jnz1568/getInfo.php?workbook=06_01.xlsx&amp;sheet=A0&amp;row=246&amp;col=19&amp;number=0&amp;sourceID=12","0")</f>
        <v>0</v>
      </c>
      <c r="T246" s="4" t="str">
        <f>HYPERLINK("http://141.218.60.56/~jnz1568/getInfo.php?workbook=06_01.xlsx&amp;sheet=A0&amp;row=246&amp;col=20&amp;number=&amp;sourceID=12","")</f>
        <v/>
      </c>
      <c r="U246" s="4" t="str">
        <f>HYPERLINK("http://141.218.60.56/~jnz1568/getInfo.php?workbook=06_01.xlsx&amp;sheet=A0&amp;row=246&amp;col=21&amp;number=&amp;sourceID=13","")</f>
        <v/>
      </c>
      <c r="V246" s="4" t="str">
        <f>HYPERLINK("http://141.218.60.56/~jnz1568/getInfo.php?workbook=06_01.xlsx&amp;sheet=A0&amp;row=246&amp;col=22&amp;number=&amp;sourceID=13","")</f>
        <v/>
      </c>
      <c r="W246" s="4" t="str">
        <f>HYPERLINK("http://141.218.60.56/~jnz1568/getInfo.php?workbook=06_01.xlsx&amp;sheet=A0&amp;row=246&amp;col=23&amp;number=&amp;sourceID=13","")</f>
        <v/>
      </c>
      <c r="X246" s="4" t="str">
        <f>HYPERLINK("http://141.218.60.56/~jnz1568/getInfo.php?workbook=06_01.xlsx&amp;sheet=A0&amp;row=246&amp;col=24&amp;number=&amp;sourceID=13","")</f>
        <v/>
      </c>
      <c r="Y246" s="4" t="str">
        <f>HYPERLINK("http://141.218.60.56/~jnz1568/getInfo.php?workbook=06_01.xlsx&amp;sheet=A0&amp;row=246&amp;col=25&amp;number=&amp;sourceID=13","")</f>
        <v/>
      </c>
      <c r="Z246" s="4" t="str">
        <f>HYPERLINK("http://141.218.60.56/~jnz1568/getInfo.php?workbook=06_01.xlsx&amp;sheet=A0&amp;row=246&amp;col=26&amp;number=&amp;sourceID=13","")</f>
        <v/>
      </c>
    </row>
    <row r="247" spans="1:26">
      <c r="A247" s="3">
        <v>6</v>
      </c>
      <c r="B247" s="3">
        <v>1</v>
      </c>
      <c r="C247" s="3">
        <v>23</v>
      </c>
      <c r="D247" s="3">
        <v>22</v>
      </c>
      <c r="E247" s="3">
        <f>((1/(INDEX(E0!J$4:J$28,C247,1)-INDEX(E0!J$4:J$28,D247,1))))*100000000</f>
        <v>0</v>
      </c>
      <c r="F247" s="4" t="str">
        <f>HYPERLINK("http://141.218.60.56/~jnz1568/getInfo.php?workbook=06_01.xlsx&amp;sheet=A0&amp;row=247&amp;col=6&amp;number=&amp;sourceID=18","")</f>
        <v/>
      </c>
      <c r="G247" s="4" t="str">
        <f>HYPERLINK("http://141.218.60.56/~jnz1568/getInfo.php?workbook=06_01.xlsx&amp;sheet=A0&amp;row=247&amp;col=7&amp;number==&amp;sourceID=11","=")</f>
        <v>=</v>
      </c>
      <c r="H247" s="4" t="str">
        <f>HYPERLINK("http://141.218.60.56/~jnz1568/getInfo.php?workbook=06_01.xlsx&amp;sheet=A0&amp;row=247&amp;col=8&amp;number=&amp;sourceID=11","")</f>
        <v/>
      </c>
      <c r="I247" s="4" t="str">
        <f>HYPERLINK("http://141.218.60.56/~jnz1568/getInfo.php?workbook=06_01.xlsx&amp;sheet=A0&amp;row=247&amp;col=9&amp;number=0&amp;sourceID=11","0")</f>
        <v>0</v>
      </c>
      <c r="J247" s="4" t="str">
        <f>HYPERLINK("http://141.218.60.56/~jnz1568/getInfo.php?workbook=06_01.xlsx&amp;sheet=A0&amp;row=247&amp;col=10&amp;number=&amp;sourceID=11","")</f>
        <v/>
      </c>
      <c r="K247" s="4" t="str">
        <f>HYPERLINK("http://141.218.60.56/~jnz1568/getInfo.php?workbook=06_01.xlsx&amp;sheet=A0&amp;row=247&amp;col=11&amp;number=0&amp;sourceID=11","0")</f>
        <v>0</v>
      </c>
      <c r="L247" s="4" t="str">
        <f>HYPERLINK("http://141.218.60.56/~jnz1568/getInfo.php?workbook=06_01.xlsx&amp;sheet=A0&amp;row=247&amp;col=12&amp;number=&amp;sourceID=11","")</f>
        <v/>
      </c>
      <c r="M247" s="4" t="str">
        <f>HYPERLINK("http://141.218.60.56/~jnz1568/getInfo.php?workbook=06_01.xlsx&amp;sheet=A0&amp;row=247&amp;col=13&amp;number=0&amp;sourceID=11","0")</f>
        <v>0</v>
      </c>
      <c r="N247" s="4" t="str">
        <f>HYPERLINK("http://141.218.60.56/~jnz1568/getInfo.php?workbook=06_01.xlsx&amp;sheet=A0&amp;row=247&amp;col=14&amp;number=0&amp;sourceID=12","0")</f>
        <v>0</v>
      </c>
      <c r="O247" s="4" t="str">
        <f>HYPERLINK("http://141.218.60.56/~jnz1568/getInfo.php?workbook=06_01.xlsx&amp;sheet=A0&amp;row=247&amp;col=15&amp;number=&amp;sourceID=12","")</f>
        <v/>
      </c>
      <c r="P247" s="4" t="str">
        <f>HYPERLINK("http://141.218.60.56/~jnz1568/getInfo.php?workbook=06_01.xlsx&amp;sheet=A0&amp;row=247&amp;col=16&amp;number=0&amp;sourceID=12","0")</f>
        <v>0</v>
      </c>
      <c r="Q247" s="4" t="str">
        <f>HYPERLINK("http://141.218.60.56/~jnz1568/getInfo.php?workbook=06_01.xlsx&amp;sheet=A0&amp;row=247&amp;col=17&amp;number=&amp;sourceID=12","")</f>
        <v/>
      </c>
      <c r="R247" s="4" t="str">
        <f>HYPERLINK("http://141.218.60.56/~jnz1568/getInfo.php?workbook=06_01.xlsx&amp;sheet=A0&amp;row=247&amp;col=18&amp;number=0&amp;sourceID=12","0")</f>
        <v>0</v>
      </c>
      <c r="S247" s="4" t="str">
        <f>HYPERLINK("http://141.218.60.56/~jnz1568/getInfo.php?workbook=06_01.xlsx&amp;sheet=A0&amp;row=247&amp;col=19&amp;number=&amp;sourceID=12","")</f>
        <v/>
      </c>
      <c r="T247" s="4" t="str">
        <f>HYPERLINK("http://141.218.60.56/~jnz1568/getInfo.php?workbook=06_01.xlsx&amp;sheet=A0&amp;row=247&amp;col=20&amp;number=0&amp;sourceID=12","0")</f>
        <v>0</v>
      </c>
      <c r="U247" s="4" t="str">
        <f>HYPERLINK("http://141.218.60.56/~jnz1568/getInfo.php?workbook=06_01.xlsx&amp;sheet=A0&amp;row=247&amp;col=21&amp;number=&amp;sourceID=13","")</f>
        <v/>
      </c>
      <c r="V247" s="4" t="str">
        <f>HYPERLINK("http://141.218.60.56/~jnz1568/getInfo.php?workbook=06_01.xlsx&amp;sheet=A0&amp;row=247&amp;col=22&amp;number=&amp;sourceID=13","")</f>
        <v/>
      </c>
      <c r="W247" s="4" t="str">
        <f>HYPERLINK("http://141.218.60.56/~jnz1568/getInfo.php?workbook=06_01.xlsx&amp;sheet=A0&amp;row=247&amp;col=23&amp;number=&amp;sourceID=13","")</f>
        <v/>
      </c>
      <c r="X247" s="4" t="str">
        <f>HYPERLINK("http://141.218.60.56/~jnz1568/getInfo.php?workbook=06_01.xlsx&amp;sheet=A0&amp;row=247&amp;col=24&amp;number=&amp;sourceID=13","")</f>
        <v/>
      </c>
      <c r="Y247" s="4" t="str">
        <f>HYPERLINK("http://141.218.60.56/~jnz1568/getInfo.php?workbook=06_01.xlsx&amp;sheet=A0&amp;row=247&amp;col=25&amp;number=&amp;sourceID=13","")</f>
        <v/>
      </c>
      <c r="Z247" s="4" t="str">
        <f>HYPERLINK("http://141.218.60.56/~jnz1568/getInfo.php?workbook=06_01.xlsx&amp;sheet=A0&amp;row=247&amp;col=26&amp;number=&amp;sourceID=13","")</f>
        <v/>
      </c>
    </row>
    <row r="248" spans="1:26">
      <c r="A248" s="3">
        <v>6</v>
      </c>
      <c r="B248" s="3">
        <v>1</v>
      </c>
      <c r="C248" s="3">
        <v>24</v>
      </c>
      <c r="D248" s="3">
        <v>1</v>
      </c>
      <c r="E248" s="3">
        <f>((1/(INDEX(E0!J$4:J$28,C248,1)-INDEX(E0!J$4:J$28,D248,1))))*100000000</f>
        <v>0</v>
      </c>
      <c r="F248" s="4" t="str">
        <f>HYPERLINK("http://141.218.60.56/~jnz1568/getInfo.php?workbook=06_01.xlsx&amp;sheet=A0&amp;row=248&amp;col=6&amp;number=&amp;sourceID=18","")</f>
        <v/>
      </c>
      <c r="G248" s="4" t="str">
        <f>HYPERLINK("http://141.218.60.56/~jnz1568/getInfo.php?workbook=06_01.xlsx&amp;sheet=A0&amp;row=248&amp;col=7&amp;number==&amp;sourceID=11","=")</f>
        <v>=</v>
      </c>
      <c r="H248" s="4" t="str">
        <f>HYPERLINK("http://141.218.60.56/~jnz1568/getInfo.php?workbook=06_01.xlsx&amp;sheet=A0&amp;row=248&amp;col=8&amp;number=&amp;sourceID=11","")</f>
        <v/>
      </c>
      <c r="I248" s="4" t="str">
        <f>HYPERLINK("http://141.218.60.56/~jnz1568/getInfo.php?workbook=06_01.xlsx&amp;sheet=A0&amp;row=248&amp;col=9&amp;number=&amp;sourceID=11","")</f>
        <v/>
      </c>
      <c r="J248" s="4" t="str">
        <f>HYPERLINK("http://141.218.60.56/~jnz1568/getInfo.php?workbook=06_01.xlsx&amp;sheet=A0&amp;row=248&amp;col=10&amp;number=430.35&amp;sourceID=11","430.35")</f>
        <v>430.35</v>
      </c>
      <c r="K248" s="4" t="str">
        <f>HYPERLINK("http://141.218.60.56/~jnz1568/getInfo.php?workbook=06_01.xlsx&amp;sheet=A0&amp;row=248&amp;col=11&amp;number=&amp;sourceID=11","")</f>
        <v/>
      </c>
      <c r="L248" s="4" t="str">
        <f>HYPERLINK("http://141.218.60.56/~jnz1568/getInfo.php?workbook=06_01.xlsx&amp;sheet=A0&amp;row=248&amp;col=12&amp;number=&amp;sourceID=11","")</f>
        <v/>
      </c>
      <c r="M248" s="4" t="str">
        <f>HYPERLINK("http://141.218.60.56/~jnz1568/getInfo.php?workbook=06_01.xlsx&amp;sheet=A0&amp;row=248&amp;col=13&amp;number=&amp;sourceID=11","")</f>
        <v/>
      </c>
      <c r="N248" s="4" t="str">
        <f>HYPERLINK("http://141.218.60.56/~jnz1568/getInfo.php?workbook=06_01.xlsx&amp;sheet=A0&amp;row=248&amp;col=14&amp;number=430.37&amp;sourceID=12","430.37")</f>
        <v>430.37</v>
      </c>
      <c r="O248" s="4" t="str">
        <f>HYPERLINK("http://141.218.60.56/~jnz1568/getInfo.php?workbook=06_01.xlsx&amp;sheet=A0&amp;row=248&amp;col=15&amp;number=&amp;sourceID=12","")</f>
        <v/>
      </c>
      <c r="P248" s="4" t="str">
        <f>HYPERLINK("http://141.218.60.56/~jnz1568/getInfo.php?workbook=06_01.xlsx&amp;sheet=A0&amp;row=248&amp;col=16&amp;number=&amp;sourceID=12","")</f>
        <v/>
      </c>
      <c r="Q248" s="4" t="str">
        <f>HYPERLINK("http://141.218.60.56/~jnz1568/getInfo.php?workbook=06_01.xlsx&amp;sheet=A0&amp;row=248&amp;col=17&amp;number=430.37&amp;sourceID=12","430.37")</f>
        <v>430.37</v>
      </c>
      <c r="R248" s="4" t="str">
        <f>HYPERLINK("http://141.218.60.56/~jnz1568/getInfo.php?workbook=06_01.xlsx&amp;sheet=A0&amp;row=248&amp;col=18&amp;number=&amp;sourceID=12","")</f>
        <v/>
      </c>
      <c r="S248" s="4" t="str">
        <f>HYPERLINK("http://141.218.60.56/~jnz1568/getInfo.php?workbook=06_01.xlsx&amp;sheet=A0&amp;row=248&amp;col=19&amp;number=&amp;sourceID=12","")</f>
        <v/>
      </c>
      <c r="T248" s="4" t="str">
        <f>HYPERLINK("http://141.218.60.56/~jnz1568/getInfo.php?workbook=06_01.xlsx&amp;sheet=A0&amp;row=248&amp;col=20&amp;number=&amp;sourceID=12","")</f>
        <v/>
      </c>
      <c r="U248" s="4" t="str">
        <f>HYPERLINK("http://141.218.60.56/~jnz1568/getInfo.php?workbook=06_01.xlsx&amp;sheet=A0&amp;row=248&amp;col=21&amp;number=&amp;sourceID=13","")</f>
        <v/>
      </c>
      <c r="V248" s="4" t="str">
        <f>HYPERLINK("http://141.218.60.56/~jnz1568/getInfo.php?workbook=06_01.xlsx&amp;sheet=A0&amp;row=248&amp;col=22&amp;number=&amp;sourceID=13","")</f>
        <v/>
      </c>
      <c r="W248" s="4" t="str">
        <f>HYPERLINK("http://141.218.60.56/~jnz1568/getInfo.php?workbook=06_01.xlsx&amp;sheet=A0&amp;row=248&amp;col=23&amp;number=&amp;sourceID=13","")</f>
        <v/>
      </c>
      <c r="X248" s="4" t="str">
        <f>HYPERLINK("http://141.218.60.56/~jnz1568/getInfo.php?workbook=06_01.xlsx&amp;sheet=A0&amp;row=248&amp;col=24&amp;number=&amp;sourceID=13","")</f>
        <v/>
      </c>
      <c r="Y248" s="4" t="str">
        <f>HYPERLINK("http://141.218.60.56/~jnz1568/getInfo.php?workbook=06_01.xlsx&amp;sheet=A0&amp;row=248&amp;col=25&amp;number=&amp;sourceID=13","")</f>
        <v/>
      </c>
      <c r="Z248" s="4" t="str">
        <f>HYPERLINK("http://141.218.60.56/~jnz1568/getInfo.php?workbook=06_01.xlsx&amp;sheet=A0&amp;row=248&amp;col=26&amp;number=&amp;sourceID=13","")</f>
        <v/>
      </c>
    </row>
    <row r="249" spans="1:26">
      <c r="A249" s="3">
        <v>6</v>
      </c>
      <c r="B249" s="3">
        <v>1</v>
      </c>
      <c r="C249" s="3">
        <v>24</v>
      </c>
      <c r="D249" s="3">
        <v>2</v>
      </c>
      <c r="E249" s="3">
        <f>((1/(INDEX(E0!J$4:J$28,C249,1)-INDEX(E0!J$4:J$28,D249,1))))*100000000</f>
        <v>0</v>
      </c>
      <c r="F249" s="4" t="str">
        <f>HYPERLINK("http://141.218.60.56/~jnz1568/getInfo.php?workbook=06_01.xlsx&amp;sheet=A0&amp;row=249&amp;col=6&amp;number=&amp;sourceID=18","")</f>
        <v/>
      </c>
      <c r="G249" s="4" t="str">
        <f>HYPERLINK("http://141.218.60.56/~jnz1568/getInfo.php?workbook=06_01.xlsx&amp;sheet=A0&amp;row=249&amp;col=7&amp;number==&amp;sourceID=11","=")</f>
        <v>=</v>
      </c>
      <c r="H249" s="4" t="str">
        <f>HYPERLINK("http://141.218.60.56/~jnz1568/getInfo.php?workbook=06_01.xlsx&amp;sheet=A0&amp;row=249&amp;col=8&amp;number=&amp;sourceID=11","")</f>
        <v/>
      </c>
      <c r="I249" s="4" t="str">
        <f>HYPERLINK("http://141.218.60.56/~jnz1568/getInfo.php?workbook=06_01.xlsx&amp;sheet=A0&amp;row=249&amp;col=9&amp;number=&amp;sourceID=11","")</f>
        <v/>
      </c>
      <c r="J249" s="4" t="str">
        <f>HYPERLINK("http://141.218.60.56/~jnz1568/getInfo.php?workbook=06_01.xlsx&amp;sheet=A0&amp;row=249&amp;col=10&amp;number=&amp;sourceID=11","")</f>
        <v/>
      </c>
      <c r="K249" s="4" t="str">
        <f>HYPERLINK("http://141.218.60.56/~jnz1568/getInfo.php?workbook=06_01.xlsx&amp;sheet=A0&amp;row=249&amp;col=11&amp;number=&amp;sourceID=11","")</f>
        <v/>
      </c>
      <c r="L249" s="4" t="str">
        <f>HYPERLINK("http://141.218.60.56/~jnz1568/getInfo.php?workbook=06_01.xlsx&amp;sheet=A0&amp;row=249&amp;col=12&amp;number=&amp;sourceID=11","")</f>
        <v/>
      </c>
      <c r="M249" s="4" t="str">
        <f>HYPERLINK("http://141.218.60.56/~jnz1568/getInfo.php?workbook=06_01.xlsx&amp;sheet=A0&amp;row=249&amp;col=13&amp;number=0.0055869&amp;sourceID=11","0.0055869")</f>
        <v>0.0055869</v>
      </c>
      <c r="N249" s="4" t="str">
        <f>HYPERLINK("http://141.218.60.56/~jnz1568/getInfo.php?workbook=06_01.xlsx&amp;sheet=A0&amp;row=249&amp;col=14&amp;number=0.0055872&amp;sourceID=12","0.0055872")</f>
        <v>0.0055872</v>
      </c>
      <c r="O249" s="4" t="str">
        <f>HYPERLINK("http://141.218.60.56/~jnz1568/getInfo.php?workbook=06_01.xlsx&amp;sheet=A0&amp;row=249&amp;col=15&amp;number=&amp;sourceID=12","")</f>
        <v/>
      </c>
      <c r="P249" s="4" t="str">
        <f>HYPERLINK("http://141.218.60.56/~jnz1568/getInfo.php?workbook=06_01.xlsx&amp;sheet=A0&amp;row=249&amp;col=16&amp;number=&amp;sourceID=12","")</f>
        <v/>
      </c>
      <c r="Q249" s="4" t="str">
        <f>HYPERLINK("http://141.218.60.56/~jnz1568/getInfo.php?workbook=06_01.xlsx&amp;sheet=A0&amp;row=249&amp;col=17&amp;number=&amp;sourceID=12","")</f>
        <v/>
      </c>
      <c r="R249" s="4" t="str">
        <f>HYPERLINK("http://141.218.60.56/~jnz1568/getInfo.php?workbook=06_01.xlsx&amp;sheet=A0&amp;row=249&amp;col=18&amp;number=&amp;sourceID=12","")</f>
        <v/>
      </c>
      <c r="S249" s="4" t="str">
        <f>HYPERLINK("http://141.218.60.56/~jnz1568/getInfo.php?workbook=06_01.xlsx&amp;sheet=A0&amp;row=249&amp;col=19&amp;number=&amp;sourceID=12","")</f>
        <v/>
      </c>
      <c r="T249" s="4" t="str">
        <f>HYPERLINK("http://141.218.60.56/~jnz1568/getInfo.php?workbook=06_01.xlsx&amp;sheet=A0&amp;row=249&amp;col=20&amp;number=0.0055872&amp;sourceID=12","0.0055872")</f>
        <v>0.0055872</v>
      </c>
      <c r="U249" s="4" t="str">
        <f>HYPERLINK("http://141.218.60.56/~jnz1568/getInfo.php?workbook=06_01.xlsx&amp;sheet=A0&amp;row=249&amp;col=21&amp;number=&amp;sourceID=13","")</f>
        <v/>
      </c>
      <c r="V249" s="4" t="str">
        <f>HYPERLINK("http://141.218.60.56/~jnz1568/getInfo.php?workbook=06_01.xlsx&amp;sheet=A0&amp;row=249&amp;col=22&amp;number=&amp;sourceID=13","")</f>
        <v/>
      </c>
      <c r="W249" s="4" t="str">
        <f>HYPERLINK("http://141.218.60.56/~jnz1568/getInfo.php?workbook=06_01.xlsx&amp;sheet=A0&amp;row=249&amp;col=23&amp;number=&amp;sourceID=13","")</f>
        <v/>
      </c>
      <c r="X249" s="4" t="str">
        <f>HYPERLINK("http://141.218.60.56/~jnz1568/getInfo.php?workbook=06_01.xlsx&amp;sheet=A0&amp;row=249&amp;col=24&amp;number=&amp;sourceID=13","")</f>
        <v/>
      </c>
      <c r="Y249" s="4" t="str">
        <f>HYPERLINK("http://141.218.60.56/~jnz1568/getInfo.php?workbook=06_01.xlsx&amp;sheet=A0&amp;row=249&amp;col=25&amp;number=&amp;sourceID=13","")</f>
        <v/>
      </c>
      <c r="Z249" s="4" t="str">
        <f>HYPERLINK("http://141.218.60.56/~jnz1568/getInfo.php?workbook=06_01.xlsx&amp;sheet=A0&amp;row=249&amp;col=26&amp;number=&amp;sourceID=13","")</f>
        <v/>
      </c>
    </row>
    <row r="250" spans="1:26">
      <c r="A250" s="3">
        <v>6</v>
      </c>
      <c r="B250" s="3">
        <v>1</v>
      </c>
      <c r="C250" s="3">
        <v>24</v>
      </c>
      <c r="D250" s="3">
        <v>3</v>
      </c>
      <c r="E250" s="3">
        <f>((1/(INDEX(E0!J$4:J$28,C250,1)-INDEX(E0!J$4:J$28,D250,1))))*100000000</f>
        <v>0</v>
      </c>
      <c r="F250" s="4" t="str">
        <f>HYPERLINK("http://141.218.60.56/~jnz1568/getInfo.php?workbook=06_01.xlsx&amp;sheet=A0&amp;row=250&amp;col=6&amp;number=&amp;sourceID=18","")</f>
        <v/>
      </c>
      <c r="G250" s="4" t="str">
        <f>HYPERLINK("http://141.218.60.56/~jnz1568/getInfo.php?workbook=06_01.xlsx&amp;sheet=A0&amp;row=250&amp;col=7&amp;number==&amp;sourceID=11","=")</f>
        <v>=</v>
      </c>
      <c r="H250" s="4" t="str">
        <f>HYPERLINK("http://141.218.60.56/~jnz1568/getInfo.php?workbook=06_01.xlsx&amp;sheet=A0&amp;row=250&amp;col=8&amp;number=&amp;sourceID=11","")</f>
        <v/>
      </c>
      <c r="I250" s="4" t="str">
        <f>HYPERLINK("http://141.218.60.56/~jnz1568/getInfo.php?workbook=06_01.xlsx&amp;sheet=A0&amp;row=250&amp;col=9&amp;number=&amp;sourceID=11","")</f>
        <v/>
      </c>
      <c r="J250" s="4" t="str">
        <f>HYPERLINK("http://141.218.60.56/~jnz1568/getInfo.php?workbook=06_01.xlsx&amp;sheet=A0&amp;row=250&amp;col=10&amp;number=118.59&amp;sourceID=11","118.59")</f>
        <v>118.59</v>
      </c>
      <c r="K250" s="4" t="str">
        <f>HYPERLINK("http://141.218.60.56/~jnz1568/getInfo.php?workbook=06_01.xlsx&amp;sheet=A0&amp;row=250&amp;col=11&amp;number=&amp;sourceID=11","")</f>
        <v/>
      </c>
      <c r="L250" s="4" t="str">
        <f>HYPERLINK("http://141.218.60.56/~jnz1568/getInfo.php?workbook=06_01.xlsx&amp;sheet=A0&amp;row=250&amp;col=12&amp;number=&amp;sourceID=11","")</f>
        <v/>
      </c>
      <c r="M250" s="4" t="str">
        <f>HYPERLINK("http://141.218.60.56/~jnz1568/getInfo.php?workbook=06_01.xlsx&amp;sheet=A0&amp;row=250&amp;col=13&amp;number=&amp;sourceID=11","")</f>
        <v/>
      </c>
      <c r="N250" s="4" t="str">
        <f>HYPERLINK("http://141.218.60.56/~jnz1568/getInfo.php?workbook=06_01.xlsx&amp;sheet=A0&amp;row=250&amp;col=14&amp;number=118.59&amp;sourceID=12","118.59")</f>
        <v>118.59</v>
      </c>
      <c r="O250" s="4" t="str">
        <f>HYPERLINK("http://141.218.60.56/~jnz1568/getInfo.php?workbook=06_01.xlsx&amp;sheet=A0&amp;row=250&amp;col=15&amp;number=&amp;sourceID=12","")</f>
        <v/>
      </c>
      <c r="P250" s="4" t="str">
        <f>HYPERLINK("http://141.218.60.56/~jnz1568/getInfo.php?workbook=06_01.xlsx&amp;sheet=A0&amp;row=250&amp;col=16&amp;number=&amp;sourceID=12","")</f>
        <v/>
      </c>
      <c r="Q250" s="4" t="str">
        <f>HYPERLINK("http://141.218.60.56/~jnz1568/getInfo.php?workbook=06_01.xlsx&amp;sheet=A0&amp;row=250&amp;col=17&amp;number=118.59&amp;sourceID=12","118.59")</f>
        <v>118.59</v>
      </c>
      <c r="R250" s="4" t="str">
        <f>HYPERLINK("http://141.218.60.56/~jnz1568/getInfo.php?workbook=06_01.xlsx&amp;sheet=A0&amp;row=250&amp;col=18&amp;number=&amp;sourceID=12","")</f>
        <v/>
      </c>
      <c r="S250" s="4" t="str">
        <f>HYPERLINK("http://141.218.60.56/~jnz1568/getInfo.php?workbook=06_01.xlsx&amp;sheet=A0&amp;row=250&amp;col=19&amp;number=&amp;sourceID=12","")</f>
        <v/>
      </c>
      <c r="T250" s="4" t="str">
        <f>HYPERLINK("http://141.218.60.56/~jnz1568/getInfo.php?workbook=06_01.xlsx&amp;sheet=A0&amp;row=250&amp;col=20&amp;number=&amp;sourceID=12","")</f>
        <v/>
      </c>
      <c r="U250" s="4" t="str">
        <f>HYPERLINK("http://141.218.60.56/~jnz1568/getInfo.php?workbook=06_01.xlsx&amp;sheet=A0&amp;row=250&amp;col=21&amp;number=&amp;sourceID=13","")</f>
        <v/>
      </c>
      <c r="V250" s="4" t="str">
        <f>HYPERLINK("http://141.218.60.56/~jnz1568/getInfo.php?workbook=06_01.xlsx&amp;sheet=A0&amp;row=250&amp;col=22&amp;number=&amp;sourceID=13","")</f>
        <v/>
      </c>
      <c r="W250" s="4" t="str">
        <f>HYPERLINK("http://141.218.60.56/~jnz1568/getInfo.php?workbook=06_01.xlsx&amp;sheet=A0&amp;row=250&amp;col=23&amp;number=&amp;sourceID=13","")</f>
        <v/>
      </c>
      <c r="X250" s="4" t="str">
        <f>HYPERLINK("http://141.218.60.56/~jnz1568/getInfo.php?workbook=06_01.xlsx&amp;sheet=A0&amp;row=250&amp;col=24&amp;number=&amp;sourceID=13","")</f>
        <v/>
      </c>
      <c r="Y250" s="4" t="str">
        <f>HYPERLINK("http://141.218.60.56/~jnz1568/getInfo.php?workbook=06_01.xlsx&amp;sheet=A0&amp;row=250&amp;col=25&amp;number=&amp;sourceID=13","")</f>
        <v/>
      </c>
      <c r="Z250" s="4" t="str">
        <f>HYPERLINK("http://141.218.60.56/~jnz1568/getInfo.php?workbook=06_01.xlsx&amp;sheet=A0&amp;row=250&amp;col=26&amp;number=&amp;sourceID=13","")</f>
        <v/>
      </c>
    </row>
    <row r="251" spans="1:26">
      <c r="A251" s="3">
        <v>6</v>
      </c>
      <c r="B251" s="3">
        <v>1</v>
      </c>
      <c r="C251" s="3">
        <v>24</v>
      </c>
      <c r="D251" s="3">
        <v>4</v>
      </c>
      <c r="E251" s="3">
        <f>((1/(INDEX(E0!J$4:J$28,C251,1)-INDEX(E0!J$4:J$28,D251,1))))*100000000</f>
        <v>0</v>
      </c>
      <c r="F251" s="4" t="str">
        <f>HYPERLINK("http://141.218.60.56/~jnz1568/getInfo.php?workbook=06_01.xlsx&amp;sheet=A0&amp;row=251&amp;col=6&amp;number=&amp;sourceID=18","")</f>
        <v/>
      </c>
      <c r="G251" s="4" t="str">
        <f>HYPERLINK("http://141.218.60.56/~jnz1568/getInfo.php?workbook=06_01.xlsx&amp;sheet=A0&amp;row=251&amp;col=7&amp;number==&amp;sourceID=11","=")</f>
        <v>=</v>
      </c>
      <c r="H251" s="4" t="str">
        <f>HYPERLINK("http://141.218.60.56/~jnz1568/getInfo.php?workbook=06_01.xlsx&amp;sheet=A0&amp;row=251&amp;col=8&amp;number=&amp;sourceID=11","")</f>
        <v/>
      </c>
      <c r="I251" s="4" t="str">
        <f>HYPERLINK("http://141.218.60.56/~jnz1568/getInfo.php?workbook=06_01.xlsx&amp;sheet=A0&amp;row=251&amp;col=9&amp;number=1927100&amp;sourceID=11","1927100")</f>
        <v>1927100</v>
      </c>
      <c r="J251" s="4" t="str">
        <f>HYPERLINK("http://141.218.60.56/~jnz1568/getInfo.php?workbook=06_01.xlsx&amp;sheet=A0&amp;row=251&amp;col=10&amp;number=&amp;sourceID=11","")</f>
        <v/>
      </c>
      <c r="K251" s="4" t="str">
        <f>HYPERLINK("http://141.218.60.56/~jnz1568/getInfo.php?workbook=06_01.xlsx&amp;sheet=A0&amp;row=251&amp;col=11&amp;number=&amp;sourceID=11","")</f>
        <v/>
      </c>
      <c r="L251" s="4" t="str">
        <f>HYPERLINK("http://141.218.60.56/~jnz1568/getInfo.php?workbook=06_01.xlsx&amp;sheet=A0&amp;row=251&amp;col=12&amp;number=&amp;sourceID=11","")</f>
        <v/>
      </c>
      <c r="M251" s="4" t="str">
        <f>HYPERLINK("http://141.218.60.56/~jnz1568/getInfo.php?workbook=06_01.xlsx&amp;sheet=A0&amp;row=251&amp;col=13&amp;number=0.016736&amp;sourceID=11","0.016736")</f>
        <v>0.016736</v>
      </c>
      <c r="N251" s="4" t="str">
        <f>HYPERLINK("http://141.218.60.56/~jnz1568/getInfo.php?workbook=06_01.xlsx&amp;sheet=A0&amp;row=251&amp;col=14&amp;number=1927200&amp;sourceID=12","1927200")</f>
        <v>1927200</v>
      </c>
      <c r="O251" s="4" t="str">
        <f>HYPERLINK("http://141.218.60.56/~jnz1568/getInfo.php?workbook=06_01.xlsx&amp;sheet=A0&amp;row=251&amp;col=15&amp;number=&amp;sourceID=12","")</f>
        <v/>
      </c>
      <c r="P251" s="4" t="str">
        <f>HYPERLINK("http://141.218.60.56/~jnz1568/getInfo.php?workbook=06_01.xlsx&amp;sheet=A0&amp;row=251&amp;col=16&amp;number=1927200&amp;sourceID=12","1927200")</f>
        <v>1927200</v>
      </c>
      <c r="Q251" s="4" t="str">
        <f>HYPERLINK("http://141.218.60.56/~jnz1568/getInfo.php?workbook=06_01.xlsx&amp;sheet=A0&amp;row=251&amp;col=17&amp;number=&amp;sourceID=12","")</f>
        <v/>
      </c>
      <c r="R251" s="4" t="str">
        <f>HYPERLINK("http://141.218.60.56/~jnz1568/getInfo.php?workbook=06_01.xlsx&amp;sheet=A0&amp;row=251&amp;col=18&amp;number=&amp;sourceID=12","")</f>
        <v/>
      </c>
      <c r="S251" s="4" t="str">
        <f>HYPERLINK("http://141.218.60.56/~jnz1568/getInfo.php?workbook=06_01.xlsx&amp;sheet=A0&amp;row=251&amp;col=19&amp;number=&amp;sourceID=12","")</f>
        <v/>
      </c>
      <c r="T251" s="4" t="str">
        <f>HYPERLINK("http://141.218.60.56/~jnz1568/getInfo.php?workbook=06_01.xlsx&amp;sheet=A0&amp;row=251&amp;col=20&amp;number=0.016737&amp;sourceID=12","0.016737")</f>
        <v>0.016737</v>
      </c>
      <c r="U251" s="4" t="str">
        <f>HYPERLINK("http://141.218.60.56/~jnz1568/getInfo.php?workbook=06_01.xlsx&amp;sheet=A0&amp;row=251&amp;col=21&amp;number=&amp;sourceID=13","")</f>
        <v/>
      </c>
      <c r="V251" s="4" t="str">
        <f>HYPERLINK("http://141.218.60.56/~jnz1568/getInfo.php?workbook=06_01.xlsx&amp;sheet=A0&amp;row=251&amp;col=22&amp;number=&amp;sourceID=13","")</f>
        <v/>
      </c>
      <c r="W251" s="4" t="str">
        <f>HYPERLINK("http://141.218.60.56/~jnz1568/getInfo.php?workbook=06_01.xlsx&amp;sheet=A0&amp;row=251&amp;col=23&amp;number=&amp;sourceID=13","")</f>
        <v/>
      </c>
      <c r="X251" s="4" t="str">
        <f>HYPERLINK("http://141.218.60.56/~jnz1568/getInfo.php?workbook=06_01.xlsx&amp;sheet=A0&amp;row=251&amp;col=24&amp;number=&amp;sourceID=13","")</f>
        <v/>
      </c>
      <c r="Y251" s="4" t="str">
        <f>HYPERLINK("http://141.218.60.56/~jnz1568/getInfo.php?workbook=06_01.xlsx&amp;sheet=A0&amp;row=251&amp;col=25&amp;number=&amp;sourceID=13","")</f>
        <v/>
      </c>
      <c r="Z251" s="4" t="str">
        <f>HYPERLINK("http://141.218.60.56/~jnz1568/getInfo.php?workbook=06_01.xlsx&amp;sheet=A0&amp;row=251&amp;col=26&amp;number=&amp;sourceID=13","")</f>
        <v/>
      </c>
    </row>
    <row r="252" spans="1:26">
      <c r="A252" s="3">
        <v>6</v>
      </c>
      <c r="B252" s="3">
        <v>1</v>
      </c>
      <c r="C252" s="3">
        <v>24</v>
      </c>
      <c r="D252" s="3">
        <v>5</v>
      </c>
      <c r="E252" s="3">
        <f>((1/(INDEX(E0!J$4:J$28,C252,1)-INDEX(E0!J$4:J$28,D252,1))))*100000000</f>
        <v>0</v>
      </c>
      <c r="F252" s="4" t="str">
        <f>HYPERLINK("http://141.218.60.56/~jnz1568/getInfo.php?workbook=06_01.xlsx&amp;sheet=A0&amp;row=252&amp;col=6&amp;number=&amp;sourceID=18","")</f>
        <v/>
      </c>
      <c r="G252" s="4" t="str">
        <f>HYPERLINK("http://141.218.60.56/~jnz1568/getInfo.php?workbook=06_01.xlsx&amp;sheet=A0&amp;row=252&amp;col=7&amp;number==&amp;sourceID=11","=")</f>
        <v>=</v>
      </c>
      <c r="H252" s="4" t="str">
        <f>HYPERLINK("http://141.218.60.56/~jnz1568/getInfo.php?workbook=06_01.xlsx&amp;sheet=A0&amp;row=252&amp;col=8&amp;number=&amp;sourceID=11","")</f>
        <v/>
      </c>
      <c r="I252" s="4" t="str">
        <f>HYPERLINK("http://141.218.60.56/~jnz1568/getInfo.php?workbook=06_01.xlsx&amp;sheet=A0&amp;row=252&amp;col=9&amp;number=&amp;sourceID=11","")</f>
        <v/>
      </c>
      <c r="J252" s="4" t="str">
        <f>HYPERLINK("http://141.218.60.56/~jnz1568/getInfo.php?workbook=06_01.xlsx&amp;sheet=A0&amp;row=252&amp;col=10&amp;number=&amp;sourceID=11","")</f>
        <v/>
      </c>
      <c r="K252" s="4" t="str">
        <f>HYPERLINK("http://141.218.60.56/~jnz1568/getInfo.php?workbook=06_01.xlsx&amp;sheet=A0&amp;row=252&amp;col=11&amp;number=&amp;sourceID=11","")</f>
        <v/>
      </c>
      <c r="L252" s="4" t="str">
        <f>HYPERLINK("http://141.218.60.56/~jnz1568/getInfo.php?workbook=06_01.xlsx&amp;sheet=A0&amp;row=252&amp;col=12&amp;number=&amp;sourceID=11","")</f>
        <v/>
      </c>
      <c r="M252" s="4" t="str">
        <f>HYPERLINK("http://141.218.60.56/~jnz1568/getInfo.php?workbook=06_01.xlsx&amp;sheet=A0&amp;row=252&amp;col=13&amp;number=4.1853e-07&amp;sourceID=11","4.1853e-07")</f>
        <v>4.1853e-07</v>
      </c>
      <c r="N252" s="4" t="str">
        <f>HYPERLINK("http://141.218.60.56/~jnz1568/getInfo.php?workbook=06_01.xlsx&amp;sheet=A0&amp;row=252&amp;col=14&amp;number=4.1855e-07&amp;sourceID=12","4.1855e-07")</f>
        <v>4.1855e-07</v>
      </c>
      <c r="O252" s="4" t="str">
        <f>HYPERLINK("http://141.218.60.56/~jnz1568/getInfo.php?workbook=06_01.xlsx&amp;sheet=A0&amp;row=252&amp;col=15&amp;number=&amp;sourceID=12","")</f>
        <v/>
      </c>
      <c r="P252" s="4" t="str">
        <f>HYPERLINK("http://141.218.60.56/~jnz1568/getInfo.php?workbook=06_01.xlsx&amp;sheet=A0&amp;row=252&amp;col=16&amp;number=&amp;sourceID=12","")</f>
        <v/>
      </c>
      <c r="Q252" s="4" t="str">
        <f>HYPERLINK("http://141.218.60.56/~jnz1568/getInfo.php?workbook=06_01.xlsx&amp;sheet=A0&amp;row=252&amp;col=17&amp;number=&amp;sourceID=12","")</f>
        <v/>
      </c>
      <c r="R252" s="4" t="str">
        <f>HYPERLINK("http://141.218.60.56/~jnz1568/getInfo.php?workbook=06_01.xlsx&amp;sheet=A0&amp;row=252&amp;col=18&amp;number=&amp;sourceID=12","")</f>
        <v/>
      </c>
      <c r="S252" s="4" t="str">
        <f>HYPERLINK("http://141.218.60.56/~jnz1568/getInfo.php?workbook=06_01.xlsx&amp;sheet=A0&amp;row=252&amp;col=19&amp;number=&amp;sourceID=12","")</f>
        <v/>
      </c>
      <c r="T252" s="4" t="str">
        <f>HYPERLINK("http://141.218.60.56/~jnz1568/getInfo.php?workbook=06_01.xlsx&amp;sheet=A0&amp;row=252&amp;col=20&amp;number=4.1855e-07&amp;sourceID=12","4.1855e-07")</f>
        <v>4.1855e-07</v>
      </c>
      <c r="U252" s="4" t="str">
        <f>HYPERLINK("http://141.218.60.56/~jnz1568/getInfo.php?workbook=06_01.xlsx&amp;sheet=A0&amp;row=252&amp;col=21&amp;number=&amp;sourceID=13","")</f>
        <v/>
      </c>
      <c r="V252" s="4" t="str">
        <f>HYPERLINK("http://141.218.60.56/~jnz1568/getInfo.php?workbook=06_01.xlsx&amp;sheet=A0&amp;row=252&amp;col=22&amp;number=&amp;sourceID=13","")</f>
        <v/>
      </c>
      <c r="W252" s="4" t="str">
        <f>HYPERLINK("http://141.218.60.56/~jnz1568/getInfo.php?workbook=06_01.xlsx&amp;sheet=A0&amp;row=252&amp;col=23&amp;number=&amp;sourceID=13","")</f>
        <v/>
      </c>
      <c r="X252" s="4" t="str">
        <f>HYPERLINK("http://141.218.60.56/~jnz1568/getInfo.php?workbook=06_01.xlsx&amp;sheet=A0&amp;row=252&amp;col=24&amp;number=&amp;sourceID=13","")</f>
        <v/>
      </c>
      <c r="Y252" s="4" t="str">
        <f>HYPERLINK("http://141.218.60.56/~jnz1568/getInfo.php?workbook=06_01.xlsx&amp;sheet=A0&amp;row=252&amp;col=25&amp;number=&amp;sourceID=13","")</f>
        <v/>
      </c>
      <c r="Z252" s="4" t="str">
        <f>HYPERLINK("http://141.218.60.56/~jnz1568/getInfo.php?workbook=06_01.xlsx&amp;sheet=A0&amp;row=252&amp;col=26&amp;number=&amp;sourceID=13","")</f>
        <v/>
      </c>
    </row>
    <row r="253" spans="1:26">
      <c r="A253" s="3">
        <v>6</v>
      </c>
      <c r="B253" s="3">
        <v>1</v>
      </c>
      <c r="C253" s="3">
        <v>24</v>
      </c>
      <c r="D253" s="3">
        <v>6</v>
      </c>
      <c r="E253" s="3">
        <f>((1/(INDEX(E0!J$4:J$28,C253,1)-INDEX(E0!J$4:J$28,D253,1))))*100000000</f>
        <v>0</v>
      </c>
      <c r="F253" s="4" t="str">
        <f>HYPERLINK("http://141.218.60.56/~jnz1568/getInfo.php?workbook=06_01.xlsx&amp;sheet=A0&amp;row=253&amp;col=6&amp;number=&amp;sourceID=18","")</f>
        <v/>
      </c>
      <c r="G253" s="4" t="str">
        <f>HYPERLINK("http://141.218.60.56/~jnz1568/getInfo.php?workbook=06_01.xlsx&amp;sheet=A0&amp;row=253&amp;col=7&amp;number==&amp;sourceID=11","=")</f>
        <v>=</v>
      </c>
      <c r="H253" s="4" t="str">
        <f>HYPERLINK("http://141.218.60.56/~jnz1568/getInfo.php?workbook=06_01.xlsx&amp;sheet=A0&amp;row=253&amp;col=8&amp;number=&amp;sourceID=11","")</f>
        <v/>
      </c>
      <c r="I253" s="4" t="str">
        <f>HYPERLINK("http://141.218.60.56/~jnz1568/getInfo.php?workbook=06_01.xlsx&amp;sheet=A0&amp;row=253&amp;col=9&amp;number=&amp;sourceID=11","")</f>
        <v/>
      </c>
      <c r="J253" s="4" t="str">
        <f>HYPERLINK("http://141.218.60.56/~jnz1568/getInfo.php?workbook=06_01.xlsx&amp;sheet=A0&amp;row=253&amp;col=10&amp;number=1.7835&amp;sourceID=11","1.7835")</f>
        <v>1.7835</v>
      </c>
      <c r="K253" s="4" t="str">
        <f>HYPERLINK("http://141.218.60.56/~jnz1568/getInfo.php?workbook=06_01.xlsx&amp;sheet=A0&amp;row=253&amp;col=11&amp;number=&amp;sourceID=11","")</f>
        <v/>
      </c>
      <c r="L253" s="4" t="str">
        <f>HYPERLINK("http://141.218.60.56/~jnz1568/getInfo.php?workbook=06_01.xlsx&amp;sheet=A0&amp;row=253&amp;col=12&amp;number=&amp;sourceID=11","")</f>
        <v/>
      </c>
      <c r="M253" s="4" t="str">
        <f>HYPERLINK("http://141.218.60.56/~jnz1568/getInfo.php?workbook=06_01.xlsx&amp;sheet=A0&amp;row=253&amp;col=13&amp;number=&amp;sourceID=11","")</f>
        <v/>
      </c>
      <c r="N253" s="4" t="str">
        <f>HYPERLINK("http://141.218.60.56/~jnz1568/getInfo.php?workbook=06_01.xlsx&amp;sheet=A0&amp;row=253&amp;col=14&amp;number=1.7836&amp;sourceID=12","1.7836")</f>
        <v>1.7836</v>
      </c>
      <c r="O253" s="4" t="str">
        <f>HYPERLINK("http://141.218.60.56/~jnz1568/getInfo.php?workbook=06_01.xlsx&amp;sheet=A0&amp;row=253&amp;col=15&amp;number=&amp;sourceID=12","")</f>
        <v/>
      </c>
      <c r="P253" s="4" t="str">
        <f>HYPERLINK("http://141.218.60.56/~jnz1568/getInfo.php?workbook=06_01.xlsx&amp;sheet=A0&amp;row=253&amp;col=16&amp;number=&amp;sourceID=12","")</f>
        <v/>
      </c>
      <c r="Q253" s="4" t="str">
        <f>HYPERLINK("http://141.218.60.56/~jnz1568/getInfo.php?workbook=06_01.xlsx&amp;sheet=A0&amp;row=253&amp;col=17&amp;number=1.7836&amp;sourceID=12","1.7836")</f>
        <v>1.7836</v>
      </c>
      <c r="R253" s="4" t="str">
        <f>HYPERLINK("http://141.218.60.56/~jnz1568/getInfo.php?workbook=06_01.xlsx&amp;sheet=A0&amp;row=253&amp;col=18&amp;number=&amp;sourceID=12","")</f>
        <v/>
      </c>
      <c r="S253" s="4" t="str">
        <f>HYPERLINK("http://141.218.60.56/~jnz1568/getInfo.php?workbook=06_01.xlsx&amp;sheet=A0&amp;row=253&amp;col=19&amp;number=&amp;sourceID=12","")</f>
        <v/>
      </c>
      <c r="T253" s="4" t="str">
        <f>HYPERLINK("http://141.218.60.56/~jnz1568/getInfo.php?workbook=06_01.xlsx&amp;sheet=A0&amp;row=253&amp;col=20&amp;number=&amp;sourceID=12","")</f>
        <v/>
      </c>
      <c r="U253" s="4" t="str">
        <f>HYPERLINK("http://141.218.60.56/~jnz1568/getInfo.php?workbook=06_01.xlsx&amp;sheet=A0&amp;row=253&amp;col=21&amp;number=&amp;sourceID=13","")</f>
        <v/>
      </c>
      <c r="V253" s="4" t="str">
        <f>HYPERLINK("http://141.218.60.56/~jnz1568/getInfo.php?workbook=06_01.xlsx&amp;sheet=A0&amp;row=253&amp;col=22&amp;number=&amp;sourceID=13","")</f>
        <v/>
      </c>
      <c r="W253" s="4" t="str">
        <f>HYPERLINK("http://141.218.60.56/~jnz1568/getInfo.php?workbook=06_01.xlsx&amp;sheet=A0&amp;row=253&amp;col=23&amp;number=&amp;sourceID=13","")</f>
        <v/>
      </c>
      <c r="X253" s="4" t="str">
        <f>HYPERLINK("http://141.218.60.56/~jnz1568/getInfo.php?workbook=06_01.xlsx&amp;sheet=A0&amp;row=253&amp;col=24&amp;number=&amp;sourceID=13","")</f>
        <v/>
      </c>
      <c r="Y253" s="4" t="str">
        <f>HYPERLINK("http://141.218.60.56/~jnz1568/getInfo.php?workbook=06_01.xlsx&amp;sheet=A0&amp;row=253&amp;col=25&amp;number=&amp;sourceID=13","")</f>
        <v/>
      </c>
      <c r="Z253" s="4" t="str">
        <f>HYPERLINK("http://141.218.60.56/~jnz1568/getInfo.php?workbook=06_01.xlsx&amp;sheet=A0&amp;row=253&amp;col=26&amp;number=&amp;sourceID=13","")</f>
        <v/>
      </c>
    </row>
    <row r="254" spans="1:26">
      <c r="A254" s="3">
        <v>6</v>
      </c>
      <c r="B254" s="3">
        <v>1</v>
      </c>
      <c r="C254" s="3">
        <v>24</v>
      </c>
      <c r="D254" s="3">
        <v>7</v>
      </c>
      <c r="E254" s="3">
        <f>((1/(INDEX(E0!J$4:J$28,C254,1)-INDEX(E0!J$4:J$28,D254,1))))*100000000</f>
        <v>0</v>
      </c>
      <c r="F254" s="4" t="str">
        <f>HYPERLINK("http://141.218.60.56/~jnz1568/getInfo.php?workbook=06_01.xlsx&amp;sheet=A0&amp;row=254&amp;col=6&amp;number=&amp;sourceID=18","")</f>
        <v/>
      </c>
      <c r="G254" s="4" t="str">
        <f>HYPERLINK("http://141.218.60.56/~jnz1568/getInfo.php?workbook=06_01.xlsx&amp;sheet=A0&amp;row=254&amp;col=7&amp;number==&amp;sourceID=11","=")</f>
        <v>=</v>
      </c>
      <c r="H254" s="4" t="str">
        <f>HYPERLINK("http://141.218.60.56/~jnz1568/getInfo.php?workbook=06_01.xlsx&amp;sheet=A0&amp;row=254&amp;col=8&amp;number=&amp;sourceID=11","")</f>
        <v/>
      </c>
      <c r="I254" s="4" t="str">
        <f>HYPERLINK("http://141.218.60.56/~jnz1568/getInfo.php?workbook=06_01.xlsx&amp;sheet=A0&amp;row=254&amp;col=9&amp;number=&amp;sourceID=11","")</f>
        <v/>
      </c>
      <c r="J254" s="4" t="str">
        <f>HYPERLINK("http://141.218.60.56/~jnz1568/getInfo.php?workbook=06_01.xlsx&amp;sheet=A0&amp;row=254&amp;col=10&amp;number=0.019483&amp;sourceID=11","0.019483")</f>
        <v>0.019483</v>
      </c>
      <c r="K254" s="4" t="str">
        <f>HYPERLINK("http://141.218.60.56/~jnz1568/getInfo.php?workbook=06_01.xlsx&amp;sheet=A0&amp;row=254&amp;col=11&amp;number=&amp;sourceID=11","")</f>
        <v/>
      </c>
      <c r="L254" s="4" t="str">
        <f>HYPERLINK("http://141.218.60.56/~jnz1568/getInfo.php?workbook=06_01.xlsx&amp;sheet=A0&amp;row=254&amp;col=12&amp;number=1.4607&amp;sourceID=11","1.4607")</f>
        <v>1.4607</v>
      </c>
      <c r="M254" s="4" t="str">
        <f>HYPERLINK("http://141.218.60.56/~jnz1568/getInfo.php?workbook=06_01.xlsx&amp;sheet=A0&amp;row=254&amp;col=13&amp;number=&amp;sourceID=11","")</f>
        <v/>
      </c>
      <c r="N254" s="4" t="str">
        <f>HYPERLINK("http://141.218.60.56/~jnz1568/getInfo.php?workbook=06_01.xlsx&amp;sheet=A0&amp;row=254&amp;col=14&amp;number=1.4803&amp;sourceID=12","1.4803")</f>
        <v>1.4803</v>
      </c>
      <c r="O254" s="4" t="str">
        <f>HYPERLINK("http://141.218.60.56/~jnz1568/getInfo.php?workbook=06_01.xlsx&amp;sheet=A0&amp;row=254&amp;col=15&amp;number=&amp;sourceID=12","")</f>
        <v/>
      </c>
      <c r="P254" s="4" t="str">
        <f>HYPERLINK("http://141.218.60.56/~jnz1568/getInfo.php?workbook=06_01.xlsx&amp;sheet=A0&amp;row=254&amp;col=16&amp;number=&amp;sourceID=12","")</f>
        <v/>
      </c>
      <c r="Q254" s="4" t="str">
        <f>HYPERLINK("http://141.218.60.56/~jnz1568/getInfo.php?workbook=06_01.xlsx&amp;sheet=A0&amp;row=254&amp;col=17&amp;number=0.019484&amp;sourceID=12","0.019484")</f>
        <v>0.019484</v>
      </c>
      <c r="R254" s="4" t="str">
        <f>HYPERLINK("http://141.218.60.56/~jnz1568/getInfo.php?workbook=06_01.xlsx&amp;sheet=A0&amp;row=254&amp;col=18&amp;number=&amp;sourceID=12","")</f>
        <v/>
      </c>
      <c r="S254" s="4" t="str">
        <f>HYPERLINK("http://141.218.60.56/~jnz1568/getInfo.php?workbook=06_01.xlsx&amp;sheet=A0&amp;row=254&amp;col=19&amp;number=1.4608&amp;sourceID=12","1.4608")</f>
        <v>1.4608</v>
      </c>
      <c r="T254" s="4" t="str">
        <f>HYPERLINK("http://141.218.60.56/~jnz1568/getInfo.php?workbook=06_01.xlsx&amp;sheet=A0&amp;row=254&amp;col=20&amp;number=&amp;sourceID=12","")</f>
        <v/>
      </c>
      <c r="U254" s="4" t="str">
        <f>HYPERLINK("http://141.218.60.56/~jnz1568/getInfo.php?workbook=06_01.xlsx&amp;sheet=A0&amp;row=254&amp;col=21&amp;number=&amp;sourceID=13","")</f>
        <v/>
      </c>
      <c r="V254" s="4" t="str">
        <f>HYPERLINK("http://141.218.60.56/~jnz1568/getInfo.php?workbook=06_01.xlsx&amp;sheet=A0&amp;row=254&amp;col=22&amp;number=&amp;sourceID=13","")</f>
        <v/>
      </c>
      <c r="W254" s="4" t="str">
        <f>HYPERLINK("http://141.218.60.56/~jnz1568/getInfo.php?workbook=06_01.xlsx&amp;sheet=A0&amp;row=254&amp;col=23&amp;number=&amp;sourceID=13","")</f>
        <v/>
      </c>
      <c r="X254" s="4" t="str">
        <f>HYPERLINK("http://141.218.60.56/~jnz1568/getInfo.php?workbook=06_01.xlsx&amp;sheet=A0&amp;row=254&amp;col=24&amp;number=&amp;sourceID=13","")</f>
        <v/>
      </c>
      <c r="Y254" s="4" t="str">
        <f>HYPERLINK("http://141.218.60.56/~jnz1568/getInfo.php?workbook=06_01.xlsx&amp;sheet=A0&amp;row=254&amp;col=25&amp;number=&amp;sourceID=13","")</f>
        <v/>
      </c>
      <c r="Z254" s="4" t="str">
        <f>HYPERLINK("http://141.218.60.56/~jnz1568/getInfo.php?workbook=06_01.xlsx&amp;sheet=A0&amp;row=254&amp;col=26&amp;number=&amp;sourceID=13","")</f>
        <v/>
      </c>
    </row>
    <row r="255" spans="1:26">
      <c r="A255" s="3">
        <v>6</v>
      </c>
      <c r="B255" s="3">
        <v>1</v>
      </c>
      <c r="C255" s="3">
        <v>24</v>
      </c>
      <c r="D255" s="3">
        <v>8</v>
      </c>
      <c r="E255" s="3">
        <f>((1/(INDEX(E0!J$4:J$28,C255,1)-INDEX(E0!J$4:J$28,D255,1))))*100000000</f>
        <v>0</v>
      </c>
      <c r="F255" s="4" t="str">
        <f>HYPERLINK("http://141.218.60.56/~jnz1568/getInfo.php?workbook=06_01.xlsx&amp;sheet=A0&amp;row=255&amp;col=6&amp;number=&amp;sourceID=18","")</f>
        <v/>
      </c>
      <c r="G255" s="4" t="str">
        <f>HYPERLINK("http://141.218.60.56/~jnz1568/getInfo.php?workbook=06_01.xlsx&amp;sheet=A0&amp;row=255&amp;col=7&amp;number==&amp;sourceID=11","=")</f>
        <v>=</v>
      </c>
      <c r="H255" s="4" t="str">
        <f>HYPERLINK("http://141.218.60.56/~jnz1568/getInfo.php?workbook=06_01.xlsx&amp;sheet=A0&amp;row=255&amp;col=8&amp;number=&amp;sourceID=11","")</f>
        <v/>
      </c>
      <c r="I255" s="4" t="str">
        <f>HYPERLINK("http://141.218.60.56/~jnz1568/getInfo.php?workbook=06_01.xlsx&amp;sheet=A0&amp;row=255&amp;col=9&amp;number=1218.6&amp;sourceID=11","1218.6")</f>
        <v>1218.6</v>
      </c>
      <c r="J255" s="4" t="str">
        <f>HYPERLINK("http://141.218.60.56/~jnz1568/getInfo.php?workbook=06_01.xlsx&amp;sheet=A0&amp;row=255&amp;col=10&amp;number=&amp;sourceID=11","")</f>
        <v/>
      </c>
      <c r="K255" s="4" t="str">
        <f>HYPERLINK("http://141.218.60.56/~jnz1568/getInfo.php?workbook=06_01.xlsx&amp;sheet=A0&amp;row=255&amp;col=11&amp;number=&amp;sourceID=11","")</f>
        <v/>
      </c>
      <c r="L255" s="4" t="str">
        <f>HYPERLINK("http://141.218.60.56/~jnz1568/getInfo.php?workbook=06_01.xlsx&amp;sheet=A0&amp;row=255&amp;col=12&amp;number=&amp;sourceID=11","")</f>
        <v/>
      </c>
      <c r="M255" s="4" t="str">
        <f>HYPERLINK("http://141.218.60.56/~jnz1568/getInfo.php?workbook=06_01.xlsx&amp;sheet=A0&amp;row=255&amp;col=13&amp;number=1.2126e-06&amp;sourceID=11","1.2126e-06")</f>
        <v>1.2126e-06</v>
      </c>
      <c r="N255" s="4" t="str">
        <f>HYPERLINK("http://141.218.60.56/~jnz1568/getInfo.php?workbook=06_01.xlsx&amp;sheet=A0&amp;row=255&amp;col=14&amp;number=1218.6&amp;sourceID=12","1218.6")</f>
        <v>1218.6</v>
      </c>
      <c r="O255" s="4" t="str">
        <f>HYPERLINK("http://141.218.60.56/~jnz1568/getInfo.php?workbook=06_01.xlsx&amp;sheet=A0&amp;row=255&amp;col=15&amp;number=&amp;sourceID=12","")</f>
        <v/>
      </c>
      <c r="P255" s="4" t="str">
        <f>HYPERLINK("http://141.218.60.56/~jnz1568/getInfo.php?workbook=06_01.xlsx&amp;sheet=A0&amp;row=255&amp;col=16&amp;number=1218.6&amp;sourceID=12","1218.6")</f>
        <v>1218.6</v>
      </c>
      <c r="Q255" s="4" t="str">
        <f>HYPERLINK("http://141.218.60.56/~jnz1568/getInfo.php?workbook=06_01.xlsx&amp;sheet=A0&amp;row=255&amp;col=17&amp;number=&amp;sourceID=12","")</f>
        <v/>
      </c>
      <c r="R255" s="4" t="str">
        <f>HYPERLINK("http://141.218.60.56/~jnz1568/getInfo.php?workbook=06_01.xlsx&amp;sheet=A0&amp;row=255&amp;col=18&amp;number=&amp;sourceID=12","")</f>
        <v/>
      </c>
      <c r="S255" s="4" t="str">
        <f>HYPERLINK("http://141.218.60.56/~jnz1568/getInfo.php?workbook=06_01.xlsx&amp;sheet=A0&amp;row=255&amp;col=19&amp;number=&amp;sourceID=12","")</f>
        <v/>
      </c>
      <c r="T255" s="4" t="str">
        <f>HYPERLINK("http://141.218.60.56/~jnz1568/getInfo.php?workbook=06_01.xlsx&amp;sheet=A0&amp;row=255&amp;col=20&amp;number=1.2126e-06&amp;sourceID=12","1.2126e-06")</f>
        <v>1.2126e-06</v>
      </c>
      <c r="U255" s="4" t="str">
        <f>HYPERLINK("http://141.218.60.56/~jnz1568/getInfo.php?workbook=06_01.xlsx&amp;sheet=A0&amp;row=255&amp;col=21&amp;number=&amp;sourceID=13","")</f>
        <v/>
      </c>
      <c r="V255" s="4" t="str">
        <f>HYPERLINK("http://141.218.60.56/~jnz1568/getInfo.php?workbook=06_01.xlsx&amp;sheet=A0&amp;row=255&amp;col=22&amp;number=&amp;sourceID=13","")</f>
        <v/>
      </c>
      <c r="W255" s="4" t="str">
        <f>HYPERLINK("http://141.218.60.56/~jnz1568/getInfo.php?workbook=06_01.xlsx&amp;sheet=A0&amp;row=255&amp;col=23&amp;number=&amp;sourceID=13","")</f>
        <v/>
      </c>
      <c r="X255" s="4" t="str">
        <f>HYPERLINK("http://141.218.60.56/~jnz1568/getInfo.php?workbook=06_01.xlsx&amp;sheet=A0&amp;row=255&amp;col=24&amp;number=&amp;sourceID=13","")</f>
        <v/>
      </c>
      <c r="Y255" s="4" t="str">
        <f>HYPERLINK("http://141.218.60.56/~jnz1568/getInfo.php?workbook=06_01.xlsx&amp;sheet=A0&amp;row=255&amp;col=25&amp;number=&amp;sourceID=13","")</f>
        <v/>
      </c>
      <c r="Z255" s="4" t="str">
        <f>HYPERLINK("http://141.218.60.56/~jnz1568/getInfo.php?workbook=06_01.xlsx&amp;sheet=A0&amp;row=255&amp;col=26&amp;number=&amp;sourceID=13","")</f>
        <v/>
      </c>
    </row>
    <row r="256" spans="1:26">
      <c r="A256" s="3">
        <v>6</v>
      </c>
      <c r="B256" s="3">
        <v>1</v>
      </c>
      <c r="C256" s="3">
        <v>24</v>
      </c>
      <c r="D256" s="3">
        <v>9</v>
      </c>
      <c r="E256" s="3">
        <f>((1/(INDEX(E0!J$4:J$28,C256,1)-INDEX(E0!J$4:J$28,D256,1))))*100000000</f>
        <v>0</v>
      </c>
      <c r="F256" s="4" t="str">
        <f>HYPERLINK("http://141.218.60.56/~jnz1568/getInfo.php?workbook=06_01.xlsx&amp;sheet=A0&amp;row=256&amp;col=6&amp;number=&amp;sourceID=18","")</f>
        <v/>
      </c>
      <c r="G256" s="4" t="str">
        <f>HYPERLINK("http://141.218.60.56/~jnz1568/getInfo.php?workbook=06_01.xlsx&amp;sheet=A0&amp;row=256&amp;col=7&amp;number==&amp;sourceID=11","=")</f>
        <v>=</v>
      </c>
      <c r="H256" s="4" t="str">
        <f>HYPERLINK("http://141.218.60.56/~jnz1568/getInfo.php?workbook=06_01.xlsx&amp;sheet=A0&amp;row=256&amp;col=8&amp;number=5889600000&amp;sourceID=11","5889600000")</f>
        <v>5889600000</v>
      </c>
      <c r="I256" s="4" t="str">
        <f>HYPERLINK("http://141.218.60.56/~jnz1568/getInfo.php?workbook=06_01.xlsx&amp;sheet=A0&amp;row=256&amp;col=9&amp;number=&amp;sourceID=11","")</f>
        <v/>
      </c>
      <c r="J256" s="4" t="str">
        <f>HYPERLINK("http://141.218.60.56/~jnz1568/getInfo.php?workbook=06_01.xlsx&amp;sheet=A0&amp;row=256&amp;col=10&amp;number=0.058605&amp;sourceID=11","0.058605")</f>
        <v>0.058605</v>
      </c>
      <c r="K256" s="4" t="str">
        <f>HYPERLINK("http://141.218.60.56/~jnz1568/getInfo.php?workbook=06_01.xlsx&amp;sheet=A0&amp;row=256&amp;col=11&amp;number=&amp;sourceID=11","")</f>
        <v/>
      </c>
      <c r="L256" s="4" t="str">
        <f>HYPERLINK("http://141.218.60.56/~jnz1568/getInfo.php?workbook=06_01.xlsx&amp;sheet=A0&amp;row=256&amp;col=12&amp;number=10.055&amp;sourceID=11","10.055")</f>
        <v>10.055</v>
      </c>
      <c r="M256" s="4" t="str">
        <f>HYPERLINK("http://141.218.60.56/~jnz1568/getInfo.php?workbook=06_01.xlsx&amp;sheet=A0&amp;row=256&amp;col=13&amp;number=&amp;sourceID=11","")</f>
        <v/>
      </c>
      <c r="N256" s="4" t="str">
        <f>HYPERLINK("http://141.218.60.56/~jnz1568/getInfo.php?workbook=06_01.xlsx&amp;sheet=A0&amp;row=256&amp;col=14&amp;number=5889900000&amp;sourceID=12","5889900000")</f>
        <v>5889900000</v>
      </c>
      <c r="O256" s="4" t="str">
        <f>HYPERLINK("http://141.218.60.56/~jnz1568/getInfo.php?workbook=06_01.xlsx&amp;sheet=A0&amp;row=256&amp;col=15&amp;number=5889900000&amp;sourceID=12","5889900000")</f>
        <v>5889900000</v>
      </c>
      <c r="P256" s="4" t="str">
        <f>HYPERLINK("http://141.218.60.56/~jnz1568/getInfo.php?workbook=06_01.xlsx&amp;sheet=A0&amp;row=256&amp;col=16&amp;number=&amp;sourceID=12","")</f>
        <v/>
      </c>
      <c r="Q256" s="4" t="str">
        <f>HYPERLINK("http://141.218.60.56/~jnz1568/getInfo.php?workbook=06_01.xlsx&amp;sheet=A0&amp;row=256&amp;col=17&amp;number=0.058608&amp;sourceID=12","0.058608")</f>
        <v>0.058608</v>
      </c>
      <c r="R256" s="4" t="str">
        <f>HYPERLINK("http://141.218.60.56/~jnz1568/getInfo.php?workbook=06_01.xlsx&amp;sheet=A0&amp;row=256&amp;col=18&amp;number=&amp;sourceID=12","")</f>
        <v/>
      </c>
      <c r="S256" s="4" t="str">
        <f>HYPERLINK("http://141.218.60.56/~jnz1568/getInfo.php?workbook=06_01.xlsx&amp;sheet=A0&amp;row=256&amp;col=19&amp;number=10.056&amp;sourceID=12","10.056")</f>
        <v>10.056</v>
      </c>
      <c r="T256" s="4" t="str">
        <f>HYPERLINK("http://141.218.60.56/~jnz1568/getInfo.php?workbook=06_01.xlsx&amp;sheet=A0&amp;row=256&amp;col=20&amp;number=&amp;sourceID=12","")</f>
        <v/>
      </c>
      <c r="U256" s="4" t="str">
        <f>HYPERLINK("http://141.218.60.56/~jnz1568/getInfo.php?workbook=06_01.xlsx&amp;sheet=A0&amp;row=256&amp;col=21&amp;number=&amp;sourceID=13","")</f>
        <v/>
      </c>
      <c r="V256" s="4" t="str">
        <f>HYPERLINK("http://141.218.60.56/~jnz1568/getInfo.php?workbook=06_01.xlsx&amp;sheet=A0&amp;row=256&amp;col=22&amp;number=&amp;sourceID=13","")</f>
        <v/>
      </c>
      <c r="W256" s="4" t="str">
        <f>HYPERLINK("http://141.218.60.56/~jnz1568/getInfo.php?workbook=06_01.xlsx&amp;sheet=A0&amp;row=256&amp;col=23&amp;number=&amp;sourceID=13","")</f>
        <v/>
      </c>
      <c r="X256" s="4" t="str">
        <f>HYPERLINK("http://141.218.60.56/~jnz1568/getInfo.php?workbook=06_01.xlsx&amp;sheet=A0&amp;row=256&amp;col=24&amp;number=&amp;sourceID=13","")</f>
        <v/>
      </c>
      <c r="Y256" s="4" t="str">
        <f>HYPERLINK("http://141.218.60.56/~jnz1568/getInfo.php?workbook=06_01.xlsx&amp;sheet=A0&amp;row=256&amp;col=25&amp;number=&amp;sourceID=13","")</f>
        <v/>
      </c>
      <c r="Z256" s="4" t="str">
        <f>HYPERLINK("http://141.218.60.56/~jnz1568/getInfo.php?workbook=06_01.xlsx&amp;sheet=A0&amp;row=256&amp;col=26&amp;number=&amp;sourceID=13","")</f>
        <v/>
      </c>
    </row>
    <row r="257" spans="1:26">
      <c r="A257" s="3">
        <v>6</v>
      </c>
      <c r="B257" s="3">
        <v>1</v>
      </c>
      <c r="C257" s="3">
        <v>24</v>
      </c>
      <c r="D257" s="3">
        <v>10</v>
      </c>
      <c r="E257" s="3">
        <f>((1/(INDEX(E0!J$4:J$28,C257,1)-INDEX(E0!J$4:J$28,D257,1))))*100000000</f>
        <v>0</v>
      </c>
      <c r="F257" s="4" t="str">
        <f>HYPERLINK("http://141.218.60.56/~jnz1568/getInfo.php?workbook=06_01.xlsx&amp;sheet=A0&amp;row=257&amp;col=6&amp;number=&amp;sourceID=18","")</f>
        <v/>
      </c>
      <c r="G257" s="4" t="str">
        <f>HYPERLINK("http://141.218.60.56/~jnz1568/getInfo.php?workbook=06_01.xlsx&amp;sheet=A0&amp;row=257&amp;col=7&amp;number==&amp;sourceID=11","=")</f>
        <v>=</v>
      </c>
      <c r="H257" s="4" t="str">
        <f>HYPERLINK("http://141.218.60.56/~jnz1568/getInfo.php?workbook=06_01.xlsx&amp;sheet=A0&amp;row=257&amp;col=8&amp;number=&amp;sourceID=11","")</f>
        <v/>
      </c>
      <c r="I257" s="4" t="str">
        <f>HYPERLINK("http://141.218.60.56/~jnz1568/getInfo.php?workbook=06_01.xlsx&amp;sheet=A0&amp;row=257&amp;col=9&amp;number=&amp;sourceID=11","")</f>
        <v/>
      </c>
      <c r="J257" s="4" t="str">
        <f>HYPERLINK("http://141.218.60.56/~jnz1568/getInfo.php?workbook=06_01.xlsx&amp;sheet=A0&amp;row=257&amp;col=10&amp;number=&amp;sourceID=11","")</f>
        <v/>
      </c>
      <c r="K257" s="4" t="str">
        <f>HYPERLINK("http://141.218.60.56/~jnz1568/getInfo.php?workbook=06_01.xlsx&amp;sheet=A0&amp;row=257&amp;col=11&amp;number=&amp;sourceID=11","")</f>
        <v/>
      </c>
      <c r="L257" s="4" t="str">
        <f>HYPERLINK("http://141.218.60.56/~jnz1568/getInfo.php?workbook=06_01.xlsx&amp;sheet=A0&amp;row=257&amp;col=12&amp;number=&amp;sourceID=11","")</f>
        <v/>
      </c>
      <c r="M257" s="4" t="str">
        <f>HYPERLINK("http://141.218.60.56/~jnz1568/getInfo.php?workbook=06_01.xlsx&amp;sheet=A0&amp;row=257&amp;col=13&amp;number=1.4595e-06&amp;sourceID=11","1.4595e-06")</f>
        <v>1.4595e-06</v>
      </c>
      <c r="N257" s="4" t="str">
        <f>HYPERLINK("http://141.218.60.56/~jnz1568/getInfo.php?workbook=06_01.xlsx&amp;sheet=A0&amp;row=257&amp;col=14&amp;number=1.4595e-06&amp;sourceID=12","1.4595e-06")</f>
        <v>1.4595e-06</v>
      </c>
      <c r="O257" s="4" t="str">
        <f>HYPERLINK("http://141.218.60.56/~jnz1568/getInfo.php?workbook=06_01.xlsx&amp;sheet=A0&amp;row=257&amp;col=15&amp;number=&amp;sourceID=12","")</f>
        <v/>
      </c>
      <c r="P257" s="4" t="str">
        <f>HYPERLINK("http://141.218.60.56/~jnz1568/getInfo.php?workbook=06_01.xlsx&amp;sheet=A0&amp;row=257&amp;col=16&amp;number=&amp;sourceID=12","")</f>
        <v/>
      </c>
      <c r="Q257" s="4" t="str">
        <f>HYPERLINK("http://141.218.60.56/~jnz1568/getInfo.php?workbook=06_01.xlsx&amp;sheet=A0&amp;row=257&amp;col=17&amp;number=&amp;sourceID=12","")</f>
        <v/>
      </c>
      <c r="R257" s="4" t="str">
        <f>HYPERLINK("http://141.218.60.56/~jnz1568/getInfo.php?workbook=06_01.xlsx&amp;sheet=A0&amp;row=257&amp;col=18&amp;number=&amp;sourceID=12","")</f>
        <v/>
      </c>
      <c r="S257" s="4" t="str">
        <f>HYPERLINK("http://141.218.60.56/~jnz1568/getInfo.php?workbook=06_01.xlsx&amp;sheet=A0&amp;row=257&amp;col=19&amp;number=&amp;sourceID=12","")</f>
        <v/>
      </c>
      <c r="T257" s="4" t="str">
        <f>HYPERLINK("http://141.218.60.56/~jnz1568/getInfo.php?workbook=06_01.xlsx&amp;sheet=A0&amp;row=257&amp;col=20&amp;number=1.4595e-06&amp;sourceID=12","1.4595e-06")</f>
        <v>1.4595e-06</v>
      </c>
      <c r="U257" s="4" t="str">
        <f>HYPERLINK("http://141.218.60.56/~jnz1568/getInfo.php?workbook=06_01.xlsx&amp;sheet=A0&amp;row=257&amp;col=21&amp;number=&amp;sourceID=13","")</f>
        <v/>
      </c>
      <c r="V257" s="4" t="str">
        <f>HYPERLINK("http://141.218.60.56/~jnz1568/getInfo.php?workbook=06_01.xlsx&amp;sheet=A0&amp;row=257&amp;col=22&amp;number=&amp;sourceID=13","")</f>
        <v/>
      </c>
      <c r="W257" s="4" t="str">
        <f>HYPERLINK("http://141.218.60.56/~jnz1568/getInfo.php?workbook=06_01.xlsx&amp;sheet=A0&amp;row=257&amp;col=23&amp;number=&amp;sourceID=13","")</f>
        <v/>
      </c>
      <c r="X257" s="4" t="str">
        <f>HYPERLINK("http://141.218.60.56/~jnz1568/getInfo.php?workbook=06_01.xlsx&amp;sheet=A0&amp;row=257&amp;col=24&amp;number=&amp;sourceID=13","")</f>
        <v/>
      </c>
      <c r="Y257" s="4" t="str">
        <f>HYPERLINK("http://141.218.60.56/~jnz1568/getInfo.php?workbook=06_01.xlsx&amp;sheet=A0&amp;row=257&amp;col=25&amp;number=&amp;sourceID=13","")</f>
        <v/>
      </c>
      <c r="Z257" s="4" t="str">
        <f>HYPERLINK("http://141.218.60.56/~jnz1568/getInfo.php?workbook=06_01.xlsx&amp;sheet=A0&amp;row=257&amp;col=26&amp;number=&amp;sourceID=13","")</f>
        <v/>
      </c>
    </row>
    <row r="258" spans="1:26">
      <c r="A258" s="3">
        <v>6</v>
      </c>
      <c r="B258" s="3">
        <v>1</v>
      </c>
      <c r="C258" s="3">
        <v>24</v>
      </c>
      <c r="D258" s="3">
        <v>11</v>
      </c>
      <c r="E258" s="3">
        <f>((1/(INDEX(E0!J$4:J$28,C258,1)-INDEX(E0!J$4:J$28,D258,1))))*100000000</f>
        <v>0</v>
      </c>
      <c r="F258" s="4" t="str">
        <f>HYPERLINK("http://141.218.60.56/~jnz1568/getInfo.php?workbook=06_01.xlsx&amp;sheet=A0&amp;row=258&amp;col=6&amp;number=&amp;sourceID=18","")</f>
        <v/>
      </c>
      <c r="G258" s="4" t="str">
        <f>HYPERLINK("http://141.218.60.56/~jnz1568/getInfo.php?workbook=06_01.xlsx&amp;sheet=A0&amp;row=258&amp;col=7&amp;number==&amp;sourceID=11","=")</f>
        <v>=</v>
      </c>
      <c r="H258" s="4" t="str">
        <f>HYPERLINK("http://141.218.60.56/~jnz1568/getInfo.php?workbook=06_01.xlsx&amp;sheet=A0&amp;row=258&amp;col=8&amp;number=&amp;sourceID=11","")</f>
        <v/>
      </c>
      <c r="I258" s="4" t="str">
        <f>HYPERLINK("http://141.218.60.56/~jnz1568/getInfo.php?workbook=06_01.xlsx&amp;sheet=A0&amp;row=258&amp;col=9&amp;number=&amp;sourceID=11","")</f>
        <v/>
      </c>
      <c r="J258" s="4" t="str">
        <f>HYPERLINK("http://141.218.60.56/~jnz1568/getInfo.php?workbook=06_01.xlsx&amp;sheet=A0&amp;row=258&amp;col=10&amp;number=0.20963&amp;sourceID=11","0.20963")</f>
        <v>0.20963</v>
      </c>
      <c r="K258" s="4" t="str">
        <f>HYPERLINK("http://141.218.60.56/~jnz1568/getInfo.php?workbook=06_01.xlsx&amp;sheet=A0&amp;row=258&amp;col=11&amp;number=&amp;sourceID=11","")</f>
        <v/>
      </c>
      <c r="L258" s="4" t="str">
        <f>HYPERLINK("http://141.218.60.56/~jnz1568/getInfo.php?workbook=06_01.xlsx&amp;sheet=A0&amp;row=258&amp;col=12&amp;number=&amp;sourceID=11","")</f>
        <v/>
      </c>
      <c r="M258" s="4" t="str">
        <f>HYPERLINK("http://141.218.60.56/~jnz1568/getInfo.php?workbook=06_01.xlsx&amp;sheet=A0&amp;row=258&amp;col=13&amp;number=&amp;sourceID=11","")</f>
        <v/>
      </c>
      <c r="N258" s="4" t="str">
        <f>HYPERLINK("http://141.218.60.56/~jnz1568/getInfo.php?workbook=06_01.xlsx&amp;sheet=A0&amp;row=258&amp;col=14&amp;number=0.20964&amp;sourceID=12","0.20964")</f>
        <v>0.20964</v>
      </c>
      <c r="O258" s="4" t="str">
        <f>HYPERLINK("http://141.218.60.56/~jnz1568/getInfo.php?workbook=06_01.xlsx&amp;sheet=A0&amp;row=258&amp;col=15&amp;number=&amp;sourceID=12","")</f>
        <v/>
      </c>
      <c r="P258" s="4" t="str">
        <f>HYPERLINK("http://141.218.60.56/~jnz1568/getInfo.php?workbook=06_01.xlsx&amp;sheet=A0&amp;row=258&amp;col=16&amp;number=&amp;sourceID=12","")</f>
        <v/>
      </c>
      <c r="Q258" s="4" t="str">
        <f>HYPERLINK("http://141.218.60.56/~jnz1568/getInfo.php?workbook=06_01.xlsx&amp;sheet=A0&amp;row=258&amp;col=17&amp;number=0.20964&amp;sourceID=12","0.20964")</f>
        <v>0.20964</v>
      </c>
      <c r="R258" s="4" t="str">
        <f>HYPERLINK("http://141.218.60.56/~jnz1568/getInfo.php?workbook=06_01.xlsx&amp;sheet=A0&amp;row=258&amp;col=18&amp;number=&amp;sourceID=12","")</f>
        <v/>
      </c>
      <c r="S258" s="4" t="str">
        <f>HYPERLINK("http://141.218.60.56/~jnz1568/getInfo.php?workbook=06_01.xlsx&amp;sheet=A0&amp;row=258&amp;col=19&amp;number=&amp;sourceID=12","")</f>
        <v/>
      </c>
      <c r="T258" s="4" t="str">
        <f>HYPERLINK("http://141.218.60.56/~jnz1568/getInfo.php?workbook=06_01.xlsx&amp;sheet=A0&amp;row=258&amp;col=20&amp;number=&amp;sourceID=12","")</f>
        <v/>
      </c>
      <c r="U258" s="4" t="str">
        <f>HYPERLINK("http://141.218.60.56/~jnz1568/getInfo.php?workbook=06_01.xlsx&amp;sheet=A0&amp;row=258&amp;col=21&amp;number=&amp;sourceID=13","")</f>
        <v/>
      </c>
      <c r="V258" s="4" t="str">
        <f>HYPERLINK("http://141.218.60.56/~jnz1568/getInfo.php?workbook=06_01.xlsx&amp;sheet=A0&amp;row=258&amp;col=22&amp;number=&amp;sourceID=13","")</f>
        <v/>
      </c>
      <c r="W258" s="4" t="str">
        <f>HYPERLINK("http://141.218.60.56/~jnz1568/getInfo.php?workbook=06_01.xlsx&amp;sheet=A0&amp;row=258&amp;col=23&amp;number=&amp;sourceID=13","")</f>
        <v/>
      </c>
      <c r="X258" s="4" t="str">
        <f>HYPERLINK("http://141.218.60.56/~jnz1568/getInfo.php?workbook=06_01.xlsx&amp;sheet=A0&amp;row=258&amp;col=24&amp;number=&amp;sourceID=13","")</f>
        <v/>
      </c>
      <c r="Y258" s="4" t="str">
        <f>HYPERLINK("http://141.218.60.56/~jnz1568/getInfo.php?workbook=06_01.xlsx&amp;sheet=A0&amp;row=258&amp;col=25&amp;number=&amp;sourceID=13","")</f>
        <v/>
      </c>
      <c r="Z258" s="4" t="str">
        <f>HYPERLINK("http://141.218.60.56/~jnz1568/getInfo.php?workbook=06_01.xlsx&amp;sheet=A0&amp;row=258&amp;col=26&amp;number=&amp;sourceID=13","")</f>
        <v/>
      </c>
    </row>
    <row r="259" spans="1:26">
      <c r="A259" s="3">
        <v>6</v>
      </c>
      <c r="B259" s="3">
        <v>1</v>
      </c>
      <c r="C259" s="3">
        <v>24</v>
      </c>
      <c r="D259" s="3">
        <v>12</v>
      </c>
      <c r="E259" s="3">
        <f>((1/(INDEX(E0!J$4:J$28,C259,1)-INDEX(E0!J$4:J$28,D259,1))))*100000000</f>
        <v>0</v>
      </c>
      <c r="F259" s="4" t="str">
        <f>HYPERLINK("http://141.218.60.56/~jnz1568/getInfo.php?workbook=06_01.xlsx&amp;sheet=A0&amp;row=259&amp;col=6&amp;number=&amp;sourceID=18","")</f>
        <v/>
      </c>
      <c r="G259" s="4" t="str">
        <f>HYPERLINK("http://141.218.60.56/~jnz1568/getInfo.php?workbook=06_01.xlsx&amp;sheet=A0&amp;row=259&amp;col=7&amp;number==&amp;sourceID=11","=")</f>
        <v>=</v>
      </c>
      <c r="H259" s="4" t="str">
        <f>HYPERLINK("http://141.218.60.56/~jnz1568/getInfo.php?workbook=06_01.xlsx&amp;sheet=A0&amp;row=259&amp;col=8&amp;number=&amp;sourceID=11","")</f>
        <v/>
      </c>
      <c r="I259" s="4" t="str">
        <f>HYPERLINK("http://141.218.60.56/~jnz1568/getInfo.php?workbook=06_01.xlsx&amp;sheet=A0&amp;row=259&amp;col=9&amp;number=&amp;sourceID=11","")</f>
        <v/>
      </c>
      <c r="J259" s="4" t="str">
        <f>HYPERLINK("http://141.218.60.56/~jnz1568/getInfo.php?workbook=06_01.xlsx&amp;sheet=A0&amp;row=259&amp;col=10&amp;number=0.033493&amp;sourceID=11","0.033493")</f>
        <v>0.033493</v>
      </c>
      <c r="K259" s="4" t="str">
        <f>HYPERLINK("http://141.218.60.56/~jnz1568/getInfo.php?workbook=06_01.xlsx&amp;sheet=A0&amp;row=259&amp;col=11&amp;number=&amp;sourceID=11","")</f>
        <v/>
      </c>
      <c r="L259" s="4" t="str">
        <f>HYPERLINK("http://141.218.60.56/~jnz1568/getInfo.php?workbook=06_01.xlsx&amp;sheet=A0&amp;row=259&amp;col=12&amp;number=0.083186&amp;sourceID=11","0.083186")</f>
        <v>0.083186</v>
      </c>
      <c r="M259" s="4" t="str">
        <f>HYPERLINK("http://141.218.60.56/~jnz1568/getInfo.php?workbook=06_01.xlsx&amp;sheet=A0&amp;row=259&amp;col=13&amp;number=&amp;sourceID=11","")</f>
        <v/>
      </c>
      <c r="N259" s="4" t="str">
        <f>HYPERLINK("http://141.218.60.56/~jnz1568/getInfo.php?workbook=06_01.xlsx&amp;sheet=A0&amp;row=259&amp;col=14&amp;number=0.11668&amp;sourceID=12","0.11668")</f>
        <v>0.11668</v>
      </c>
      <c r="O259" s="4" t="str">
        <f>HYPERLINK("http://141.218.60.56/~jnz1568/getInfo.php?workbook=06_01.xlsx&amp;sheet=A0&amp;row=259&amp;col=15&amp;number=&amp;sourceID=12","")</f>
        <v/>
      </c>
      <c r="P259" s="4" t="str">
        <f>HYPERLINK("http://141.218.60.56/~jnz1568/getInfo.php?workbook=06_01.xlsx&amp;sheet=A0&amp;row=259&amp;col=16&amp;number=&amp;sourceID=12","")</f>
        <v/>
      </c>
      <c r="Q259" s="4" t="str">
        <f>HYPERLINK("http://141.218.60.56/~jnz1568/getInfo.php?workbook=06_01.xlsx&amp;sheet=A0&amp;row=259&amp;col=17&amp;number=0.033495&amp;sourceID=12","0.033495")</f>
        <v>0.033495</v>
      </c>
      <c r="R259" s="4" t="str">
        <f>HYPERLINK("http://141.218.60.56/~jnz1568/getInfo.php?workbook=06_01.xlsx&amp;sheet=A0&amp;row=259&amp;col=18&amp;number=&amp;sourceID=12","")</f>
        <v/>
      </c>
      <c r="S259" s="4" t="str">
        <f>HYPERLINK("http://141.218.60.56/~jnz1568/getInfo.php?workbook=06_01.xlsx&amp;sheet=A0&amp;row=259&amp;col=19&amp;number=0.08319&amp;sourceID=12","0.08319")</f>
        <v>0.08319</v>
      </c>
      <c r="T259" s="4" t="str">
        <f>HYPERLINK("http://141.218.60.56/~jnz1568/getInfo.php?workbook=06_01.xlsx&amp;sheet=A0&amp;row=259&amp;col=20&amp;number=&amp;sourceID=12","")</f>
        <v/>
      </c>
      <c r="U259" s="4" t="str">
        <f>HYPERLINK("http://141.218.60.56/~jnz1568/getInfo.php?workbook=06_01.xlsx&amp;sheet=A0&amp;row=259&amp;col=21&amp;number=&amp;sourceID=13","")</f>
        <v/>
      </c>
      <c r="V259" s="4" t="str">
        <f>HYPERLINK("http://141.218.60.56/~jnz1568/getInfo.php?workbook=06_01.xlsx&amp;sheet=A0&amp;row=259&amp;col=22&amp;number=&amp;sourceID=13","")</f>
        <v/>
      </c>
      <c r="W259" s="4" t="str">
        <f>HYPERLINK("http://141.218.60.56/~jnz1568/getInfo.php?workbook=06_01.xlsx&amp;sheet=A0&amp;row=259&amp;col=23&amp;number=&amp;sourceID=13","")</f>
        <v/>
      </c>
      <c r="X259" s="4" t="str">
        <f>HYPERLINK("http://141.218.60.56/~jnz1568/getInfo.php?workbook=06_01.xlsx&amp;sheet=A0&amp;row=259&amp;col=24&amp;number=&amp;sourceID=13","")</f>
        <v/>
      </c>
      <c r="Y259" s="4" t="str">
        <f>HYPERLINK("http://141.218.60.56/~jnz1568/getInfo.php?workbook=06_01.xlsx&amp;sheet=A0&amp;row=259&amp;col=25&amp;number=&amp;sourceID=13","")</f>
        <v/>
      </c>
      <c r="Z259" s="4" t="str">
        <f>HYPERLINK("http://141.218.60.56/~jnz1568/getInfo.php?workbook=06_01.xlsx&amp;sheet=A0&amp;row=259&amp;col=26&amp;number=&amp;sourceID=13","")</f>
        <v/>
      </c>
    </row>
    <row r="260" spans="1:26">
      <c r="A260" s="3">
        <v>6</v>
      </c>
      <c r="B260" s="3">
        <v>1</v>
      </c>
      <c r="C260" s="3">
        <v>24</v>
      </c>
      <c r="D260" s="3">
        <v>13</v>
      </c>
      <c r="E260" s="3">
        <f>((1/(INDEX(E0!J$4:J$28,C260,1)-INDEX(E0!J$4:J$28,D260,1))))*100000000</f>
        <v>0</v>
      </c>
      <c r="F260" s="4" t="str">
        <f>HYPERLINK("http://141.218.60.56/~jnz1568/getInfo.php?workbook=06_01.xlsx&amp;sheet=A0&amp;row=260&amp;col=6&amp;number=&amp;sourceID=18","")</f>
        <v/>
      </c>
      <c r="G260" s="4" t="str">
        <f>HYPERLINK("http://141.218.60.56/~jnz1568/getInfo.php?workbook=06_01.xlsx&amp;sheet=A0&amp;row=260&amp;col=7&amp;number==&amp;sourceID=11","=")</f>
        <v>=</v>
      </c>
      <c r="H260" s="4" t="str">
        <f>HYPERLINK("http://141.218.60.56/~jnz1568/getInfo.php?workbook=06_01.xlsx&amp;sheet=A0&amp;row=260&amp;col=8&amp;number=&amp;sourceID=11","")</f>
        <v/>
      </c>
      <c r="I260" s="4" t="str">
        <f>HYPERLINK("http://141.218.60.56/~jnz1568/getInfo.php?workbook=06_01.xlsx&amp;sheet=A0&amp;row=260&amp;col=9&amp;number=43760&amp;sourceID=11","43760")</f>
        <v>43760</v>
      </c>
      <c r="J260" s="4" t="str">
        <f>HYPERLINK("http://141.218.60.56/~jnz1568/getInfo.php?workbook=06_01.xlsx&amp;sheet=A0&amp;row=260&amp;col=10&amp;number=&amp;sourceID=11","")</f>
        <v/>
      </c>
      <c r="K260" s="4" t="str">
        <f>HYPERLINK("http://141.218.60.56/~jnz1568/getInfo.php?workbook=06_01.xlsx&amp;sheet=A0&amp;row=260&amp;col=11&amp;number=&amp;sourceID=11","")</f>
        <v/>
      </c>
      <c r="L260" s="4" t="str">
        <f>HYPERLINK("http://141.218.60.56/~jnz1568/getInfo.php?workbook=06_01.xlsx&amp;sheet=A0&amp;row=260&amp;col=12&amp;number=&amp;sourceID=11","")</f>
        <v/>
      </c>
      <c r="M260" s="4" t="str">
        <f>HYPERLINK("http://141.218.60.56/~jnz1568/getInfo.php?workbook=06_01.xlsx&amp;sheet=A0&amp;row=260&amp;col=13&amp;number=4.3646e-06&amp;sourceID=11","4.3646e-06")</f>
        <v>4.3646e-06</v>
      </c>
      <c r="N260" s="4" t="str">
        <f>HYPERLINK("http://141.218.60.56/~jnz1568/getInfo.php?workbook=06_01.xlsx&amp;sheet=A0&amp;row=260&amp;col=14&amp;number=43762&amp;sourceID=12","43762")</f>
        <v>43762</v>
      </c>
      <c r="O260" s="4" t="str">
        <f>HYPERLINK("http://141.218.60.56/~jnz1568/getInfo.php?workbook=06_01.xlsx&amp;sheet=A0&amp;row=260&amp;col=15&amp;number=&amp;sourceID=12","")</f>
        <v/>
      </c>
      <c r="P260" s="4" t="str">
        <f>HYPERLINK("http://141.218.60.56/~jnz1568/getInfo.php?workbook=06_01.xlsx&amp;sheet=A0&amp;row=260&amp;col=16&amp;number=43762&amp;sourceID=12","43762")</f>
        <v>43762</v>
      </c>
      <c r="Q260" s="4" t="str">
        <f>HYPERLINK("http://141.218.60.56/~jnz1568/getInfo.php?workbook=06_01.xlsx&amp;sheet=A0&amp;row=260&amp;col=17&amp;number=&amp;sourceID=12","")</f>
        <v/>
      </c>
      <c r="R260" s="4" t="str">
        <f>HYPERLINK("http://141.218.60.56/~jnz1568/getInfo.php?workbook=06_01.xlsx&amp;sheet=A0&amp;row=260&amp;col=18&amp;number=&amp;sourceID=12","")</f>
        <v/>
      </c>
      <c r="S260" s="4" t="str">
        <f>HYPERLINK("http://141.218.60.56/~jnz1568/getInfo.php?workbook=06_01.xlsx&amp;sheet=A0&amp;row=260&amp;col=19&amp;number=&amp;sourceID=12","")</f>
        <v/>
      </c>
      <c r="T260" s="4" t="str">
        <f>HYPERLINK("http://141.218.60.56/~jnz1568/getInfo.php?workbook=06_01.xlsx&amp;sheet=A0&amp;row=260&amp;col=20&amp;number=4.3648e-06&amp;sourceID=12","4.3648e-06")</f>
        <v>4.3648e-06</v>
      </c>
      <c r="U260" s="4" t="str">
        <f>HYPERLINK("http://141.218.60.56/~jnz1568/getInfo.php?workbook=06_01.xlsx&amp;sheet=A0&amp;row=260&amp;col=21&amp;number=&amp;sourceID=13","")</f>
        <v/>
      </c>
      <c r="V260" s="4" t="str">
        <f>HYPERLINK("http://141.218.60.56/~jnz1568/getInfo.php?workbook=06_01.xlsx&amp;sheet=A0&amp;row=260&amp;col=22&amp;number=&amp;sourceID=13","")</f>
        <v/>
      </c>
      <c r="W260" s="4" t="str">
        <f>HYPERLINK("http://141.218.60.56/~jnz1568/getInfo.php?workbook=06_01.xlsx&amp;sheet=A0&amp;row=260&amp;col=23&amp;number=&amp;sourceID=13","")</f>
        <v/>
      </c>
      <c r="X260" s="4" t="str">
        <f>HYPERLINK("http://141.218.60.56/~jnz1568/getInfo.php?workbook=06_01.xlsx&amp;sheet=A0&amp;row=260&amp;col=24&amp;number=&amp;sourceID=13","")</f>
        <v/>
      </c>
      <c r="Y260" s="4" t="str">
        <f>HYPERLINK("http://141.218.60.56/~jnz1568/getInfo.php?workbook=06_01.xlsx&amp;sheet=A0&amp;row=260&amp;col=25&amp;number=&amp;sourceID=13","")</f>
        <v/>
      </c>
      <c r="Z260" s="4" t="str">
        <f>HYPERLINK("http://141.218.60.56/~jnz1568/getInfo.php?workbook=06_01.xlsx&amp;sheet=A0&amp;row=260&amp;col=26&amp;number=&amp;sourceID=13","")</f>
        <v/>
      </c>
    </row>
    <row r="261" spans="1:26">
      <c r="A261" s="3">
        <v>6</v>
      </c>
      <c r="B261" s="3">
        <v>1</v>
      </c>
      <c r="C261" s="3">
        <v>24</v>
      </c>
      <c r="D261" s="3">
        <v>14</v>
      </c>
      <c r="E261" s="3">
        <f>((1/(INDEX(E0!J$4:J$28,C261,1)-INDEX(E0!J$4:J$28,D261,1))))*100000000</f>
        <v>0</v>
      </c>
      <c r="F261" s="4" t="str">
        <f>HYPERLINK("http://141.218.60.56/~jnz1568/getInfo.php?workbook=06_01.xlsx&amp;sheet=A0&amp;row=261&amp;col=6&amp;number=&amp;sourceID=18","")</f>
        <v/>
      </c>
      <c r="G261" s="4" t="str">
        <f>HYPERLINK("http://141.218.60.56/~jnz1568/getInfo.php?workbook=06_01.xlsx&amp;sheet=A0&amp;row=261&amp;col=7&amp;number==&amp;sourceID=11","=")</f>
        <v>=</v>
      </c>
      <c r="H261" s="4" t="str">
        <f>HYPERLINK("http://141.218.60.56/~jnz1568/getInfo.php?workbook=06_01.xlsx&amp;sheet=A0&amp;row=261&amp;col=8&amp;number=&amp;sourceID=11","")</f>
        <v/>
      </c>
      <c r="I261" s="4" t="str">
        <f>HYPERLINK("http://141.218.60.56/~jnz1568/getInfo.php?workbook=06_01.xlsx&amp;sheet=A0&amp;row=261&amp;col=9&amp;number=764.82&amp;sourceID=11","764.82")</f>
        <v>764.82</v>
      </c>
      <c r="J261" s="4" t="str">
        <f>HYPERLINK("http://141.218.60.56/~jnz1568/getInfo.php?workbook=06_01.xlsx&amp;sheet=A0&amp;row=261&amp;col=10&amp;number=&amp;sourceID=11","")</f>
        <v/>
      </c>
      <c r="K261" s="4" t="str">
        <f>HYPERLINK("http://141.218.60.56/~jnz1568/getInfo.php?workbook=06_01.xlsx&amp;sheet=A0&amp;row=261&amp;col=11&amp;number=1.8167e-05&amp;sourceID=11","1.8167e-05")</f>
        <v>1.8167e-05</v>
      </c>
      <c r="L261" s="4" t="str">
        <f>HYPERLINK("http://141.218.60.56/~jnz1568/getInfo.php?workbook=06_01.xlsx&amp;sheet=A0&amp;row=261&amp;col=12&amp;number=&amp;sourceID=11","")</f>
        <v/>
      </c>
      <c r="M261" s="4" t="str">
        <f>HYPERLINK("http://141.218.60.56/~jnz1568/getInfo.php?workbook=06_01.xlsx&amp;sheet=A0&amp;row=261&amp;col=13&amp;number=1.1296e-08&amp;sourceID=11","1.1296e-08")</f>
        <v>1.1296e-08</v>
      </c>
      <c r="N261" s="4" t="str">
        <f>HYPERLINK("http://141.218.60.56/~jnz1568/getInfo.php?workbook=06_01.xlsx&amp;sheet=A0&amp;row=261&amp;col=14&amp;number=764.86&amp;sourceID=12","764.86")</f>
        <v>764.86</v>
      </c>
      <c r="O261" s="4" t="str">
        <f>HYPERLINK("http://141.218.60.56/~jnz1568/getInfo.php?workbook=06_01.xlsx&amp;sheet=A0&amp;row=261&amp;col=15&amp;number=&amp;sourceID=12","")</f>
        <v/>
      </c>
      <c r="P261" s="4" t="str">
        <f>HYPERLINK("http://141.218.60.56/~jnz1568/getInfo.php?workbook=06_01.xlsx&amp;sheet=A0&amp;row=261&amp;col=16&amp;number=764.86&amp;sourceID=12","764.86")</f>
        <v>764.86</v>
      </c>
      <c r="Q261" s="4" t="str">
        <f>HYPERLINK("http://141.218.60.56/~jnz1568/getInfo.php?workbook=06_01.xlsx&amp;sheet=A0&amp;row=261&amp;col=17&amp;number=&amp;sourceID=12","")</f>
        <v/>
      </c>
      <c r="R261" s="4" t="str">
        <f>HYPERLINK("http://141.218.60.56/~jnz1568/getInfo.php?workbook=06_01.xlsx&amp;sheet=A0&amp;row=261&amp;col=18&amp;number=1.8169e-05&amp;sourceID=12","1.8169e-05")</f>
        <v>1.8169e-05</v>
      </c>
      <c r="S261" s="4" t="str">
        <f>HYPERLINK("http://141.218.60.56/~jnz1568/getInfo.php?workbook=06_01.xlsx&amp;sheet=A0&amp;row=261&amp;col=19&amp;number=&amp;sourceID=12","")</f>
        <v/>
      </c>
      <c r="T261" s="4" t="str">
        <f>HYPERLINK("http://141.218.60.56/~jnz1568/getInfo.php?workbook=06_01.xlsx&amp;sheet=A0&amp;row=261&amp;col=20&amp;number=1.1297e-08&amp;sourceID=12","1.1297e-08")</f>
        <v>1.1297e-08</v>
      </c>
      <c r="U261" s="4" t="str">
        <f>HYPERLINK("http://141.218.60.56/~jnz1568/getInfo.php?workbook=06_01.xlsx&amp;sheet=A0&amp;row=261&amp;col=21&amp;number=&amp;sourceID=13","")</f>
        <v/>
      </c>
      <c r="V261" s="4" t="str">
        <f>HYPERLINK("http://141.218.60.56/~jnz1568/getInfo.php?workbook=06_01.xlsx&amp;sheet=A0&amp;row=261&amp;col=22&amp;number=&amp;sourceID=13","")</f>
        <v/>
      </c>
      <c r="W261" s="4" t="str">
        <f>HYPERLINK("http://141.218.60.56/~jnz1568/getInfo.php?workbook=06_01.xlsx&amp;sheet=A0&amp;row=261&amp;col=23&amp;number=&amp;sourceID=13","")</f>
        <v/>
      </c>
      <c r="X261" s="4" t="str">
        <f>HYPERLINK("http://141.218.60.56/~jnz1568/getInfo.php?workbook=06_01.xlsx&amp;sheet=A0&amp;row=261&amp;col=24&amp;number=&amp;sourceID=13","")</f>
        <v/>
      </c>
      <c r="Y261" s="4" t="str">
        <f>HYPERLINK("http://141.218.60.56/~jnz1568/getInfo.php?workbook=06_01.xlsx&amp;sheet=A0&amp;row=261&amp;col=25&amp;number=&amp;sourceID=13","")</f>
        <v/>
      </c>
      <c r="Z261" s="4" t="str">
        <f>HYPERLINK("http://141.218.60.56/~jnz1568/getInfo.php?workbook=06_01.xlsx&amp;sheet=A0&amp;row=261&amp;col=26&amp;number=&amp;sourceID=13","")</f>
        <v/>
      </c>
    </row>
    <row r="262" spans="1:26">
      <c r="A262" s="3">
        <v>6</v>
      </c>
      <c r="B262" s="3">
        <v>1</v>
      </c>
      <c r="C262" s="3">
        <v>24</v>
      </c>
      <c r="D262" s="3">
        <v>15</v>
      </c>
      <c r="E262" s="3">
        <f>((1/(INDEX(E0!J$4:J$28,C262,1)-INDEX(E0!J$4:J$28,D262,1))))*100000000</f>
        <v>0</v>
      </c>
      <c r="F262" s="4" t="str">
        <f>HYPERLINK("http://141.218.60.56/~jnz1568/getInfo.php?workbook=06_01.xlsx&amp;sheet=A0&amp;row=262&amp;col=6&amp;number=&amp;sourceID=18","")</f>
        <v/>
      </c>
      <c r="G262" s="4" t="str">
        <f>HYPERLINK("http://141.218.60.56/~jnz1568/getInfo.php?workbook=06_01.xlsx&amp;sheet=A0&amp;row=262&amp;col=7&amp;number==SUM(H262:M262)&amp;sourceID=11","=SUM(H262:M262)")</f>
        <v>=SUM(H262:M262)</v>
      </c>
      <c r="H262" s="4" t="str">
        <f>HYPERLINK("http://141.218.60.56/~jnz1568/getInfo.php?workbook=06_01.xlsx&amp;sheet=A0&amp;row=262&amp;col=8&amp;number=3351100000&amp;sourceID=11","3351100000")</f>
        <v>3351100000</v>
      </c>
      <c r="I262" s="4" t="str">
        <f>HYPERLINK("http://141.218.60.56/~jnz1568/getInfo.php?workbook=06_01.xlsx&amp;sheet=A0&amp;row=262&amp;col=9&amp;number=&amp;sourceID=11","")</f>
        <v/>
      </c>
      <c r="J262" s="4" t="str">
        <f>HYPERLINK("http://141.218.60.56/~jnz1568/getInfo.php?workbook=06_01.xlsx&amp;sheet=A0&amp;row=262&amp;col=10&amp;number=0.10039&amp;sourceID=11","0.10039")</f>
        <v>0.10039</v>
      </c>
      <c r="K262" s="4" t="str">
        <f>HYPERLINK("http://141.218.60.56/~jnz1568/getInfo.php?workbook=06_01.xlsx&amp;sheet=A0&amp;row=262&amp;col=11&amp;number=&amp;sourceID=11","")</f>
        <v/>
      </c>
      <c r="L262" s="4" t="str">
        <f>HYPERLINK("http://141.218.60.56/~jnz1568/getInfo.php?workbook=06_01.xlsx&amp;sheet=A0&amp;row=262&amp;col=12&amp;number=0.57294&amp;sourceID=11","0.57294")</f>
        <v>0.57294</v>
      </c>
      <c r="M262" s="4" t="str">
        <f>HYPERLINK("http://141.218.60.56/~jnz1568/getInfo.php?workbook=06_01.xlsx&amp;sheet=A0&amp;row=262&amp;col=13&amp;number=&amp;sourceID=11","")</f>
        <v/>
      </c>
      <c r="N262" s="4" t="str">
        <f>HYPERLINK("http://141.218.60.56/~jnz1568/getInfo.php?workbook=06_01.xlsx&amp;sheet=A0&amp;row=262&amp;col=14&amp;number=3351200000&amp;sourceID=12","3351200000")</f>
        <v>3351200000</v>
      </c>
      <c r="O262" s="4" t="str">
        <f>HYPERLINK("http://141.218.60.56/~jnz1568/getInfo.php?workbook=06_01.xlsx&amp;sheet=A0&amp;row=262&amp;col=15&amp;number=3351200000&amp;sourceID=12","3351200000")</f>
        <v>3351200000</v>
      </c>
      <c r="P262" s="4" t="str">
        <f>HYPERLINK("http://141.218.60.56/~jnz1568/getInfo.php?workbook=06_01.xlsx&amp;sheet=A0&amp;row=262&amp;col=16&amp;number=&amp;sourceID=12","")</f>
        <v/>
      </c>
      <c r="Q262" s="4" t="str">
        <f>HYPERLINK("http://141.218.60.56/~jnz1568/getInfo.php?workbook=06_01.xlsx&amp;sheet=A0&amp;row=262&amp;col=17&amp;number=0.10039&amp;sourceID=12","0.10039")</f>
        <v>0.10039</v>
      </c>
      <c r="R262" s="4" t="str">
        <f>HYPERLINK("http://141.218.60.56/~jnz1568/getInfo.php?workbook=06_01.xlsx&amp;sheet=A0&amp;row=262&amp;col=18&amp;number=&amp;sourceID=12","")</f>
        <v/>
      </c>
      <c r="S262" s="4" t="str">
        <f>HYPERLINK("http://141.218.60.56/~jnz1568/getInfo.php?workbook=06_01.xlsx&amp;sheet=A0&amp;row=262&amp;col=19&amp;number=0.57297&amp;sourceID=12","0.57297")</f>
        <v>0.57297</v>
      </c>
      <c r="T262" s="4" t="str">
        <f>HYPERLINK("http://141.218.60.56/~jnz1568/getInfo.php?workbook=06_01.xlsx&amp;sheet=A0&amp;row=262&amp;col=20&amp;number=&amp;sourceID=12","")</f>
        <v/>
      </c>
      <c r="U262" s="4" t="str">
        <f>HYPERLINK("http://141.218.60.56/~jnz1568/getInfo.php?workbook=06_01.xlsx&amp;sheet=A0&amp;row=262&amp;col=21&amp;number=&amp;sourceID=13","")</f>
        <v/>
      </c>
      <c r="V262" s="4" t="str">
        <f>HYPERLINK("http://141.218.60.56/~jnz1568/getInfo.php?workbook=06_01.xlsx&amp;sheet=A0&amp;row=262&amp;col=22&amp;number=&amp;sourceID=13","")</f>
        <v/>
      </c>
      <c r="W262" s="4" t="str">
        <f>HYPERLINK("http://141.218.60.56/~jnz1568/getInfo.php?workbook=06_01.xlsx&amp;sheet=A0&amp;row=262&amp;col=23&amp;number=&amp;sourceID=13","")</f>
        <v/>
      </c>
      <c r="X262" s="4" t="str">
        <f>HYPERLINK("http://141.218.60.56/~jnz1568/getInfo.php?workbook=06_01.xlsx&amp;sheet=A0&amp;row=262&amp;col=24&amp;number=&amp;sourceID=13","")</f>
        <v/>
      </c>
      <c r="Y262" s="4" t="str">
        <f>HYPERLINK("http://141.218.60.56/~jnz1568/getInfo.php?workbook=06_01.xlsx&amp;sheet=A0&amp;row=262&amp;col=25&amp;number=&amp;sourceID=13","")</f>
        <v/>
      </c>
      <c r="Z262" s="4" t="str">
        <f>HYPERLINK("http://141.218.60.56/~jnz1568/getInfo.php?workbook=06_01.xlsx&amp;sheet=A0&amp;row=262&amp;col=26&amp;number=&amp;sourceID=13","")</f>
        <v/>
      </c>
    </row>
    <row r="263" spans="1:26">
      <c r="A263" s="3">
        <v>6</v>
      </c>
      <c r="B263" s="3">
        <v>1</v>
      </c>
      <c r="C263" s="3">
        <v>24</v>
      </c>
      <c r="D263" s="3">
        <v>16</v>
      </c>
      <c r="E263" s="3">
        <f>((1/(INDEX(E0!J$4:J$28,C263,1)-INDEX(E0!J$4:J$28,D263,1))))*100000000</f>
        <v>0</v>
      </c>
      <c r="F263" s="4" t="str">
        <f>HYPERLINK("http://141.218.60.56/~jnz1568/getInfo.php?workbook=06_01.xlsx&amp;sheet=A0&amp;row=263&amp;col=6&amp;number=&amp;sourceID=18","")</f>
        <v/>
      </c>
      <c r="G263" s="4" t="str">
        <f>HYPERLINK("http://141.218.60.56/~jnz1568/getInfo.php?workbook=06_01.xlsx&amp;sheet=A0&amp;row=263&amp;col=7&amp;number==&amp;sourceID=11","=")</f>
        <v>=</v>
      </c>
      <c r="H263" s="4" t="str">
        <f>HYPERLINK("http://141.218.60.56/~jnz1568/getInfo.php?workbook=06_01.xlsx&amp;sheet=A0&amp;row=263&amp;col=8&amp;number=&amp;sourceID=11","")</f>
        <v/>
      </c>
      <c r="I263" s="4" t="str">
        <f>HYPERLINK("http://141.218.60.56/~jnz1568/getInfo.php?workbook=06_01.xlsx&amp;sheet=A0&amp;row=263&amp;col=9&amp;number=6372.6&amp;sourceID=11","6372.6")</f>
        <v>6372.6</v>
      </c>
      <c r="J263" s="4" t="str">
        <f>HYPERLINK("http://141.218.60.56/~jnz1568/getInfo.php?workbook=06_01.xlsx&amp;sheet=A0&amp;row=263&amp;col=10&amp;number=&amp;sourceID=11","")</f>
        <v/>
      </c>
      <c r="K263" s="4" t="str">
        <f>HYPERLINK("http://141.218.60.56/~jnz1568/getInfo.php?workbook=06_01.xlsx&amp;sheet=A0&amp;row=263&amp;col=11&amp;number=0.00018277&amp;sourceID=11","0.00018277")</f>
        <v>0.00018277</v>
      </c>
      <c r="L263" s="4" t="str">
        <f>HYPERLINK("http://141.218.60.56/~jnz1568/getInfo.php?workbook=06_01.xlsx&amp;sheet=A0&amp;row=263&amp;col=12&amp;number=&amp;sourceID=11","")</f>
        <v/>
      </c>
      <c r="M263" s="4" t="str">
        <f>HYPERLINK("http://141.218.60.56/~jnz1568/getInfo.php?workbook=06_01.xlsx&amp;sheet=A0&amp;row=263&amp;col=13&amp;number=1.4906e-06&amp;sourceID=11","1.4906e-06")</f>
        <v>1.4906e-06</v>
      </c>
      <c r="N263" s="4" t="str">
        <f>HYPERLINK("http://141.218.60.56/~jnz1568/getInfo.php?workbook=06_01.xlsx&amp;sheet=A0&amp;row=263&amp;col=14&amp;number=6372.9&amp;sourceID=12","6372.9")</f>
        <v>6372.9</v>
      </c>
      <c r="O263" s="4" t="str">
        <f>HYPERLINK("http://141.218.60.56/~jnz1568/getInfo.php?workbook=06_01.xlsx&amp;sheet=A0&amp;row=263&amp;col=15&amp;number=&amp;sourceID=12","")</f>
        <v/>
      </c>
      <c r="P263" s="4" t="str">
        <f>HYPERLINK("http://141.218.60.56/~jnz1568/getInfo.php?workbook=06_01.xlsx&amp;sheet=A0&amp;row=263&amp;col=16&amp;number=6372.9&amp;sourceID=12","6372.9")</f>
        <v>6372.9</v>
      </c>
      <c r="Q263" s="4" t="str">
        <f>HYPERLINK("http://141.218.60.56/~jnz1568/getInfo.php?workbook=06_01.xlsx&amp;sheet=A0&amp;row=263&amp;col=17&amp;number=&amp;sourceID=12","")</f>
        <v/>
      </c>
      <c r="R263" s="4" t="str">
        <f>HYPERLINK("http://141.218.60.56/~jnz1568/getInfo.php?workbook=06_01.xlsx&amp;sheet=A0&amp;row=263&amp;col=18&amp;number=0.00018278&amp;sourceID=12","0.00018278")</f>
        <v>0.00018278</v>
      </c>
      <c r="S263" s="4" t="str">
        <f>HYPERLINK("http://141.218.60.56/~jnz1568/getInfo.php?workbook=06_01.xlsx&amp;sheet=A0&amp;row=263&amp;col=19&amp;number=&amp;sourceID=12","")</f>
        <v/>
      </c>
      <c r="T263" s="4" t="str">
        <f>HYPERLINK("http://141.218.60.56/~jnz1568/getInfo.php?workbook=06_01.xlsx&amp;sheet=A0&amp;row=263&amp;col=20&amp;number=1.4906e-06&amp;sourceID=12","1.4906e-06")</f>
        <v>1.4906e-06</v>
      </c>
      <c r="U263" s="4" t="str">
        <f>HYPERLINK("http://141.218.60.56/~jnz1568/getInfo.php?workbook=06_01.xlsx&amp;sheet=A0&amp;row=263&amp;col=21&amp;number=&amp;sourceID=13","")</f>
        <v/>
      </c>
      <c r="V263" s="4" t="str">
        <f>HYPERLINK("http://141.218.60.56/~jnz1568/getInfo.php?workbook=06_01.xlsx&amp;sheet=A0&amp;row=263&amp;col=22&amp;number=&amp;sourceID=13","")</f>
        <v/>
      </c>
      <c r="W263" s="4" t="str">
        <f>HYPERLINK("http://141.218.60.56/~jnz1568/getInfo.php?workbook=06_01.xlsx&amp;sheet=A0&amp;row=263&amp;col=23&amp;number=&amp;sourceID=13","")</f>
        <v/>
      </c>
      <c r="X263" s="4" t="str">
        <f>HYPERLINK("http://141.218.60.56/~jnz1568/getInfo.php?workbook=06_01.xlsx&amp;sheet=A0&amp;row=263&amp;col=24&amp;number=&amp;sourceID=13","")</f>
        <v/>
      </c>
      <c r="Y263" s="4" t="str">
        <f>HYPERLINK("http://141.218.60.56/~jnz1568/getInfo.php?workbook=06_01.xlsx&amp;sheet=A0&amp;row=263&amp;col=25&amp;number=&amp;sourceID=13","")</f>
        <v/>
      </c>
      <c r="Z263" s="4" t="str">
        <f>HYPERLINK("http://141.218.60.56/~jnz1568/getInfo.php?workbook=06_01.xlsx&amp;sheet=A0&amp;row=263&amp;col=26&amp;number=&amp;sourceID=13","")</f>
        <v/>
      </c>
    </row>
    <row r="264" spans="1:26">
      <c r="A264" s="3">
        <v>6</v>
      </c>
      <c r="B264" s="3">
        <v>1</v>
      </c>
      <c r="C264" s="3">
        <v>24</v>
      </c>
      <c r="D264" s="3">
        <v>17</v>
      </c>
      <c r="E264" s="3">
        <f>((1/(INDEX(E0!J$4:J$28,C264,1)-INDEX(E0!J$4:J$28,D264,1))))*100000000</f>
        <v>0</v>
      </c>
      <c r="F264" s="4" t="str">
        <f>HYPERLINK("http://141.218.60.56/~jnz1568/getInfo.php?workbook=06_01.xlsx&amp;sheet=A0&amp;row=264&amp;col=6&amp;number=&amp;sourceID=18","")</f>
        <v/>
      </c>
      <c r="G264" s="4" t="str">
        <f>HYPERLINK("http://141.218.60.56/~jnz1568/getInfo.php?workbook=06_01.xlsx&amp;sheet=A0&amp;row=264&amp;col=7&amp;number==&amp;sourceID=11","=")</f>
        <v>=</v>
      </c>
      <c r="H264" s="4" t="str">
        <f>HYPERLINK("http://141.218.60.56/~jnz1568/getInfo.php?workbook=06_01.xlsx&amp;sheet=A0&amp;row=264&amp;col=8&amp;number=&amp;sourceID=11","")</f>
        <v/>
      </c>
      <c r="I264" s="4" t="str">
        <f>HYPERLINK("http://141.218.60.56/~jnz1568/getInfo.php?workbook=06_01.xlsx&amp;sheet=A0&amp;row=264&amp;col=9&amp;number=&amp;sourceID=11","")</f>
        <v/>
      </c>
      <c r="J264" s="4" t="str">
        <f>HYPERLINK("http://141.218.60.56/~jnz1568/getInfo.php?workbook=06_01.xlsx&amp;sheet=A0&amp;row=264&amp;col=10&amp;number=&amp;sourceID=11","")</f>
        <v/>
      </c>
      <c r="K264" s="4" t="str">
        <f>HYPERLINK("http://141.218.60.56/~jnz1568/getInfo.php?workbook=06_01.xlsx&amp;sheet=A0&amp;row=264&amp;col=11&amp;number=&amp;sourceID=11","")</f>
        <v/>
      </c>
      <c r="L264" s="4" t="str">
        <f>HYPERLINK("http://141.218.60.56/~jnz1568/getInfo.php?workbook=06_01.xlsx&amp;sheet=A0&amp;row=264&amp;col=12&amp;number=&amp;sourceID=11","")</f>
        <v/>
      </c>
      <c r="M264" s="4" t="str">
        <f>HYPERLINK("http://141.218.60.56/~jnz1568/getInfo.php?workbook=06_01.xlsx&amp;sheet=A0&amp;row=264&amp;col=13&amp;number=0&amp;sourceID=11","0")</f>
        <v>0</v>
      </c>
      <c r="N264" s="4" t="str">
        <f>HYPERLINK("http://141.218.60.56/~jnz1568/getInfo.php?workbook=06_01.xlsx&amp;sheet=A0&amp;row=264&amp;col=14&amp;number=0&amp;sourceID=12","0")</f>
        <v>0</v>
      </c>
      <c r="O264" s="4" t="str">
        <f>HYPERLINK("http://141.218.60.56/~jnz1568/getInfo.php?workbook=06_01.xlsx&amp;sheet=A0&amp;row=264&amp;col=15&amp;number=&amp;sourceID=12","")</f>
        <v/>
      </c>
      <c r="P264" s="4" t="str">
        <f>HYPERLINK("http://141.218.60.56/~jnz1568/getInfo.php?workbook=06_01.xlsx&amp;sheet=A0&amp;row=264&amp;col=16&amp;number=&amp;sourceID=12","")</f>
        <v/>
      </c>
      <c r="Q264" s="4" t="str">
        <f>HYPERLINK("http://141.218.60.56/~jnz1568/getInfo.php?workbook=06_01.xlsx&amp;sheet=A0&amp;row=264&amp;col=17&amp;number=&amp;sourceID=12","")</f>
        <v/>
      </c>
      <c r="R264" s="4" t="str">
        <f>HYPERLINK("http://141.218.60.56/~jnz1568/getInfo.php?workbook=06_01.xlsx&amp;sheet=A0&amp;row=264&amp;col=18&amp;number=&amp;sourceID=12","")</f>
        <v/>
      </c>
      <c r="S264" s="4" t="str">
        <f>HYPERLINK("http://141.218.60.56/~jnz1568/getInfo.php?workbook=06_01.xlsx&amp;sheet=A0&amp;row=264&amp;col=19&amp;number=&amp;sourceID=12","")</f>
        <v/>
      </c>
      <c r="T264" s="4" t="str">
        <f>HYPERLINK("http://141.218.60.56/~jnz1568/getInfo.php?workbook=06_01.xlsx&amp;sheet=A0&amp;row=264&amp;col=20&amp;number=0&amp;sourceID=12","0")</f>
        <v>0</v>
      </c>
      <c r="U264" s="4" t="str">
        <f>HYPERLINK("http://141.218.60.56/~jnz1568/getInfo.php?workbook=06_01.xlsx&amp;sheet=A0&amp;row=264&amp;col=21&amp;number=&amp;sourceID=13","")</f>
        <v/>
      </c>
      <c r="V264" s="4" t="str">
        <f>HYPERLINK("http://141.218.60.56/~jnz1568/getInfo.php?workbook=06_01.xlsx&amp;sheet=A0&amp;row=264&amp;col=22&amp;number=&amp;sourceID=13","")</f>
        <v/>
      </c>
      <c r="W264" s="4" t="str">
        <f>HYPERLINK("http://141.218.60.56/~jnz1568/getInfo.php?workbook=06_01.xlsx&amp;sheet=A0&amp;row=264&amp;col=23&amp;number=&amp;sourceID=13","")</f>
        <v/>
      </c>
      <c r="X264" s="4" t="str">
        <f>HYPERLINK("http://141.218.60.56/~jnz1568/getInfo.php?workbook=06_01.xlsx&amp;sheet=A0&amp;row=264&amp;col=24&amp;number=&amp;sourceID=13","")</f>
        <v/>
      </c>
      <c r="Y264" s="4" t="str">
        <f>HYPERLINK("http://141.218.60.56/~jnz1568/getInfo.php?workbook=06_01.xlsx&amp;sheet=A0&amp;row=264&amp;col=25&amp;number=&amp;sourceID=13","")</f>
        <v/>
      </c>
      <c r="Z264" s="4" t="str">
        <f>HYPERLINK("http://141.218.60.56/~jnz1568/getInfo.php?workbook=06_01.xlsx&amp;sheet=A0&amp;row=264&amp;col=26&amp;number=&amp;sourceID=13","")</f>
        <v/>
      </c>
    </row>
    <row r="265" spans="1:26">
      <c r="A265" s="3">
        <v>6</v>
      </c>
      <c r="B265" s="3">
        <v>1</v>
      </c>
      <c r="C265" s="3">
        <v>24</v>
      </c>
      <c r="D265" s="3">
        <v>18</v>
      </c>
      <c r="E265" s="3">
        <f>((1/(INDEX(E0!J$4:J$28,C265,1)-INDEX(E0!J$4:J$28,D265,1))))*100000000</f>
        <v>0</v>
      </c>
      <c r="F265" s="4" t="str">
        <f>HYPERLINK("http://141.218.60.56/~jnz1568/getInfo.php?workbook=06_01.xlsx&amp;sheet=A0&amp;row=265&amp;col=6&amp;number=&amp;sourceID=18","")</f>
        <v/>
      </c>
      <c r="G265" s="4" t="str">
        <f>HYPERLINK("http://141.218.60.56/~jnz1568/getInfo.php?workbook=06_01.xlsx&amp;sheet=A0&amp;row=265&amp;col=7&amp;number==&amp;sourceID=11","=")</f>
        <v>=</v>
      </c>
      <c r="H265" s="4" t="str">
        <f>HYPERLINK("http://141.218.60.56/~jnz1568/getInfo.php?workbook=06_01.xlsx&amp;sheet=A0&amp;row=265&amp;col=8&amp;number=&amp;sourceID=11","")</f>
        <v/>
      </c>
      <c r="I265" s="4" t="str">
        <f>HYPERLINK("http://141.218.60.56/~jnz1568/getInfo.php?workbook=06_01.xlsx&amp;sheet=A0&amp;row=265&amp;col=9&amp;number=&amp;sourceID=11","")</f>
        <v/>
      </c>
      <c r="J265" s="4" t="str">
        <f>HYPERLINK("http://141.218.60.56/~jnz1568/getInfo.php?workbook=06_01.xlsx&amp;sheet=A0&amp;row=265&amp;col=10&amp;number=0&amp;sourceID=11","0")</f>
        <v>0</v>
      </c>
      <c r="K265" s="4" t="str">
        <f>HYPERLINK("http://141.218.60.56/~jnz1568/getInfo.php?workbook=06_01.xlsx&amp;sheet=A0&amp;row=265&amp;col=11&amp;number=&amp;sourceID=11","")</f>
        <v/>
      </c>
      <c r="L265" s="4" t="str">
        <f>HYPERLINK("http://141.218.60.56/~jnz1568/getInfo.php?workbook=06_01.xlsx&amp;sheet=A0&amp;row=265&amp;col=12&amp;number=&amp;sourceID=11","")</f>
        <v/>
      </c>
      <c r="M265" s="4" t="str">
        <f>HYPERLINK("http://141.218.60.56/~jnz1568/getInfo.php?workbook=06_01.xlsx&amp;sheet=A0&amp;row=265&amp;col=13&amp;number=&amp;sourceID=11","")</f>
        <v/>
      </c>
      <c r="N265" s="4" t="str">
        <f>HYPERLINK("http://141.218.60.56/~jnz1568/getInfo.php?workbook=06_01.xlsx&amp;sheet=A0&amp;row=265&amp;col=14&amp;number=0&amp;sourceID=12","0")</f>
        <v>0</v>
      </c>
      <c r="O265" s="4" t="str">
        <f>HYPERLINK("http://141.218.60.56/~jnz1568/getInfo.php?workbook=06_01.xlsx&amp;sheet=A0&amp;row=265&amp;col=15&amp;number=&amp;sourceID=12","")</f>
        <v/>
      </c>
      <c r="P265" s="4" t="str">
        <f>HYPERLINK("http://141.218.60.56/~jnz1568/getInfo.php?workbook=06_01.xlsx&amp;sheet=A0&amp;row=265&amp;col=16&amp;number=&amp;sourceID=12","")</f>
        <v/>
      </c>
      <c r="Q265" s="4" t="str">
        <f>HYPERLINK("http://141.218.60.56/~jnz1568/getInfo.php?workbook=06_01.xlsx&amp;sheet=A0&amp;row=265&amp;col=17&amp;number=0&amp;sourceID=12","0")</f>
        <v>0</v>
      </c>
      <c r="R265" s="4" t="str">
        <f>HYPERLINK("http://141.218.60.56/~jnz1568/getInfo.php?workbook=06_01.xlsx&amp;sheet=A0&amp;row=265&amp;col=18&amp;number=&amp;sourceID=12","")</f>
        <v/>
      </c>
      <c r="S265" s="4" t="str">
        <f>HYPERLINK("http://141.218.60.56/~jnz1568/getInfo.php?workbook=06_01.xlsx&amp;sheet=A0&amp;row=265&amp;col=19&amp;number=&amp;sourceID=12","")</f>
        <v/>
      </c>
      <c r="T265" s="4" t="str">
        <f>HYPERLINK("http://141.218.60.56/~jnz1568/getInfo.php?workbook=06_01.xlsx&amp;sheet=A0&amp;row=265&amp;col=20&amp;number=&amp;sourceID=12","")</f>
        <v/>
      </c>
      <c r="U265" s="4" t="str">
        <f>HYPERLINK("http://141.218.60.56/~jnz1568/getInfo.php?workbook=06_01.xlsx&amp;sheet=A0&amp;row=265&amp;col=21&amp;number=&amp;sourceID=13","")</f>
        <v/>
      </c>
      <c r="V265" s="4" t="str">
        <f>HYPERLINK("http://141.218.60.56/~jnz1568/getInfo.php?workbook=06_01.xlsx&amp;sheet=A0&amp;row=265&amp;col=22&amp;number=&amp;sourceID=13","")</f>
        <v/>
      </c>
      <c r="W265" s="4" t="str">
        <f>HYPERLINK("http://141.218.60.56/~jnz1568/getInfo.php?workbook=06_01.xlsx&amp;sheet=A0&amp;row=265&amp;col=23&amp;number=&amp;sourceID=13","")</f>
        <v/>
      </c>
      <c r="X265" s="4" t="str">
        <f>HYPERLINK("http://141.218.60.56/~jnz1568/getInfo.php?workbook=06_01.xlsx&amp;sheet=A0&amp;row=265&amp;col=24&amp;number=&amp;sourceID=13","")</f>
        <v/>
      </c>
      <c r="Y265" s="4" t="str">
        <f>HYPERLINK("http://141.218.60.56/~jnz1568/getInfo.php?workbook=06_01.xlsx&amp;sheet=A0&amp;row=265&amp;col=25&amp;number=&amp;sourceID=13","")</f>
        <v/>
      </c>
      <c r="Z265" s="4" t="str">
        <f>HYPERLINK("http://141.218.60.56/~jnz1568/getInfo.php?workbook=06_01.xlsx&amp;sheet=A0&amp;row=265&amp;col=26&amp;number=&amp;sourceID=13","")</f>
        <v/>
      </c>
    </row>
    <row r="266" spans="1:26">
      <c r="A266" s="3">
        <v>6</v>
      </c>
      <c r="B266" s="3">
        <v>1</v>
      </c>
      <c r="C266" s="3">
        <v>24</v>
      </c>
      <c r="D266" s="3">
        <v>19</v>
      </c>
      <c r="E266" s="3">
        <f>((1/(INDEX(E0!J$4:J$28,C266,1)-INDEX(E0!J$4:J$28,D266,1))))*100000000</f>
        <v>0</v>
      </c>
      <c r="F266" s="4" t="str">
        <f>HYPERLINK("http://141.218.60.56/~jnz1568/getInfo.php?workbook=06_01.xlsx&amp;sheet=A0&amp;row=266&amp;col=6&amp;number=&amp;sourceID=18","")</f>
        <v/>
      </c>
      <c r="G266" s="4" t="str">
        <f>HYPERLINK("http://141.218.60.56/~jnz1568/getInfo.php?workbook=06_01.xlsx&amp;sheet=A0&amp;row=266&amp;col=7&amp;number==&amp;sourceID=11","=")</f>
        <v>=</v>
      </c>
      <c r="H266" s="4" t="str">
        <f>HYPERLINK("http://141.218.60.56/~jnz1568/getInfo.php?workbook=06_01.xlsx&amp;sheet=A0&amp;row=266&amp;col=8&amp;number=&amp;sourceID=11","")</f>
        <v/>
      </c>
      <c r="I266" s="4" t="str">
        <f>HYPERLINK("http://141.218.60.56/~jnz1568/getInfo.php?workbook=06_01.xlsx&amp;sheet=A0&amp;row=266&amp;col=9&amp;number=&amp;sourceID=11","")</f>
        <v/>
      </c>
      <c r="J266" s="4" t="str">
        <f>HYPERLINK("http://141.218.60.56/~jnz1568/getInfo.php?workbook=06_01.xlsx&amp;sheet=A0&amp;row=266&amp;col=10&amp;number=0&amp;sourceID=11","0")</f>
        <v>0</v>
      </c>
      <c r="K266" s="4" t="str">
        <f>HYPERLINK("http://141.218.60.56/~jnz1568/getInfo.php?workbook=06_01.xlsx&amp;sheet=A0&amp;row=266&amp;col=11&amp;number=&amp;sourceID=11","")</f>
        <v/>
      </c>
      <c r="L266" s="4" t="str">
        <f>HYPERLINK("http://141.218.60.56/~jnz1568/getInfo.php?workbook=06_01.xlsx&amp;sheet=A0&amp;row=266&amp;col=12&amp;number=0&amp;sourceID=11","0")</f>
        <v>0</v>
      </c>
      <c r="M266" s="4" t="str">
        <f>HYPERLINK("http://141.218.60.56/~jnz1568/getInfo.php?workbook=06_01.xlsx&amp;sheet=A0&amp;row=266&amp;col=13&amp;number=&amp;sourceID=11","")</f>
        <v/>
      </c>
      <c r="N266" s="4" t="str">
        <f>HYPERLINK("http://141.218.60.56/~jnz1568/getInfo.php?workbook=06_01.xlsx&amp;sheet=A0&amp;row=266&amp;col=14&amp;number=0&amp;sourceID=12","0")</f>
        <v>0</v>
      </c>
      <c r="O266" s="4" t="str">
        <f>HYPERLINK("http://141.218.60.56/~jnz1568/getInfo.php?workbook=06_01.xlsx&amp;sheet=A0&amp;row=266&amp;col=15&amp;number=&amp;sourceID=12","")</f>
        <v/>
      </c>
      <c r="P266" s="4" t="str">
        <f>HYPERLINK("http://141.218.60.56/~jnz1568/getInfo.php?workbook=06_01.xlsx&amp;sheet=A0&amp;row=266&amp;col=16&amp;number=&amp;sourceID=12","")</f>
        <v/>
      </c>
      <c r="Q266" s="4" t="str">
        <f>HYPERLINK("http://141.218.60.56/~jnz1568/getInfo.php?workbook=06_01.xlsx&amp;sheet=A0&amp;row=266&amp;col=17&amp;number=0&amp;sourceID=12","0")</f>
        <v>0</v>
      </c>
      <c r="R266" s="4" t="str">
        <f>HYPERLINK("http://141.218.60.56/~jnz1568/getInfo.php?workbook=06_01.xlsx&amp;sheet=A0&amp;row=266&amp;col=18&amp;number=&amp;sourceID=12","")</f>
        <v/>
      </c>
      <c r="S266" s="4" t="str">
        <f>HYPERLINK("http://141.218.60.56/~jnz1568/getInfo.php?workbook=06_01.xlsx&amp;sheet=A0&amp;row=266&amp;col=19&amp;number=0&amp;sourceID=12","0")</f>
        <v>0</v>
      </c>
      <c r="T266" s="4" t="str">
        <f>HYPERLINK("http://141.218.60.56/~jnz1568/getInfo.php?workbook=06_01.xlsx&amp;sheet=A0&amp;row=266&amp;col=20&amp;number=&amp;sourceID=12","")</f>
        <v/>
      </c>
      <c r="U266" s="4" t="str">
        <f>HYPERLINK("http://141.218.60.56/~jnz1568/getInfo.php?workbook=06_01.xlsx&amp;sheet=A0&amp;row=266&amp;col=21&amp;number=&amp;sourceID=13","")</f>
        <v/>
      </c>
      <c r="V266" s="4" t="str">
        <f>HYPERLINK("http://141.218.60.56/~jnz1568/getInfo.php?workbook=06_01.xlsx&amp;sheet=A0&amp;row=266&amp;col=22&amp;number=&amp;sourceID=13","")</f>
        <v/>
      </c>
      <c r="W266" s="4" t="str">
        <f>HYPERLINK("http://141.218.60.56/~jnz1568/getInfo.php?workbook=06_01.xlsx&amp;sheet=A0&amp;row=266&amp;col=23&amp;number=&amp;sourceID=13","")</f>
        <v/>
      </c>
      <c r="X266" s="4" t="str">
        <f>HYPERLINK("http://141.218.60.56/~jnz1568/getInfo.php?workbook=06_01.xlsx&amp;sheet=A0&amp;row=266&amp;col=24&amp;number=&amp;sourceID=13","")</f>
        <v/>
      </c>
      <c r="Y266" s="4" t="str">
        <f>HYPERLINK("http://141.218.60.56/~jnz1568/getInfo.php?workbook=06_01.xlsx&amp;sheet=A0&amp;row=266&amp;col=25&amp;number=&amp;sourceID=13","")</f>
        <v/>
      </c>
      <c r="Z266" s="4" t="str">
        <f>HYPERLINK("http://141.218.60.56/~jnz1568/getInfo.php?workbook=06_01.xlsx&amp;sheet=A0&amp;row=266&amp;col=26&amp;number=&amp;sourceID=13","")</f>
        <v/>
      </c>
    </row>
    <row r="267" spans="1:26">
      <c r="A267" s="3">
        <v>6</v>
      </c>
      <c r="B267" s="3">
        <v>1</v>
      </c>
      <c r="C267" s="3">
        <v>24</v>
      </c>
      <c r="D267" s="3">
        <v>20</v>
      </c>
      <c r="E267" s="3">
        <f>((1/(INDEX(E0!J$4:J$28,C267,1)-INDEX(E0!J$4:J$28,D267,1))))*100000000</f>
        <v>0</v>
      </c>
      <c r="F267" s="4" t="str">
        <f>HYPERLINK("http://141.218.60.56/~jnz1568/getInfo.php?workbook=06_01.xlsx&amp;sheet=A0&amp;row=267&amp;col=6&amp;number=&amp;sourceID=18","")</f>
        <v/>
      </c>
      <c r="G267" s="4" t="str">
        <f>HYPERLINK("http://141.218.60.56/~jnz1568/getInfo.php?workbook=06_01.xlsx&amp;sheet=A0&amp;row=267&amp;col=7&amp;number==&amp;sourceID=11","=")</f>
        <v>=</v>
      </c>
      <c r="H267" s="4" t="str">
        <f>HYPERLINK("http://141.218.60.56/~jnz1568/getInfo.php?workbook=06_01.xlsx&amp;sheet=A0&amp;row=267&amp;col=8&amp;number=&amp;sourceID=11","")</f>
        <v/>
      </c>
      <c r="I267" s="4" t="str">
        <f>HYPERLINK("http://141.218.60.56/~jnz1568/getInfo.php?workbook=06_01.xlsx&amp;sheet=A0&amp;row=267&amp;col=9&amp;number=2.3e-14&amp;sourceID=11","2.3e-14")</f>
        <v>2.3e-14</v>
      </c>
      <c r="J267" s="4" t="str">
        <f>HYPERLINK("http://141.218.60.56/~jnz1568/getInfo.php?workbook=06_01.xlsx&amp;sheet=A0&amp;row=267&amp;col=10&amp;number=&amp;sourceID=11","")</f>
        <v/>
      </c>
      <c r="K267" s="4" t="str">
        <f>HYPERLINK("http://141.218.60.56/~jnz1568/getInfo.php?workbook=06_01.xlsx&amp;sheet=A0&amp;row=267&amp;col=11&amp;number=&amp;sourceID=11","")</f>
        <v/>
      </c>
      <c r="L267" s="4" t="str">
        <f>HYPERLINK("http://141.218.60.56/~jnz1568/getInfo.php?workbook=06_01.xlsx&amp;sheet=A0&amp;row=267&amp;col=12&amp;number=&amp;sourceID=11","")</f>
        <v/>
      </c>
      <c r="M267" s="4" t="str">
        <f>HYPERLINK("http://141.218.60.56/~jnz1568/getInfo.php?workbook=06_01.xlsx&amp;sheet=A0&amp;row=267&amp;col=13&amp;number=0&amp;sourceID=11","0")</f>
        <v>0</v>
      </c>
      <c r="N267" s="4" t="str">
        <f>HYPERLINK("http://141.218.60.56/~jnz1568/getInfo.php?workbook=06_01.xlsx&amp;sheet=A0&amp;row=267&amp;col=14&amp;number=2.3e-14&amp;sourceID=12","2.3e-14")</f>
        <v>2.3e-14</v>
      </c>
      <c r="O267" s="4" t="str">
        <f>HYPERLINK("http://141.218.60.56/~jnz1568/getInfo.php?workbook=06_01.xlsx&amp;sheet=A0&amp;row=267&amp;col=15&amp;number=&amp;sourceID=12","")</f>
        <v/>
      </c>
      <c r="P267" s="4" t="str">
        <f>HYPERLINK("http://141.218.60.56/~jnz1568/getInfo.php?workbook=06_01.xlsx&amp;sheet=A0&amp;row=267&amp;col=16&amp;number=2.3e-14&amp;sourceID=12","2.3e-14")</f>
        <v>2.3e-14</v>
      </c>
      <c r="Q267" s="4" t="str">
        <f>HYPERLINK("http://141.218.60.56/~jnz1568/getInfo.php?workbook=06_01.xlsx&amp;sheet=A0&amp;row=267&amp;col=17&amp;number=&amp;sourceID=12","")</f>
        <v/>
      </c>
      <c r="R267" s="4" t="str">
        <f>HYPERLINK("http://141.218.60.56/~jnz1568/getInfo.php?workbook=06_01.xlsx&amp;sheet=A0&amp;row=267&amp;col=18&amp;number=&amp;sourceID=12","")</f>
        <v/>
      </c>
      <c r="S267" s="4" t="str">
        <f>HYPERLINK("http://141.218.60.56/~jnz1568/getInfo.php?workbook=06_01.xlsx&amp;sheet=A0&amp;row=267&amp;col=19&amp;number=&amp;sourceID=12","")</f>
        <v/>
      </c>
      <c r="T267" s="4" t="str">
        <f>HYPERLINK("http://141.218.60.56/~jnz1568/getInfo.php?workbook=06_01.xlsx&amp;sheet=A0&amp;row=267&amp;col=20&amp;number=0&amp;sourceID=12","0")</f>
        <v>0</v>
      </c>
      <c r="U267" s="4" t="str">
        <f>HYPERLINK("http://141.218.60.56/~jnz1568/getInfo.php?workbook=06_01.xlsx&amp;sheet=A0&amp;row=267&amp;col=21&amp;number=&amp;sourceID=13","")</f>
        <v/>
      </c>
      <c r="V267" s="4" t="str">
        <f>HYPERLINK("http://141.218.60.56/~jnz1568/getInfo.php?workbook=06_01.xlsx&amp;sheet=A0&amp;row=267&amp;col=22&amp;number=&amp;sourceID=13","")</f>
        <v/>
      </c>
      <c r="W267" s="4" t="str">
        <f>HYPERLINK("http://141.218.60.56/~jnz1568/getInfo.php?workbook=06_01.xlsx&amp;sheet=A0&amp;row=267&amp;col=23&amp;number=&amp;sourceID=13","")</f>
        <v/>
      </c>
      <c r="X267" s="4" t="str">
        <f>HYPERLINK("http://141.218.60.56/~jnz1568/getInfo.php?workbook=06_01.xlsx&amp;sheet=A0&amp;row=267&amp;col=24&amp;number=&amp;sourceID=13","")</f>
        <v/>
      </c>
      <c r="Y267" s="4" t="str">
        <f>HYPERLINK("http://141.218.60.56/~jnz1568/getInfo.php?workbook=06_01.xlsx&amp;sheet=A0&amp;row=267&amp;col=25&amp;number=&amp;sourceID=13","")</f>
        <v/>
      </c>
      <c r="Z267" s="4" t="str">
        <f>HYPERLINK("http://141.218.60.56/~jnz1568/getInfo.php?workbook=06_01.xlsx&amp;sheet=A0&amp;row=267&amp;col=26&amp;number=&amp;sourceID=13","")</f>
        <v/>
      </c>
    </row>
    <row r="268" spans="1:26">
      <c r="A268" s="3">
        <v>6</v>
      </c>
      <c r="B268" s="3">
        <v>1</v>
      </c>
      <c r="C268" s="3">
        <v>24</v>
      </c>
      <c r="D268" s="3">
        <v>21</v>
      </c>
      <c r="E268" s="3">
        <f>((1/(INDEX(E0!J$4:J$28,C268,1)-INDEX(E0!J$4:J$28,D268,1))))*100000000</f>
        <v>0</v>
      </c>
      <c r="F268" s="4" t="str">
        <f>HYPERLINK("http://141.218.60.56/~jnz1568/getInfo.php?workbook=06_01.xlsx&amp;sheet=A0&amp;row=268&amp;col=6&amp;number=&amp;sourceID=18","")</f>
        <v/>
      </c>
      <c r="G268" s="4" t="str">
        <f>HYPERLINK("http://141.218.60.56/~jnz1568/getInfo.php?workbook=06_01.xlsx&amp;sheet=A0&amp;row=268&amp;col=7&amp;number==&amp;sourceID=11","=")</f>
        <v>=</v>
      </c>
      <c r="H268" s="4" t="str">
        <f>HYPERLINK("http://141.218.60.56/~jnz1568/getInfo.php?workbook=06_01.xlsx&amp;sheet=A0&amp;row=268&amp;col=8&amp;number=&amp;sourceID=11","")</f>
        <v/>
      </c>
      <c r="I268" s="4" t="str">
        <f>HYPERLINK("http://141.218.60.56/~jnz1568/getInfo.php?workbook=06_01.xlsx&amp;sheet=A0&amp;row=268&amp;col=9&amp;number=0&amp;sourceID=11","0")</f>
        <v>0</v>
      </c>
      <c r="J268" s="4" t="str">
        <f>HYPERLINK("http://141.218.60.56/~jnz1568/getInfo.php?workbook=06_01.xlsx&amp;sheet=A0&amp;row=268&amp;col=10&amp;number=&amp;sourceID=11","")</f>
        <v/>
      </c>
      <c r="K268" s="4" t="str">
        <f>HYPERLINK("http://141.218.60.56/~jnz1568/getInfo.php?workbook=06_01.xlsx&amp;sheet=A0&amp;row=268&amp;col=11&amp;number=1.4885e-09&amp;sourceID=11","1.4885e-09")</f>
        <v>1.4885e-09</v>
      </c>
      <c r="L268" s="4" t="str">
        <f>HYPERLINK("http://141.218.60.56/~jnz1568/getInfo.php?workbook=06_01.xlsx&amp;sheet=A0&amp;row=268&amp;col=12&amp;number=&amp;sourceID=11","")</f>
        <v/>
      </c>
      <c r="M268" s="4" t="str">
        <f>HYPERLINK("http://141.218.60.56/~jnz1568/getInfo.php?workbook=06_01.xlsx&amp;sheet=A0&amp;row=268&amp;col=13&amp;number=0&amp;sourceID=11","0")</f>
        <v>0</v>
      </c>
      <c r="N268" s="4" t="str">
        <f>HYPERLINK("http://141.218.60.56/~jnz1568/getInfo.php?workbook=06_01.xlsx&amp;sheet=A0&amp;row=268&amp;col=14&amp;number=1.4891e-09&amp;sourceID=12","1.4891e-09")</f>
        <v>1.4891e-09</v>
      </c>
      <c r="O268" s="4" t="str">
        <f>HYPERLINK("http://141.218.60.56/~jnz1568/getInfo.php?workbook=06_01.xlsx&amp;sheet=A0&amp;row=268&amp;col=15&amp;number=&amp;sourceID=12","")</f>
        <v/>
      </c>
      <c r="P268" s="4" t="str">
        <f>HYPERLINK("http://141.218.60.56/~jnz1568/getInfo.php?workbook=06_01.xlsx&amp;sheet=A0&amp;row=268&amp;col=16&amp;number=0&amp;sourceID=12","0")</f>
        <v>0</v>
      </c>
      <c r="Q268" s="4" t="str">
        <f>HYPERLINK("http://141.218.60.56/~jnz1568/getInfo.php?workbook=06_01.xlsx&amp;sheet=A0&amp;row=268&amp;col=17&amp;number=&amp;sourceID=12","")</f>
        <v/>
      </c>
      <c r="R268" s="4" t="str">
        <f>HYPERLINK("http://141.218.60.56/~jnz1568/getInfo.php?workbook=06_01.xlsx&amp;sheet=A0&amp;row=268&amp;col=18&amp;number=1.4891e-09&amp;sourceID=12","1.4891e-09")</f>
        <v>1.4891e-09</v>
      </c>
      <c r="S268" s="4" t="str">
        <f>HYPERLINK("http://141.218.60.56/~jnz1568/getInfo.php?workbook=06_01.xlsx&amp;sheet=A0&amp;row=268&amp;col=19&amp;number=&amp;sourceID=12","")</f>
        <v/>
      </c>
      <c r="T268" s="4" t="str">
        <f>HYPERLINK("http://141.218.60.56/~jnz1568/getInfo.php?workbook=06_01.xlsx&amp;sheet=A0&amp;row=268&amp;col=20&amp;number=0&amp;sourceID=12","0")</f>
        <v>0</v>
      </c>
      <c r="U268" s="4" t="str">
        <f>HYPERLINK("http://141.218.60.56/~jnz1568/getInfo.php?workbook=06_01.xlsx&amp;sheet=A0&amp;row=268&amp;col=21&amp;number=&amp;sourceID=13","")</f>
        <v/>
      </c>
      <c r="V268" s="4" t="str">
        <f>HYPERLINK("http://141.218.60.56/~jnz1568/getInfo.php?workbook=06_01.xlsx&amp;sheet=A0&amp;row=268&amp;col=22&amp;number=&amp;sourceID=13","")</f>
        <v/>
      </c>
      <c r="W268" s="4" t="str">
        <f>HYPERLINK("http://141.218.60.56/~jnz1568/getInfo.php?workbook=06_01.xlsx&amp;sheet=A0&amp;row=268&amp;col=23&amp;number=&amp;sourceID=13","")</f>
        <v/>
      </c>
      <c r="X268" s="4" t="str">
        <f>HYPERLINK("http://141.218.60.56/~jnz1568/getInfo.php?workbook=06_01.xlsx&amp;sheet=A0&amp;row=268&amp;col=24&amp;number=&amp;sourceID=13","")</f>
        <v/>
      </c>
      <c r="Y268" s="4" t="str">
        <f>HYPERLINK("http://141.218.60.56/~jnz1568/getInfo.php?workbook=06_01.xlsx&amp;sheet=A0&amp;row=268&amp;col=25&amp;number=&amp;sourceID=13","")</f>
        <v/>
      </c>
      <c r="Z268" s="4" t="str">
        <f>HYPERLINK("http://141.218.60.56/~jnz1568/getInfo.php?workbook=06_01.xlsx&amp;sheet=A0&amp;row=268&amp;col=26&amp;number=&amp;sourceID=13","")</f>
        <v/>
      </c>
    </row>
    <row r="269" spans="1:26">
      <c r="A269" s="3">
        <v>6</v>
      </c>
      <c r="B269" s="3">
        <v>1</v>
      </c>
      <c r="C269" s="3">
        <v>24</v>
      </c>
      <c r="D269" s="3">
        <v>22</v>
      </c>
      <c r="E269" s="3">
        <f>((1/(INDEX(E0!J$4:J$28,C269,1)-INDEX(E0!J$4:J$28,D269,1))))*100000000</f>
        <v>0</v>
      </c>
      <c r="F269" s="4" t="str">
        <f>HYPERLINK("http://141.218.60.56/~jnz1568/getInfo.php?workbook=06_01.xlsx&amp;sheet=A0&amp;row=269&amp;col=6&amp;number=&amp;sourceID=18","")</f>
        <v/>
      </c>
      <c r="G269" s="4" t="str">
        <f>HYPERLINK("http://141.218.60.56/~jnz1568/getInfo.php?workbook=06_01.xlsx&amp;sheet=A0&amp;row=269&amp;col=7&amp;number==&amp;sourceID=11","=")</f>
        <v>=</v>
      </c>
      <c r="H269" s="4" t="str">
        <f>HYPERLINK("http://141.218.60.56/~jnz1568/getInfo.php?workbook=06_01.xlsx&amp;sheet=A0&amp;row=269&amp;col=8&amp;number=0.0027951&amp;sourceID=11","0.0027951")</f>
        <v>0.0027951</v>
      </c>
      <c r="I269" s="4" t="str">
        <f>HYPERLINK("http://141.218.60.56/~jnz1568/getInfo.php?workbook=06_01.xlsx&amp;sheet=A0&amp;row=269&amp;col=9&amp;number=&amp;sourceID=11","")</f>
        <v/>
      </c>
      <c r="J269" s="4" t="str">
        <f>HYPERLINK("http://141.218.60.56/~jnz1568/getInfo.php?workbook=06_01.xlsx&amp;sheet=A0&amp;row=269&amp;col=10&amp;number=0&amp;sourceID=11","0")</f>
        <v>0</v>
      </c>
      <c r="K269" s="4" t="str">
        <f>HYPERLINK("http://141.218.60.56/~jnz1568/getInfo.php?workbook=06_01.xlsx&amp;sheet=A0&amp;row=269&amp;col=11&amp;number=&amp;sourceID=11","")</f>
        <v/>
      </c>
      <c r="L269" s="4" t="str">
        <f>HYPERLINK("http://141.218.60.56/~jnz1568/getInfo.php?workbook=06_01.xlsx&amp;sheet=A0&amp;row=269&amp;col=12&amp;number=0&amp;sourceID=11","0")</f>
        <v>0</v>
      </c>
      <c r="M269" s="4" t="str">
        <f>HYPERLINK("http://141.218.60.56/~jnz1568/getInfo.php?workbook=06_01.xlsx&amp;sheet=A0&amp;row=269&amp;col=13&amp;number=&amp;sourceID=11","")</f>
        <v/>
      </c>
      <c r="N269" s="4" t="str">
        <f>HYPERLINK("http://141.218.60.56/~jnz1568/getInfo.php?workbook=06_01.xlsx&amp;sheet=A0&amp;row=269&amp;col=14&amp;number=0.0027962&amp;sourceID=12","0.0027962")</f>
        <v>0.0027962</v>
      </c>
      <c r="O269" s="4" t="str">
        <f>HYPERLINK("http://141.218.60.56/~jnz1568/getInfo.php?workbook=06_01.xlsx&amp;sheet=A0&amp;row=269&amp;col=15&amp;number=0.0027962&amp;sourceID=12","0.0027962")</f>
        <v>0.0027962</v>
      </c>
      <c r="P269" s="4" t="str">
        <f>HYPERLINK("http://141.218.60.56/~jnz1568/getInfo.php?workbook=06_01.xlsx&amp;sheet=A0&amp;row=269&amp;col=16&amp;number=&amp;sourceID=12","")</f>
        <v/>
      </c>
      <c r="Q269" s="4" t="str">
        <f>HYPERLINK("http://141.218.60.56/~jnz1568/getInfo.php?workbook=06_01.xlsx&amp;sheet=A0&amp;row=269&amp;col=17&amp;number=0&amp;sourceID=12","0")</f>
        <v>0</v>
      </c>
      <c r="R269" s="4" t="str">
        <f>HYPERLINK("http://141.218.60.56/~jnz1568/getInfo.php?workbook=06_01.xlsx&amp;sheet=A0&amp;row=269&amp;col=18&amp;number=&amp;sourceID=12","")</f>
        <v/>
      </c>
      <c r="S269" s="4" t="str">
        <f>HYPERLINK("http://141.218.60.56/~jnz1568/getInfo.php?workbook=06_01.xlsx&amp;sheet=A0&amp;row=269&amp;col=19&amp;number=0&amp;sourceID=12","0")</f>
        <v>0</v>
      </c>
      <c r="T269" s="4" t="str">
        <f>HYPERLINK("http://141.218.60.56/~jnz1568/getInfo.php?workbook=06_01.xlsx&amp;sheet=A0&amp;row=269&amp;col=20&amp;number=&amp;sourceID=12","")</f>
        <v/>
      </c>
      <c r="U269" s="4" t="str">
        <f>HYPERLINK("http://141.218.60.56/~jnz1568/getInfo.php?workbook=06_01.xlsx&amp;sheet=A0&amp;row=269&amp;col=21&amp;number=&amp;sourceID=13","")</f>
        <v/>
      </c>
      <c r="V269" s="4" t="str">
        <f>HYPERLINK("http://141.218.60.56/~jnz1568/getInfo.php?workbook=06_01.xlsx&amp;sheet=A0&amp;row=269&amp;col=22&amp;number=&amp;sourceID=13","")</f>
        <v/>
      </c>
      <c r="W269" s="4" t="str">
        <f>HYPERLINK("http://141.218.60.56/~jnz1568/getInfo.php?workbook=06_01.xlsx&amp;sheet=A0&amp;row=269&amp;col=23&amp;number=&amp;sourceID=13","")</f>
        <v/>
      </c>
      <c r="X269" s="4" t="str">
        <f>HYPERLINK("http://141.218.60.56/~jnz1568/getInfo.php?workbook=06_01.xlsx&amp;sheet=A0&amp;row=269&amp;col=24&amp;number=&amp;sourceID=13","")</f>
        <v/>
      </c>
      <c r="Y269" s="4" t="str">
        <f>HYPERLINK("http://141.218.60.56/~jnz1568/getInfo.php?workbook=06_01.xlsx&amp;sheet=A0&amp;row=269&amp;col=25&amp;number=&amp;sourceID=13","")</f>
        <v/>
      </c>
      <c r="Z269" s="4" t="str">
        <f>HYPERLINK("http://141.218.60.56/~jnz1568/getInfo.php?workbook=06_01.xlsx&amp;sheet=A0&amp;row=269&amp;col=26&amp;number=&amp;sourceID=13","")</f>
        <v/>
      </c>
    </row>
    <row r="270" spans="1:26">
      <c r="A270" s="3">
        <v>6</v>
      </c>
      <c r="B270" s="3">
        <v>1</v>
      </c>
      <c r="C270" s="3">
        <v>25</v>
      </c>
      <c r="D270" s="3">
        <v>4</v>
      </c>
      <c r="E270" s="3">
        <f>((1/(INDEX(E0!J$4:J$28,C270,1)-INDEX(E0!J$4:J$28,D270,1))))*100000000</f>
        <v>0</v>
      </c>
      <c r="F270" s="4" t="str">
        <f>HYPERLINK("http://141.218.60.56/~jnz1568/getInfo.php?workbook=06_01.xlsx&amp;sheet=A0&amp;row=270&amp;col=6&amp;number=&amp;sourceID=18","")</f>
        <v/>
      </c>
      <c r="G270" s="4" t="str">
        <f>HYPERLINK("http://141.218.60.56/~jnz1568/getInfo.php?workbook=06_01.xlsx&amp;sheet=A0&amp;row=270&amp;col=7&amp;number==&amp;sourceID=11","=")</f>
        <v>=</v>
      </c>
      <c r="H270" s="4" t="str">
        <f>HYPERLINK("http://141.218.60.56/~jnz1568/getInfo.php?workbook=06_01.xlsx&amp;sheet=A0&amp;row=270&amp;col=8&amp;number=&amp;sourceID=11","")</f>
        <v/>
      </c>
      <c r="I270" s="4" t="str">
        <f>HYPERLINK("http://141.218.60.56/~jnz1568/getInfo.php?workbook=06_01.xlsx&amp;sheet=A0&amp;row=270&amp;col=9&amp;number=&amp;sourceID=11","")</f>
        <v/>
      </c>
      <c r="J270" s="4" t="str">
        <f>HYPERLINK("http://141.218.60.56/~jnz1568/getInfo.php?workbook=06_01.xlsx&amp;sheet=A0&amp;row=270&amp;col=10&amp;number=56.277&amp;sourceID=11","56.277")</f>
        <v>56.277</v>
      </c>
      <c r="K270" s="4" t="str">
        <f>HYPERLINK("http://141.218.60.56/~jnz1568/getInfo.php?workbook=06_01.xlsx&amp;sheet=A0&amp;row=270&amp;col=11&amp;number=&amp;sourceID=11","")</f>
        <v/>
      </c>
      <c r="L270" s="4" t="str">
        <f>HYPERLINK("http://141.218.60.56/~jnz1568/getInfo.php?workbook=06_01.xlsx&amp;sheet=A0&amp;row=270&amp;col=12&amp;number=&amp;sourceID=11","")</f>
        <v/>
      </c>
      <c r="M270" s="4" t="str">
        <f>HYPERLINK("http://141.218.60.56/~jnz1568/getInfo.php?workbook=06_01.xlsx&amp;sheet=A0&amp;row=270&amp;col=13&amp;number=&amp;sourceID=11","")</f>
        <v/>
      </c>
      <c r="N270" s="4" t="str">
        <f>HYPERLINK("http://141.218.60.56/~jnz1568/getInfo.php?workbook=06_01.xlsx&amp;sheet=A0&amp;row=270&amp;col=14&amp;number=56.279&amp;sourceID=12","56.279")</f>
        <v>56.279</v>
      </c>
      <c r="O270" s="4" t="str">
        <f>HYPERLINK("http://141.218.60.56/~jnz1568/getInfo.php?workbook=06_01.xlsx&amp;sheet=A0&amp;row=270&amp;col=15&amp;number=&amp;sourceID=12","")</f>
        <v/>
      </c>
      <c r="P270" s="4" t="str">
        <f>HYPERLINK("http://141.218.60.56/~jnz1568/getInfo.php?workbook=06_01.xlsx&amp;sheet=A0&amp;row=270&amp;col=16&amp;number=&amp;sourceID=12","")</f>
        <v/>
      </c>
      <c r="Q270" s="4" t="str">
        <f>HYPERLINK("http://141.218.60.56/~jnz1568/getInfo.php?workbook=06_01.xlsx&amp;sheet=A0&amp;row=270&amp;col=17&amp;number=56.279&amp;sourceID=12","56.279")</f>
        <v>56.279</v>
      </c>
      <c r="R270" s="4" t="str">
        <f>HYPERLINK("http://141.218.60.56/~jnz1568/getInfo.php?workbook=06_01.xlsx&amp;sheet=A0&amp;row=270&amp;col=18&amp;number=&amp;sourceID=12","")</f>
        <v/>
      </c>
      <c r="S270" s="4" t="str">
        <f>HYPERLINK("http://141.218.60.56/~jnz1568/getInfo.php?workbook=06_01.xlsx&amp;sheet=A0&amp;row=270&amp;col=19&amp;number=&amp;sourceID=12","")</f>
        <v/>
      </c>
      <c r="T270" s="4" t="str">
        <f>HYPERLINK("http://141.218.60.56/~jnz1568/getInfo.php?workbook=06_01.xlsx&amp;sheet=A0&amp;row=270&amp;col=20&amp;number=&amp;sourceID=12","")</f>
        <v/>
      </c>
      <c r="U270" s="4" t="str">
        <f>HYPERLINK("http://141.218.60.56/~jnz1568/getInfo.php?workbook=06_01.xlsx&amp;sheet=A0&amp;row=270&amp;col=21&amp;number=&amp;sourceID=13","")</f>
        <v/>
      </c>
      <c r="V270" s="4" t="str">
        <f>HYPERLINK("http://141.218.60.56/~jnz1568/getInfo.php?workbook=06_01.xlsx&amp;sheet=A0&amp;row=270&amp;col=22&amp;number=&amp;sourceID=13","")</f>
        <v/>
      </c>
      <c r="W270" s="4" t="str">
        <f>HYPERLINK("http://141.218.60.56/~jnz1568/getInfo.php?workbook=06_01.xlsx&amp;sheet=A0&amp;row=270&amp;col=23&amp;number=&amp;sourceID=13","")</f>
        <v/>
      </c>
      <c r="X270" s="4" t="str">
        <f>HYPERLINK("http://141.218.60.56/~jnz1568/getInfo.php?workbook=06_01.xlsx&amp;sheet=A0&amp;row=270&amp;col=24&amp;number=&amp;sourceID=13","")</f>
        <v/>
      </c>
      <c r="Y270" s="4" t="str">
        <f>HYPERLINK("http://141.218.60.56/~jnz1568/getInfo.php?workbook=06_01.xlsx&amp;sheet=A0&amp;row=270&amp;col=25&amp;number=&amp;sourceID=13","")</f>
        <v/>
      </c>
      <c r="Z270" s="4" t="str">
        <f>HYPERLINK("http://141.218.60.56/~jnz1568/getInfo.php?workbook=06_01.xlsx&amp;sheet=A0&amp;row=270&amp;col=26&amp;number=&amp;sourceID=13","")</f>
        <v/>
      </c>
    </row>
    <row r="271" spans="1:26">
      <c r="A271" s="3">
        <v>6</v>
      </c>
      <c r="B271" s="3">
        <v>1</v>
      </c>
      <c r="C271" s="3">
        <v>25</v>
      </c>
      <c r="D271" s="3">
        <v>7</v>
      </c>
      <c r="E271" s="3">
        <f>((1/(INDEX(E0!J$4:J$28,C271,1)-INDEX(E0!J$4:J$28,D271,1))))*100000000</f>
        <v>0</v>
      </c>
      <c r="F271" s="4" t="str">
        <f>HYPERLINK("http://141.218.60.56/~jnz1568/getInfo.php?workbook=06_01.xlsx&amp;sheet=A0&amp;row=271&amp;col=6&amp;number=&amp;sourceID=18","")</f>
        <v/>
      </c>
      <c r="G271" s="4" t="str">
        <f>HYPERLINK("http://141.218.60.56/~jnz1568/getInfo.php?workbook=06_01.xlsx&amp;sheet=A0&amp;row=271&amp;col=7&amp;number==&amp;sourceID=11","=")</f>
        <v>=</v>
      </c>
      <c r="H271" s="4" t="str">
        <f>HYPERLINK("http://141.218.60.56/~jnz1568/getInfo.php?workbook=06_01.xlsx&amp;sheet=A0&amp;row=271&amp;col=8&amp;number=&amp;sourceID=11","")</f>
        <v/>
      </c>
      <c r="I271" s="4" t="str">
        <f>HYPERLINK("http://141.218.60.56/~jnz1568/getInfo.php?workbook=06_01.xlsx&amp;sheet=A0&amp;row=271&amp;col=9&amp;number=&amp;sourceID=11","")</f>
        <v/>
      </c>
      <c r="J271" s="4" t="str">
        <f>HYPERLINK("http://141.218.60.56/~jnz1568/getInfo.php?workbook=06_01.xlsx&amp;sheet=A0&amp;row=271&amp;col=10&amp;number=&amp;sourceID=11","")</f>
        <v/>
      </c>
      <c r="K271" s="4" t="str">
        <f>HYPERLINK("http://141.218.60.56/~jnz1568/getInfo.php?workbook=06_01.xlsx&amp;sheet=A0&amp;row=271&amp;col=11&amp;number=&amp;sourceID=11","")</f>
        <v/>
      </c>
      <c r="L271" s="4" t="str">
        <f>HYPERLINK("http://141.218.60.56/~jnz1568/getInfo.php?workbook=06_01.xlsx&amp;sheet=A0&amp;row=271&amp;col=12&amp;number=&amp;sourceID=11","")</f>
        <v/>
      </c>
      <c r="M271" s="4" t="str">
        <f>HYPERLINK("http://141.218.60.56/~jnz1568/getInfo.php?workbook=06_01.xlsx&amp;sheet=A0&amp;row=271&amp;col=13&amp;number=0.00021589&amp;sourceID=11","0.00021589")</f>
        <v>0.00021589</v>
      </c>
      <c r="N271" s="4" t="str">
        <f>HYPERLINK("http://141.218.60.56/~jnz1568/getInfo.php?workbook=06_01.xlsx&amp;sheet=A0&amp;row=271&amp;col=14&amp;number=0.0002159&amp;sourceID=12","0.0002159")</f>
        <v>0.0002159</v>
      </c>
      <c r="O271" s="4" t="str">
        <f>HYPERLINK("http://141.218.60.56/~jnz1568/getInfo.php?workbook=06_01.xlsx&amp;sheet=A0&amp;row=271&amp;col=15&amp;number=&amp;sourceID=12","")</f>
        <v/>
      </c>
      <c r="P271" s="4" t="str">
        <f>HYPERLINK("http://141.218.60.56/~jnz1568/getInfo.php?workbook=06_01.xlsx&amp;sheet=A0&amp;row=271&amp;col=16&amp;number=&amp;sourceID=12","")</f>
        <v/>
      </c>
      <c r="Q271" s="4" t="str">
        <f>HYPERLINK("http://141.218.60.56/~jnz1568/getInfo.php?workbook=06_01.xlsx&amp;sheet=A0&amp;row=271&amp;col=17&amp;number=&amp;sourceID=12","")</f>
        <v/>
      </c>
      <c r="R271" s="4" t="str">
        <f>HYPERLINK("http://141.218.60.56/~jnz1568/getInfo.php?workbook=06_01.xlsx&amp;sheet=A0&amp;row=271&amp;col=18&amp;number=&amp;sourceID=12","")</f>
        <v/>
      </c>
      <c r="S271" s="4" t="str">
        <f>HYPERLINK("http://141.218.60.56/~jnz1568/getInfo.php?workbook=06_01.xlsx&amp;sheet=A0&amp;row=271&amp;col=19&amp;number=&amp;sourceID=12","")</f>
        <v/>
      </c>
      <c r="T271" s="4" t="str">
        <f>HYPERLINK("http://141.218.60.56/~jnz1568/getInfo.php?workbook=06_01.xlsx&amp;sheet=A0&amp;row=271&amp;col=20&amp;number=0.0002159&amp;sourceID=12","0.0002159")</f>
        <v>0.0002159</v>
      </c>
      <c r="U271" s="4" t="str">
        <f>HYPERLINK("http://141.218.60.56/~jnz1568/getInfo.php?workbook=06_01.xlsx&amp;sheet=A0&amp;row=271&amp;col=21&amp;number=&amp;sourceID=13","")</f>
        <v/>
      </c>
      <c r="V271" s="4" t="str">
        <f>HYPERLINK("http://141.218.60.56/~jnz1568/getInfo.php?workbook=06_01.xlsx&amp;sheet=A0&amp;row=271&amp;col=22&amp;number=&amp;sourceID=13","")</f>
        <v/>
      </c>
      <c r="W271" s="4" t="str">
        <f>HYPERLINK("http://141.218.60.56/~jnz1568/getInfo.php?workbook=06_01.xlsx&amp;sheet=A0&amp;row=271&amp;col=23&amp;number=&amp;sourceID=13","")</f>
        <v/>
      </c>
      <c r="X271" s="4" t="str">
        <f>HYPERLINK("http://141.218.60.56/~jnz1568/getInfo.php?workbook=06_01.xlsx&amp;sheet=A0&amp;row=271&amp;col=24&amp;number=&amp;sourceID=13","")</f>
        <v/>
      </c>
      <c r="Y271" s="4" t="str">
        <f>HYPERLINK("http://141.218.60.56/~jnz1568/getInfo.php?workbook=06_01.xlsx&amp;sheet=A0&amp;row=271&amp;col=25&amp;number=&amp;sourceID=13","")</f>
        <v/>
      </c>
      <c r="Z271" s="4" t="str">
        <f>HYPERLINK("http://141.218.60.56/~jnz1568/getInfo.php?workbook=06_01.xlsx&amp;sheet=A0&amp;row=271&amp;col=26&amp;number=&amp;sourceID=13","")</f>
        <v/>
      </c>
    </row>
    <row r="272" spans="1:26">
      <c r="A272" s="3">
        <v>6</v>
      </c>
      <c r="B272" s="3">
        <v>1</v>
      </c>
      <c r="C272" s="3">
        <v>25</v>
      </c>
      <c r="D272" s="3">
        <v>8</v>
      </c>
      <c r="E272" s="3">
        <f>((1/(INDEX(E0!J$4:J$28,C272,1)-INDEX(E0!J$4:J$28,D272,1))))*100000000</f>
        <v>0</v>
      </c>
      <c r="F272" s="4" t="str">
        <f>HYPERLINK("http://141.218.60.56/~jnz1568/getInfo.php?workbook=06_01.xlsx&amp;sheet=A0&amp;row=272&amp;col=6&amp;number=&amp;sourceID=18","")</f>
        <v/>
      </c>
      <c r="G272" s="4" t="str">
        <f>HYPERLINK("http://141.218.60.56/~jnz1568/getInfo.php?workbook=06_01.xlsx&amp;sheet=A0&amp;row=272&amp;col=7&amp;number==&amp;sourceID=11","=")</f>
        <v>=</v>
      </c>
      <c r="H272" s="4" t="str">
        <f>HYPERLINK("http://141.218.60.56/~jnz1568/getInfo.php?workbook=06_01.xlsx&amp;sheet=A0&amp;row=272&amp;col=8&amp;number=&amp;sourceID=11","")</f>
        <v/>
      </c>
      <c r="I272" s="4" t="str">
        <f>HYPERLINK("http://141.218.60.56/~jnz1568/getInfo.php?workbook=06_01.xlsx&amp;sheet=A0&amp;row=272&amp;col=9&amp;number=&amp;sourceID=11","")</f>
        <v/>
      </c>
      <c r="J272" s="4" t="str">
        <f>HYPERLINK("http://141.218.60.56/~jnz1568/getInfo.php?workbook=06_01.xlsx&amp;sheet=A0&amp;row=272&amp;col=10&amp;number=23.79&amp;sourceID=11","23.79")</f>
        <v>23.79</v>
      </c>
      <c r="K272" s="4" t="str">
        <f>HYPERLINK("http://141.218.60.56/~jnz1568/getInfo.php?workbook=06_01.xlsx&amp;sheet=A0&amp;row=272&amp;col=11&amp;number=&amp;sourceID=11","")</f>
        <v/>
      </c>
      <c r="L272" s="4" t="str">
        <f>HYPERLINK("http://141.218.60.56/~jnz1568/getInfo.php?workbook=06_01.xlsx&amp;sheet=A0&amp;row=272&amp;col=12&amp;number=&amp;sourceID=11","")</f>
        <v/>
      </c>
      <c r="M272" s="4" t="str">
        <f>HYPERLINK("http://141.218.60.56/~jnz1568/getInfo.php?workbook=06_01.xlsx&amp;sheet=A0&amp;row=272&amp;col=13&amp;number=&amp;sourceID=11","")</f>
        <v/>
      </c>
      <c r="N272" s="4" t="str">
        <f>HYPERLINK("http://141.218.60.56/~jnz1568/getInfo.php?workbook=06_01.xlsx&amp;sheet=A0&amp;row=272&amp;col=14&amp;number=23.791&amp;sourceID=12","23.791")</f>
        <v>23.791</v>
      </c>
      <c r="O272" s="4" t="str">
        <f>HYPERLINK("http://141.218.60.56/~jnz1568/getInfo.php?workbook=06_01.xlsx&amp;sheet=A0&amp;row=272&amp;col=15&amp;number=&amp;sourceID=12","")</f>
        <v/>
      </c>
      <c r="P272" s="4" t="str">
        <f>HYPERLINK("http://141.218.60.56/~jnz1568/getInfo.php?workbook=06_01.xlsx&amp;sheet=A0&amp;row=272&amp;col=16&amp;number=&amp;sourceID=12","")</f>
        <v/>
      </c>
      <c r="Q272" s="4" t="str">
        <f>HYPERLINK("http://141.218.60.56/~jnz1568/getInfo.php?workbook=06_01.xlsx&amp;sheet=A0&amp;row=272&amp;col=17&amp;number=23.791&amp;sourceID=12","23.791")</f>
        <v>23.791</v>
      </c>
      <c r="R272" s="4" t="str">
        <f>HYPERLINK("http://141.218.60.56/~jnz1568/getInfo.php?workbook=06_01.xlsx&amp;sheet=A0&amp;row=272&amp;col=18&amp;number=&amp;sourceID=12","")</f>
        <v/>
      </c>
      <c r="S272" s="4" t="str">
        <f>HYPERLINK("http://141.218.60.56/~jnz1568/getInfo.php?workbook=06_01.xlsx&amp;sheet=A0&amp;row=272&amp;col=19&amp;number=&amp;sourceID=12","")</f>
        <v/>
      </c>
      <c r="T272" s="4" t="str">
        <f>HYPERLINK("http://141.218.60.56/~jnz1568/getInfo.php?workbook=06_01.xlsx&amp;sheet=A0&amp;row=272&amp;col=20&amp;number=&amp;sourceID=12","")</f>
        <v/>
      </c>
      <c r="U272" s="4" t="str">
        <f>HYPERLINK("http://141.218.60.56/~jnz1568/getInfo.php?workbook=06_01.xlsx&amp;sheet=A0&amp;row=272&amp;col=21&amp;number=&amp;sourceID=13","")</f>
        <v/>
      </c>
      <c r="V272" s="4" t="str">
        <f>HYPERLINK("http://141.218.60.56/~jnz1568/getInfo.php?workbook=06_01.xlsx&amp;sheet=A0&amp;row=272&amp;col=22&amp;number=&amp;sourceID=13","")</f>
        <v/>
      </c>
      <c r="W272" s="4" t="str">
        <f>HYPERLINK("http://141.218.60.56/~jnz1568/getInfo.php?workbook=06_01.xlsx&amp;sheet=A0&amp;row=272&amp;col=23&amp;number=&amp;sourceID=13","")</f>
        <v/>
      </c>
      <c r="X272" s="4" t="str">
        <f>HYPERLINK("http://141.218.60.56/~jnz1568/getInfo.php?workbook=06_01.xlsx&amp;sheet=A0&amp;row=272&amp;col=24&amp;number=&amp;sourceID=13","")</f>
        <v/>
      </c>
      <c r="Y272" s="4" t="str">
        <f>HYPERLINK("http://141.218.60.56/~jnz1568/getInfo.php?workbook=06_01.xlsx&amp;sheet=A0&amp;row=272&amp;col=25&amp;number=&amp;sourceID=13","")</f>
        <v/>
      </c>
      <c r="Z272" s="4" t="str">
        <f>HYPERLINK("http://141.218.60.56/~jnz1568/getInfo.php?workbook=06_01.xlsx&amp;sheet=A0&amp;row=272&amp;col=26&amp;number=&amp;sourceID=13","")</f>
        <v/>
      </c>
    </row>
    <row r="273" spans="1:26">
      <c r="A273" s="3">
        <v>6</v>
      </c>
      <c r="B273" s="3">
        <v>1</v>
      </c>
      <c r="C273" s="3">
        <v>25</v>
      </c>
      <c r="D273" s="3">
        <v>9</v>
      </c>
      <c r="E273" s="3">
        <f>((1/(INDEX(E0!J$4:J$28,C273,1)-INDEX(E0!J$4:J$28,D273,1))))*100000000</f>
        <v>0</v>
      </c>
      <c r="F273" s="4" t="str">
        <f>HYPERLINK("http://141.218.60.56/~jnz1568/getInfo.php?workbook=06_01.xlsx&amp;sheet=A0&amp;row=273&amp;col=6&amp;number=&amp;sourceID=18","")</f>
        <v/>
      </c>
      <c r="G273" s="4" t="str">
        <f>HYPERLINK("http://141.218.60.56/~jnz1568/getInfo.php?workbook=06_01.xlsx&amp;sheet=A0&amp;row=273&amp;col=7&amp;number==&amp;sourceID=11","=")</f>
        <v>=</v>
      </c>
      <c r="H273" s="4" t="str">
        <f>HYPERLINK("http://141.218.60.56/~jnz1568/getInfo.php?workbook=06_01.xlsx&amp;sheet=A0&amp;row=273&amp;col=8&amp;number=&amp;sourceID=11","")</f>
        <v/>
      </c>
      <c r="I273" s="4" t="str">
        <f>HYPERLINK("http://141.218.60.56/~jnz1568/getInfo.php?workbook=06_01.xlsx&amp;sheet=A0&amp;row=273&amp;col=9&amp;number=541840&amp;sourceID=11","541840")</f>
        <v>541840</v>
      </c>
      <c r="J273" s="4" t="str">
        <f>HYPERLINK("http://141.218.60.56/~jnz1568/getInfo.php?workbook=06_01.xlsx&amp;sheet=A0&amp;row=273&amp;col=10&amp;number=&amp;sourceID=11","")</f>
        <v/>
      </c>
      <c r="K273" s="4" t="str">
        <f>HYPERLINK("http://141.218.60.56/~jnz1568/getInfo.php?workbook=06_01.xlsx&amp;sheet=A0&amp;row=273&amp;col=11&amp;number=&amp;sourceID=11","")</f>
        <v/>
      </c>
      <c r="L273" s="4" t="str">
        <f>HYPERLINK("http://141.218.60.56/~jnz1568/getInfo.php?workbook=06_01.xlsx&amp;sheet=A0&amp;row=273&amp;col=12&amp;number=&amp;sourceID=11","")</f>
        <v/>
      </c>
      <c r="M273" s="4" t="str">
        <f>HYPERLINK("http://141.218.60.56/~jnz1568/getInfo.php?workbook=06_01.xlsx&amp;sheet=A0&amp;row=273&amp;col=13&amp;number=0.00070337&amp;sourceID=11","0.00070337")</f>
        <v>0.00070337</v>
      </c>
      <c r="N273" s="4" t="str">
        <f>HYPERLINK("http://141.218.60.56/~jnz1568/getInfo.php?workbook=06_01.xlsx&amp;sheet=A0&amp;row=273&amp;col=14&amp;number=541870&amp;sourceID=12","541870")</f>
        <v>541870</v>
      </c>
      <c r="O273" s="4" t="str">
        <f>HYPERLINK("http://141.218.60.56/~jnz1568/getInfo.php?workbook=06_01.xlsx&amp;sheet=A0&amp;row=273&amp;col=15&amp;number=&amp;sourceID=12","")</f>
        <v/>
      </c>
      <c r="P273" s="4" t="str">
        <f>HYPERLINK("http://141.218.60.56/~jnz1568/getInfo.php?workbook=06_01.xlsx&amp;sheet=A0&amp;row=273&amp;col=16&amp;number=541870&amp;sourceID=12","541870")</f>
        <v>541870</v>
      </c>
      <c r="Q273" s="4" t="str">
        <f>HYPERLINK("http://141.218.60.56/~jnz1568/getInfo.php?workbook=06_01.xlsx&amp;sheet=A0&amp;row=273&amp;col=17&amp;number=&amp;sourceID=12","")</f>
        <v/>
      </c>
      <c r="R273" s="4" t="str">
        <f>HYPERLINK("http://141.218.60.56/~jnz1568/getInfo.php?workbook=06_01.xlsx&amp;sheet=A0&amp;row=273&amp;col=18&amp;number=&amp;sourceID=12","")</f>
        <v/>
      </c>
      <c r="S273" s="4" t="str">
        <f>HYPERLINK("http://141.218.60.56/~jnz1568/getInfo.php?workbook=06_01.xlsx&amp;sheet=A0&amp;row=273&amp;col=19&amp;number=&amp;sourceID=12","")</f>
        <v/>
      </c>
      <c r="T273" s="4" t="str">
        <f>HYPERLINK("http://141.218.60.56/~jnz1568/getInfo.php?workbook=06_01.xlsx&amp;sheet=A0&amp;row=273&amp;col=20&amp;number=0.0007034&amp;sourceID=12","0.0007034")</f>
        <v>0.0007034</v>
      </c>
      <c r="U273" s="4" t="str">
        <f>HYPERLINK("http://141.218.60.56/~jnz1568/getInfo.php?workbook=06_01.xlsx&amp;sheet=A0&amp;row=273&amp;col=21&amp;number=&amp;sourceID=13","")</f>
        <v/>
      </c>
      <c r="V273" s="4" t="str">
        <f>HYPERLINK("http://141.218.60.56/~jnz1568/getInfo.php?workbook=06_01.xlsx&amp;sheet=A0&amp;row=273&amp;col=22&amp;number=&amp;sourceID=13","")</f>
        <v/>
      </c>
      <c r="W273" s="4" t="str">
        <f>HYPERLINK("http://141.218.60.56/~jnz1568/getInfo.php?workbook=06_01.xlsx&amp;sheet=A0&amp;row=273&amp;col=23&amp;number=&amp;sourceID=13","")</f>
        <v/>
      </c>
      <c r="X273" s="4" t="str">
        <f>HYPERLINK("http://141.218.60.56/~jnz1568/getInfo.php?workbook=06_01.xlsx&amp;sheet=A0&amp;row=273&amp;col=24&amp;number=&amp;sourceID=13","")</f>
        <v/>
      </c>
      <c r="Y273" s="4" t="str">
        <f>HYPERLINK("http://141.218.60.56/~jnz1568/getInfo.php?workbook=06_01.xlsx&amp;sheet=A0&amp;row=273&amp;col=25&amp;number=&amp;sourceID=13","")</f>
        <v/>
      </c>
      <c r="Z273" s="4" t="str">
        <f>HYPERLINK("http://141.218.60.56/~jnz1568/getInfo.php?workbook=06_01.xlsx&amp;sheet=A0&amp;row=273&amp;col=26&amp;number=&amp;sourceID=13","")</f>
        <v/>
      </c>
    </row>
    <row r="274" spans="1:26">
      <c r="A274" s="3">
        <v>6</v>
      </c>
      <c r="B274" s="3">
        <v>1</v>
      </c>
      <c r="C274" s="3">
        <v>25</v>
      </c>
      <c r="D274" s="3">
        <v>12</v>
      </c>
      <c r="E274" s="3">
        <f>((1/(INDEX(E0!J$4:J$28,C274,1)-INDEX(E0!J$4:J$28,D274,1))))*100000000</f>
        <v>0</v>
      </c>
      <c r="F274" s="4" t="str">
        <f>HYPERLINK("http://141.218.60.56/~jnz1568/getInfo.php?workbook=06_01.xlsx&amp;sheet=A0&amp;row=274&amp;col=6&amp;number=&amp;sourceID=18","")</f>
        <v/>
      </c>
      <c r="G274" s="4" t="str">
        <f>HYPERLINK("http://141.218.60.56/~jnz1568/getInfo.php?workbook=06_01.xlsx&amp;sheet=A0&amp;row=274&amp;col=7&amp;number==&amp;sourceID=11","=")</f>
        <v>=</v>
      </c>
      <c r="H274" s="4" t="str">
        <f>HYPERLINK("http://141.218.60.56/~jnz1568/getInfo.php?workbook=06_01.xlsx&amp;sheet=A0&amp;row=274&amp;col=8&amp;number=&amp;sourceID=11","")</f>
        <v/>
      </c>
      <c r="I274" s="4" t="str">
        <f>HYPERLINK("http://141.218.60.56/~jnz1568/getInfo.php?workbook=06_01.xlsx&amp;sheet=A0&amp;row=274&amp;col=9&amp;number=&amp;sourceID=11","")</f>
        <v/>
      </c>
      <c r="J274" s="4" t="str">
        <f>HYPERLINK("http://141.218.60.56/~jnz1568/getInfo.php?workbook=06_01.xlsx&amp;sheet=A0&amp;row=274&amp;col=10&amp;number=&amp;sourceID=11","")</f>
        <v/>
      </c>
      <c r="K274" s="4" t="str">
        <f>HYPERLINK("http://141.218.60.56/~jnz1568/getInfo.php?workbook=06_01.xlsx&amp;sheet=A0&amp;row=274&amp;col=11&amp;number=&amp;sourceID=11","")</f>
        <v/>
      </c>
      <c r="L274" s="4" t="str">
        <f>HYPERLINK("http://141.218.60.56/~jnz1568/getInfo.php?workbook=06_01.xlsx&amp;sheet=A0&amp;row=274&amp;col=12&amp;number=&amp;sourceID=11","")</f>
        <v/>
      </c>
      <c r="M274" s="4" t="str">
        <f>HYPERLINK("http://141.218.60.56/~jnz1568/getInfo.php?workbook=06_01.xlsx&amp;sheet=A0&amp;row=274&amp;col=13&amp;number=1.8629e-06&amp;sourceID=11","1.8629e-06")</f>
        <v>1.8629e-06</v>
      </c>
      <c r="N274" s="4" t="str">
        <f>HYPERLINK("http://141.218.60.56/~jnz1568/getInfo.php?workbook=06_01.xlsx&amp;sheet=A0&amp;row=274&amp;col=14&amp;number=1.863e-06&amp;sourceID=12","1.863e-06")</f>
        <v>1.863e-06</v>
      </c>
      <c r="O274" s="4" t="str">
        <f>HYPERLINK("http://141.218.60.56/~jnz1568/getInfo.php?workbook=06_01.xlsx&amp;sheet=A0&amp;row=274&amp;col=15&amp;number=&amp;sourceID=12","")</f>
        <v/>
      </c>
      <c r="P274" s="4" t="str">
        <f>HYPERLINK("http://141.218.60.56/~jnz1568/getInfo.php?workbook=06_01.xlsx&amp;sheet=A0&amp;row=274&amp;col=16&amp;number=&amp;sourceID=12","")</f>
        <v/>
      </c>
      <c r="Q274" s="4" t="str">
        <f>HYPERLINK("http://141.218.60.56/~jnz1568/getInfo.php?workbook=06_01.xlsx&amp;sheet=A0&amp;row=274&amp;col=17&amp;number=&amp;sourceID=12","")</f>
        <v/>
      </c>
      <c r="R274" s="4" t="str">
        <f>HYPERLINK("http://141.218.60.56/~jnz1568/getInfo.php?workbook=06_01.xlsx&amp;sheet=A0&amp;row=274&amp;col=18&amp;number=&amp;sourceID=12","")</f>
        <v/>
      </c>
      <c r="S274" s="4" t="str">
        <f>HYPERLINK("http://141.218.60.56/~jnz1568/getInfo.php?workbook=06_01.xlsx&amp;sheet=A0&amp;row=274&amp;col=19&amp;number=&amp;sourceID=12","")</f>
        <v/>
      </c>
      <c r="T274" s="4" t="str">
        <f>HYPERLINK("http://141.218.60.56/~jnz1568/getInfo.php?workbook=06_01.xlsx&amp;sheet=A0&amp;row=274&amp;col=20&amp;number=1.863e-06&amp;sourceID=12","1.863e-06")</f>
        <v>1.863e-06</v>
      </c>
      <c r="U274" s="4" t="str">
        <f>HYPERLINK("http://141.218.60.56/~jnz1568/getInfo.php?workbook=06_01.xlsx&amp;sheet=A0&amp;row=274&amp;col=21&amp;number=&amp;sourceID=13","")</f>
        <v/>
      </c>
      <c r="V274" s="4" t="str">
        <f>HYPERLINK("http://141.218.60.56/~jnz1568/getInfo.php?workbook=06_01.xlsx&amp;sheet=A0&amp;row=274&amp;col=22&amp;number=&amp;sourceID=13","")</f>
        <v/>
      </c>
      <c r="W274" s="4" t="str">
        <f>HYPERLINK("http://141.218.60.56/~jnz1568/getInfo.php?workbook=06_01.xlsx&amp;sheet=A0&amp;row=274&amp;col=23&amp;number=&amp;sourceID=13","")</f>
        <v/>
      </c>
      <c r="X274" s="4" t="str">
        <f>HYPERLINK("http://141.218.60.56/~jnz1568/getInfo.php?workbook=06_01.xlsx&amp;sheet=A0&amp;row=274&amp;col=24&amp;number=&amp;sourceID=13","")</f>
        <v/>
      </c>
      <c r="Y274" s="4" t="str">
        <f>HYPERLINK("http://141.218.60.56/~jnz1568/getInfo.php?workbook=06_01.xlsx&amp;sheet=A0&amp;row=274&amp;col=25&amp;number=&amp;sourceID=13","")</f>
        <v/>
      </c>
      <c r="Z274" s="4" t="str">
        <f>HYPERLINK("http://141.218.60.56/~jnz1568/getInfo.php?workbook=06_01.xlsx&amp;sheet=A0&amp;row=274&amp;col=26&amp;number=&amp;sourceID=13","")</f>
        <v/>
      </c>
    </row>
    <row r="275" spans="1:26">
      <c r="A275" s="3">
        <v>6</v>
      </c>
      <c r="B275" s="3">
        <v>1</v>
      </c>
      <c r="C275" s="3">
        <v>25</v>
      </c>
      <c r="D275" s="3">
        <v>13</v>
      </c>
      <c r="E275" s="3">
        <f>((1/(INDEX(E0!J$4:J$28,C275,1)-INDEX(E0!J$4:J$28,D275,1))))*100000000</f>
        <v>0</v>
      </c>
      <c r="F275" s="4" t="str">
        <f>HYPERLINK("http://141.218.60.56/~jnz1568/getInfo.php?workbook=06_01.xlsx&amp;sheet=A0&amp;row=275&amp;col=6&amp;number=&amp;sourceID=18","")</f>
        <v/>
      </c>
      <c r="G275" s="4" t="str">
        <f>HYPERLINK("http://141.218.60.56/~jnz1568/getInfo.php?workbook=06_01.xlsx&amp;sheet=A0&amp;row=275&amp;col=7&amp;number==&amp;sourceID=11","=")</f>
        <v>=</v>
      </c>
      <c r="H275" s="4" t="str">
        <f>HYPERLINK("http://141.218.60.56/~jnz1568/getInfo.php?workbook=06_01.xlsx&amp;sheet=A0&amp;row=275&amp;col=8&amp;number=&amp;sourceID=11","")</f>
        <v/>
      </c>
      <c r="I275" s="4" t="str">
        <f>HYPERLINK("http://141.218.60.56/~jnz1568/getInfo.php?workbook=06_01.xlsx&amp;sheet=A0&amp;row=275&amp;col=9&amp;number=&amp;sourceID=11","")</f>
        <v/>
      </c>
      <c r="J275" s="4" t="str">
        <f>HYPERLINK("http://141.218.60.56/~jnz1568/getInfo.php?workbook=06_01.xlsx&amp;sheet=A0&amp;row=275&amp;col=10&amp;number=0.21949&amp;sourceID=11","0.21949")</f>
        <v>0.21949</v>
      </c>
      <c r="K275" s="4" t="str">
        <f>HYPERLINK("http://141.218.60.56/~jnz1568/getInfo.php?workbook=06_01.xlsx&amp;sheet=A0&amp;row=275&amp;col=11&amp;number=&amp;sourceID=11","")</f>
        <v/>
      </c>
      <c r="L275" s="4" t="str">
        <f>HYPERLINK("http://141.218.60.56/~jnz1568/getInfo.php?workbook=06_01.xlsx&amp;sheet=A0&amp;row=275&amp;col=12&amp;number=&amp;sourceID=11","")</f>
        <v/>
      </c>
      <c r="M275" s="4" t="str">
        <f>HYPERLINK("http://141.218.60.56/~jnz1568/getInfo.php?workbook=06_01.xlsx&amp;sheet=A0&amp;row=275&amp;col=13&amp;number=&amp;sourceID=11","")</f>
        <v/>
      </c>
      <c r="N275" s="4" t="str">
        <f>HYPERLINK("http://141.218.60.56/~jnz1568/getInfo.php?workbook=06_01.xlsx&amp;sheet=A0&amp;row=275&amp;col=14&amp;number=0.2195&amp;sourceID=12","0.2195")</f>
        <v>0.2195</v>
      </c>
      <c r="O275" s="4" t="str">
        <f>HYPERLINK("http://141.218.60.56/~jnz1568/getInfo.php?workbook=06_01.xlsx&amp;sheet=A0&amp;row=275&amp;col=15&amp;number=&amp;sourceID=12","")</f>
        <v/>
      </c>
      <c r="P275" s="4" t="str">
        <f>HYPERLINK("http://141.218.60.56/~jnz1568/getInfo.php?workbook=06_01.xlsx&amp;sheet=A0&amp;row=275&amp;col=16&amp;number=&amp;sourceID=12","")</f>
        <v/>
      </c>
      <c r="Q275" s="4" t="str">
        <f>HYPERLINK("http://141.218.60.56/~jnz1568/getInfo.php?workbook=06_01.xlsx&amp;sheet=A0&amp;row=275&amp;col=17&amp;number=0.2195&amp;sourceID=12","0.2195")</f>
        <v>0.2195</v>
      </c>
      <c r="R275" s="4" t="str">
        <f>HYPERLINK("http://141.218.60.56/~jnz1568/getInfo.php?workbook=06_01.xlsx&amp;sheet=A0&amp;row=275&amp;col=18&amp;number=&amp;sourceID=12","")</f>
        <v/>
      </c>
      <c r="S275" s="4" t="str">
        <f>HYPERLINK("http://141.218.60.56/~jnz1568/getInfo.php?workbook=06_01.xlsx&amp;sheet=A0&amp;row=275&amp;col=19&amp;number=&amp;sourceID=12","")</f>
        <v/>
      </c>
      <c r="T275" s="4" t="str">
        <f>HYPERLINK("http://141.218.60.56/~jnz1568/getInfo.php?workbook=06_01.xlsx&amp;sheet=A0&amp;row=275&amp;col=20&amp;number=&amp;sourceID=12","")</f>
        <v/>
      </c>
      <c r="U275" s="4" t="str">
        <f>HYPERLINK("http://141.218.60.56/~jnz1568/getInfo.php?workbook=06_01.xlsx&amp;sheet=A0&amp;row=275&amp;col=21&amp;number=&amp;sourceID=13","")</f>
        <v/>
      </c>
      <c r="V275" s="4" t="str">
        <f>HYPERLINK("http://141.218.60.56/~jnz1568/getInfo.php?workbook=06_01.xlsx&amp;sheet=A0&amp;row=275&amp;col=22&amp;number=&amp;sourceID=13","")</f>
        <v/>
      </c>
      <c r="W275" s="4" t="str">
        <f>HYPERLINK("http://141.218.60.56/~jnz1568/getInfo.php?workbook=06_01.xlsx&amp;sheet=A0&amp;row=275&amp;col=23&amp;number=&amp;sourceID=13","")</f>
        <v/>
      </c>
      <c r="X275" s="4" t="str">
        <f>HYPERLINK("http://141.218.60.56/~jnz1568/getInfo.php?workbook=06_01.xlsx&amp;sheet=A0&amp;row=275&amp;col=24&amp;number=&amp;sourceID=13","")</f>
        <v/>
      </c>
      <c r="Y275" s="4" t="str">
        <f>HYPERLINK("http://141.218.60.56/~jnz1568/getInfo.php?workbook=06_01.xlsx&amp;sheet=A0&amp;row=275&amp;col=25&amp;number=&amp;sourceID=13","")</f>
        <v/>
      </c>
      <c r="Z275" s="4" t="str">
        <f>HYPERLINK("http://141.218.60.56/~jnz1568/getInfo.php?workbook=06_01.xlsx&amp;sheet=A0&amp;row=275&amp;col=26&amp;number=&amp;sourceID=13","")</f>
        <v/>
      </c>
    </row>
    <row r="276" spans="1:26">
      <c r="A276" s="3">
        <v>6</v>
      </c>
      <c r="B276" s="3">
        <v>1</v>
      </c>
      <c r="C276" s="3">
        <v>25</v>
      </c>
      <c r="D276" s="3">
        <v>14</v>
      </c>
      <c r="E276" s="3">
        <f>((1/(INDEX(E0!J$4:J$28,C276,1)-INDEX(E0!J$4:J$28,D276,1))))*100000000</f>
        <v>0</v>
      </c>
      <c r="F276" s="4" t="str">
        <f>HYPERLINK("http://141.218.60.56/~jnz1568/getInfo.php?workbook=06_01.xlsx&amp;sheet=A0&amp;row=276&amp;col=6&amp;number=&amp;sourceID=18","")</f>
        <v/>
      </c>
      <c r="G276" s="4" t="str">
        <f>HYPERLINK("http://141.218.60.56/~jnz1568/getInfo.php?workbook=06_01.xlsx&amp;sheet=A0&amp;row=276&amp;col=7&amp;number==&amp;sourceID=11","=")</f>
        <v>=</v>
      </c>
      <c r="H276" s="4" t="str">
        <f>HYPERLINK("http://141.218.60.56/~jnz1568/getInfo.php?workbook=06_01.xlsx&amp;sheet=A0&amp;row=276&amp;col=8&amp;number=&amp;sourceID=11","")</f>
        <v/>
      </c>
      <c r="I276" s="4" t="str">
        <f>HYPERLINK("http://141.218.60.56/~jnz1568/getInfo.php?workbook=06_01.xlsx&amp;sheet=A0&amp;row=276&amp;col=9&amp;number=&amp;sourceID=11","")</f>
        <v/>
      </c>
      <c r="J276" s="4" t="str">
        <f>HYPERLINK("http://141.218.60.56/~jnz1568/getInfo.php?workbook=06_01.xlsx&amp;sheet=A0&amp;row=276&amp;col=10&amp;number=0.010245&amp;sourceID=11","0.010245")</f>
        <v>0.010245</v>
      </c>
      <c r="K276" s="4" t="str">
        <f>HYPERLINK("http://141.218.60.56/~jnz1568/getInfo.php?workbook=06_01.xlsx&amp;sheet=A0&amp;row=276&amp;col=11&amp;number=&amp;sourceID=11","")</f>
        <v/>
      </c>
      <c r="L276" s="4" t="str">
        <f>HYPERLINK("http://141.218.60.56/~jnz1568/getInfo.php?workbook=06_01.xlsx&amp;sheet=A0&amp;row=276&amp;col=12&amp;number=0.14667&amp;sourceID=11","0.14667")</f>
        <v>0.14667</v>
      </c>
      <c r="M276" s="4" t="str">
        <f>HYPERLINK("http://141.218.60.56/~jnz1568/getInfo.php?workbook=06_01.xlsx&amp;sheet=A0&amp;row=276&amp;col=13&amp;number=&amp;sourceID=11","")</f>
        <v/>
      </c>
      <c r="N276" s="4" t="str">
        <f>HYPERLINK("http://141.218.60.56/~jnz1568/getInfo.php?workbook=06_01.xlsx&amp;sheet=A0&amp;row=276&amp;col=14&amp;number=0.15693&amp;sourceID=12","0.15693")</f>
        <v>0.15693</v>
      </c>
      <c r="O276" s="4" t="str">
        <f>HYPERLINK("http://141.218.60.56/~jnz1568/getInfo.php?workbook=06_01.xlsx&amp;sheet=A0&amp;row=276&amp;col=15&amp;number=&amp;sourceID=12","")</f>
        <v/>
      </c>
      <c r="P276" s="4" t="str">
        <f>HYPERLINK("http://141.218.60.56/~jnz1568/getInfo.php?workbook=06_01.xlsx&amp;sheet=A0&amp;row=276&amp;col=16&amp;number=&amp;sourceID=12","")</f>
        <v/>
      </c>
      <c r="Q276" s="4" t="str">
        <f>HYPERLINK("http://141.218.60.56/~jnz1568/getInfo.php?workbook=06_01.xlsx&amp;sheet=A0&amp;row=276&amp;col=17&amp;number=0.010245&amp;sourceID=12","0.010245")</f>
        <v>0.010245</v>
      </c>
      <c r="R276" s="4" t="str">
        <f>HYPERLINK("http://141.218.60.56/~jnz1568/getInfo.php?workbook=06_01.xlsx&amp;sheet=A0&amp;row=276&amp;col=18&amp;number=&amp;sourceID=12","")</f>
        <v/>
      </c>
      <c r="S276" s="4" t="str">
        <f>HYPERLINK("http://141.218.60.56/~jnz1568/getInfo.php?workbook=06_01.xlsx&amp;sheet=A0&amp;row=276&amp;col=19&amp;number=0.14668&amp;sourceID=12","0.14668")</f>
        <v>0.14668</v>
      </c>
      <c r="T276" s="4" t="str">
        <f>HYPERLINK("http://141.218.60.56/~jnz1568/getInfo.php?workbook=06_01.xlsx&amp;sheet=A0&amp;row=276&amp;col=20&amp;number=&amp;sourceID=12","")</f>
        <v/>
      </c>
      <c r="U276" s="4" t="str">
        <f>HYPERLINK("http://141.218.60.56/~jnz1568/getInfo.php?workbook=06_01.xlsx&amp;sheet=A0&amp;row=276&amp;col=21&amp;number=&amp;sourceID=13","")</f>
        <v/>
      </c>
      <c r="V276" s="4" t="str">
        <f>HYPERLINK("http://141.218.60.56/~jnz1568/getInfo.php?workbook=06_01.xlsx&amp;sheet=A0&amp;row=276&amp;col=22&amp;number=&amp;sourceID=13","")</f>
        <v/>
      </c>
      <c r="W276" s="4" t="str">
        <f>HYPERLINK("http://141.218.60.56/~jnz1568/getInfo.php?workbook=06_01.xlsx&amp;sheet=A0&amp;row=276&amp;col=23&amp;number=&amp;sourceID=13","")</f>
        <v/>
      </c>
      <c r="X276" s="4" t="str">
        <f>HYPERLINK("http://141.218.60.56/~jnz1568/getInfo.php?workbook=06_01.xlsx&amp;sheet=A0&amp;row=276&amp;col=24&amp;number=&amp;sourceID=13","")</f>
        <v/>
      </c>
      <c r="Y276" s="4" t="str">
        <f>HYPERLINK("http://141.218.60.56/~jnz1568/getInfo.php?workbook=06_01.xlsx&amp;sheet=A0&amp;row=276&amp;col=25&amp;number=&amp;sourceID=13","")</f>
        <v/>
      </c>
      <c r="Z276" s="4" t="str">
        <f>HYPERLINK("http://141.218.60.56/~jnz1568/getInfo.php?workbook=06_01.xlsx&amp;sheet=A0&amp;row=276&amp;col=26&amp;number=&amp;sourceID=13","")</f>
        <v/>
      </c>
    </row>
    <row r="277" spans="1:26">
      <c r="A277" s="3">
        <v>6</v>
      </c>
      <c r="B277" s="3">
        <v>1</v>
      </c>
      <c r="C277" s="3">
        <v>25</v>
      </c>
      <c r="D277" s="3">
        <v>15</v>
      </c>
      <c r="E277" s="3">
        <f>((1/(INDEX(E0!J$4:J$28,C277,1)-INDEX(E0!J$4:J$28,D277,1))))*100000000</f>
        <v>0</v>
      </c>
      <c r="F277" s="4" t="str">
        <f>HYPERLINK("http://141.218.60.56/~jnz1568/getInfo.php?workbook=06_01.xlsx&amp;sheet=A0&amp;row=277&amp;col=6&amp;number=&amp;sourceID=18","")</f>
        <v/>
      </c>
      <c r="G277" s="4" t="str">
        <f>HYPERLINK("http://141.218.60.56/~jnz1568/getInfo.php?workbook=06_01.xlsx&amp;sheet=A0&amp;row=277&amp;col=7&amp;number==&amp;sourceID=11","=")</f>
        <v>=</v>
      </c>
      <c r="H277" s="4" t="str">
        <f>HYPERLINK("http://141.218.60.56/~jnz1568/getInfo.php?workbook=06_01.xlsx&amp;sheet=A0&amp;row=277&amp;col=8&amp;number=&amp;sourceID=11","")</f>
        <v/>
      </c>
      <c r="I277" s="4" t="str">
        <f>HYPERLINK("http://141.218.60.56/~jnz1568/getInfo.php?workbook=06_01.xlsx&amp;sheet=A0&amp;row=277&amp;col=9&amp;number=46655&amp;sourceID=11","46655")</f>
        <v>46655</v>
      </c>
      <c r="J277" s="4" t="str">
        <f>HYPERLINK("http://141.218.60.56/~jnz1568/getInfo.php?workbook=06_01.xlsx&amp;sheet=A0&amp;row=277&amp;col=10&amp;number=&amp;sourceID=11","")</f>
        <v/>
      </c>
      <c r="K277" s="4" t="str">
        <f>HYPERLINK("http://141.218.60.56/~jnz1568/getInfo.php?workbook=06_01.xlsx&amp;sheet=A0&amp;row=277&amp;col=11&amp;number=&amp;sourceID=11","")</f>
        <v/>
      </c>
      <c r="L277" s="4" t="str">
        <f>HYPERLINK("http://141.218.60.56/~jnz1568/getInfo.php?workbook=06_01.xlsx&amp;sheet=A0&amp;row=277&amp;col=12&amp;number=&amp;sourceID=11","")</f>
        <v/>
      </c>
      <c r="M277" s="4" t="str">
        <f>HYPERLINK("http://141.218.60.56/~jnz1568/getInfo.php?workbook=06_01.xlsx&amp;sheet=A0&amp;row=277&amp;col=13&amp;number=6.0641e-06&amp;sourceID=11","6.0641e-06")</f>
        <v>6.0641e-06</v>
      </c>
      <c r="N277" s="4" t="str">
        <f>HYPERLINK("http://141.218.60.56/~jnz1568/getInfo.php?workbook=06_01.xlsx&amp;sheet=A0&amp;row=277&amp;col=14&amp;number=46657&amp;sourceID=12","46657")</f>
        <v>46657</v>
      </c>
      <c r="O277" s="4" t="str">
        <f>HYPERLINK("http://141.218.60.56/~jnz1568/getInfo.php?workbook=06_01.xlsx&amp;sheet=A0&amp;row=277&amp;col=15&amp;number=&amp;sourceID=12","")</f>
        <v/>
      </c>
      <c r="P277" s="4" t="str">
        <f>HYPERLINK("http://141.218.60.56/~jnz1568/getInfo.php?workbook=06_01.xlsx&amp;sheet=A0&amp;row=277&amp;col=16&amp;number=46657&amp;sourceID=12","46657")</f>
        <v>46657</v>
      </c>
      <c r="Q277" s="4" t="str">
        <f>HYPERLINK("http://141.218.60.56/~jnz1568/getInfo.php?workbook=06_01.xlsx&amp;sheet=A0&amp;row=277&amp;col=17&amp;number=&amp;sourceID=12","")</f>
        <v/>
      </c>
      <c r="R277" s="4" t="str">
        <f>HYPERLINK("http://141.218.60.56/~jnz1568/getInfo.php?workbook=06_01.xlsx&amp;sheet=A0&amp;row=277&amp;col=18&amp;number=&amp;sourceID=12","")</f>
        <v/>
      </c>
      <c r="S277" s="4" t="str">
        <f>HYPERLINK("http://141.218.60.56/~jnz1568/getInfo.php?workbook=06_01.xlsx&amp;sheet=A0&amp;row=277&amp;col=19&amp;number=&amp;sourceID=12","")</f>
        <v/>
      </c>
      <c r="T277" s="4" t="str">
        <f>HYPERLINK("http://141.218.60.56/~jnz1568/getInfo.php?workbook=06_01.xlsx&amp;sheet=A0&amp;row=277&amp;col=20&amp;number=6.0644e-06&amp;sourceID=12","6.0644e-06")</f>
        <v>6.0644e-06</v>
      </c>
      <c r="U277" s="4" t="str">
        <f>HYPERLINK("http://141.218.60.56/~jnz1568/getInfo.php?workbook=06_01.xlsx&amp;sheet=A0&amp;row=277&amp;col=21&amp;number=&amp;sourceID=13","")</f>
        <v/>
      </c>
      <c r="V277" s="4" t="str">
        <f>HYPERLINK("http://141.218.60.56/~jnz1568/getInfo.php?workbook=06_01.xlsx&amp;sheet=A0&amp;row=277&amp;col=22&amp;number=&amp;sourceID=13","")</f>
        <v/>
      </c>
      <c r="W277" s="4" t="str">
        <f>HYPERLINK("http://141.218.60.56/~jnz1568/getInfo.php?workbook=06_01.xlsx&amp;sheet=A0&amp;row=277&amp;col=23&amp;number=&amp;sourceID=13","")</f>
        <v/>
      </c>
      <c r="X277" s="4" t="str">
        <f>HYPERLINK("http://141.218.60.56/~jnz1568/getInfo.php?workbook=06_01.xlsx&amp;sheet=A0&amp;row=277&amp;col=24&amp;number=&amp;sourceID=13","")</f>
        <v/>
      </c>
      <c r="Y277" s="4" t="str">
        <f>HYPERLINK("http://141.218.60.56/~jnz1568/getInfo.php?workbook=06_01.xlsx&amp;sheet=A0&amp;row=277&amp;col=25&amp;number=&amp;sourceID=13","")</f>
        <v/>
      </c>
      <c r="Z277" s="4" t="str">
        <f>HYPERLINK("http://141.218.60.56/~jnz1568/getInfo.php?workbook=06_01.xlsx&amp;sheet=A0&amp;row=277&amp;col=26&amp;number=&amp;sourceID=13","")</f>
        <v/>
      </c>
    </row>
    <row r="278" spans="1:26">
      <c r="A278" s="3">
        <v>6</v>
      </c>
      <c r="B278" s="3">
        <v>1</v>
      </c>
      <c r="C278" s="3">
        <v>25</v>
      </c>
      <c r="D278" s="3">
        <v>16</v>
      </c>
      <c r="E278" s="3">
        <f>((1/(INDEX(E0!J$4:J$28,C278,1)-INDEX(E0!J$4:J$28,D278,1))))*100000000</f>
        <v>0</v>
      </c>
      <c r="F278" s="4" t="str">
        <f>HYPERLINK("http://141.218.60.56/~jnz1568/getInfo.php?workbook=06_01.xlsx&amp;sheet=A0&amp;row=278&amp;col=6&amp;number=&amp;sourceID=18","")</f>
        <v/>
      </c>
      <c r="G278" s="4" t="str">
        <f>HYPERLINK("http://141.218.60.56/~jnz1568/getInfo.php?workbook=06_01.xlsx&amp;sheet=A0&amp;row=278&amp;col=7&amp;number==&amp;sourceID=11","=")</f>
        <v>=</v>
      </c>
      <c r="H278" s="4" t="str">
        <f>HYPERLINK("http://141.218.60.56/~jnz1568/getInfo.php?workbook=06_01.xlsx&amp;sheet=A0&amp;row=278&amp;col=8&amp;number=5516100000&amp;sourceID=11","5516100000")</f>
        <v>5516100000</v>
      </c>
      <c r="I278" s="4" t="str">
        <f>HYPERLINK("http://141.218.60.56/~jnz1568/getInfo.php?workbook=06_01.xlsx&amp;sheet=A0&amp;row=278&amp;col=9&amp;number=&amp;sourceID=11","")</f>
        <v/>
      </c>
      <c r="J278" s="4" t="str">
        <f>HYPERLINK("http://141.218.60.56/~jnz1568/getInfo.php?workbook=06_01.xlsx&amp;sheet=A0&amp;row=278&amp;col=10&amp;number=0.061441&amp;sourceID=11","0.061441")</f>
        <v>0.061441</v>
      </c>
      <c r="K278" s="4" t="str">
        <f>HYPERLINK("http://141.218.60.56/~jnz1568/getInfo.php?workbook=06_01.xlsx&amp;sheet=A0&amp;row=278&amp;col=11&amp;number=&amp;sourceID=11","")</f>
        <v/>
      </c>
      <c r="L278" s="4" t="str">
        <f>HYPERLINK("http://141.218.60.56/~jnz1568/getInfo.php?workbook=06_01.xlsx&amp;sheet=A0&amp;row=278&amp;col=12&amp;number=1.3608&amp;sourceID=11","1.3608")</f>
        <v>1.3608</v>
      </c>
      <c r="M278" s="4" t="str">
        <f>HYPERLINK("http://141.218.60.56/~jnz1568/getInfo.php?workbook=06_01.xlsx&amp;sheet=A0&amp;row=278&amp;col=13&amp;number=&amp;sourceID=11","")</f>
        <v/>
      </c>
      <c r="N278" s="4" t="str">
        <f>HYPERLINK("http://141.218.60.56/~jnz1568/getInfo.php?workbook=06_01.xlsx&amp;sheet=A0&amp;row=278&amp;col=14&amp;number=5516400000&amp;sourceID=12","5516400000")</f>
        <v>5516400000</v>
      </c>
      <c r="O278" s="4" t="str">
        <f>HYPERLINK("http://141.218.60.56/~jnz1568/getInfo.php?workbook=06_01.xlsx&amp;sheet=A0&amp;row=278&amp;col=15&amp;number=5516400000&amp;sourceID=12","5516400000")</f>
        <v>5516400000</v>
      </c>
      <c r="P278" s="4" t="str">
        <f>HYPERLINK("http://141.218.60.56/~jnz1568/getInfo.php?workbook=06_01.xlsx&amp;sheet=A0&amp;row=278&amp;col=16&amp;number=&amp;sourceID=12","")</f>
        <v/>
      </c>
      <c r="Q278" s="4" t="str">
        <f>HYPERLINK("http://141.218.60.56/~jnz1568/getInfo.php?workbook=06_01.xlsx&amp;sheet=A0&amp;row=278&amp;col=17&amp;number=0.061444&amp;sourceID=12","0.061444")</f>
        <v>0.061444</v>
      </c>
      <c r="R278" s="4" t="str">
        <f>HYPERLINK("http://141.218.60.56/~jnz1568/getInfo.php?workbook=06_01.xlsx&amp;sheet=A0&amp;row=278&amp;col=18&amp;number=&amp;sourceID=12","")</f>
        <v/>
      </c>
      <c r="S278" s="4" t="str">
        <f>HYPERLINK("http://141.218.60.56/~jnz1568/getInfo.php?workbook=06_01.xlsx&amp;sheet=A0&amp;row=278&amp;col=19&amp;number=1.3609&amp;sourceID=12","1.3609")</f>
        <v>1.3609</v>
      </c>
      <c r="T278" s="4" t="str">
        <f>HYPERLINK("http://141.218.60.56/~jnz1568/getInfo.php?workbook=06_01.xlsx&amp;sheet=A0&amp;row=278&amp;col=20&amp;number=&amp;sourceID=12","")</f>
        <v/>
      </c>
      <c r="U278" s="4" t="str">
        <f>HYPERLINK("http://141.218.60.56/~jnz1568/getInfo.php?workbook=06_01.xlsx&amp;sheet=A0&amp;row=278&amp;col=21&amp;number=&amp;sourceID=13","")</f>
        <v/>
      </c>
      <c r="V278" s="4" t="str">
        <f>HYPERLINK("http://141.218.60.56/~jnz1568/getInfo.php?workbook=06_01.xlsx&amp;sheet=A0&amp;row=278&amp;col=22&amp;number=&amp;sourceID=13","")</f>
        <v/>
      </c>
      <c r="W278" s="4" t="str">
        <f>HYPERLINK("http://141.218.60.56/~jnz1568/getInfo.php?workbook=06_01.xlsx&amp;sheet=A0&amp;row=278&amp;col=23&amp;number=&amp;sourceID=13","")</f>
        <v/>
      </c>
      <c r="X278" s="4" t="str">
        <f>HYPERLINK("http://141.218.60.56/~jnz1568/getInfo.php?workbook=06_01.xlsx&amp;sheet=A0&amp;row=278&amp;col=24&amp;number=&amp;sourceID=13","")</f>
        <v/>
      </c>
      <c r="Y278" s="4" t="str">
        <f>HYPERLINK("http://141.218.60.56/~jnz1568/getInfo.php?workbook=06_01.xlsx&amp;sheet=A0&amp;row=278&amp;col=25&amp;number=&amp;sourceID=13","")</f>
        <v/>
      </c>
      <c r="Z278" s="4" t="str">
        <f>HYPERLINK("http://141.218.60.56/~jnz1568/getInfo.php?workbook=06_01.xlsx&amp;sheet=A0&amp;row=278&amp;col=26&amp;number=&amp;sourceID=13","")</f>
        <v/>
      </c>
    </row>
    <row r="279" spans="1:26">
      <c r="A279" s="3">
        <v>6</v>
      </c>
      <c r="B279" s="3">
        <v>1</v>
      </c>
      <c r="C279" s="3">
        <v>25</v>
      </c>
      <c r="D279" s="3">
        <v>19</v>
      </c>
      <c r="E279" s="3">
        <f>((1/(INDEX(E0!J$4:J$28,C279,1)-INDEX(E0!J$4:J$28,D279,1))))*100000000</f>
        <v>0</v>
      </c>
      <c r="F279" s="4" t="str">
        <f>HYPERLINK("http://141.218.60.56/~jnz1568/getInfo.php?workbook=06_01.xlsx&amp;sheet=A0&amp;row=279&amp;col=6&amp;number=&amp;sourceID=18","")</f>
        <v/>
      </c>
      <c r="G279" s="4" t="str">
        <f>HYPERLINK("http://141.218.60.56/~jnz1568/getInfo.php?workbook=06_01.xlsx&amp;sheet=A0&amp;row=279&amp;col=7&amp;number==&amp;sourceID=11","=")</f>
        <v>=</v>
      </c>
      <c r="H279" s="4" t="str">
        <f>HYPERLINK("http://141.218.60.56/~jnz1568/getInfo.php?workbook=06_01.xlsx&amp;sheet=A0&amp;row=279&amp;col=8&amp;number=&amp;sourceID=11","")</f>
        <v/>
      </c>
      <c r="I279" s="4" t="str">
        <f>HYPERLINK("http://141.218.60.56/~jnz1568/getInfo.php?workbook=06_01.xlsx&amp;sheet=A0&amp;row=279&amp;col=9&amp;number=&amp;sourceID=11","")</f>
        <v/>
      </c>
      <c r="J279" s="4" t="str">
        <f>HYPERLINK("http://141.218.60.56/~jnz1568/getInfo.php?workbook=06_01.xlsx&amp;sheet=A0&amp;row=279&amp;col=10&amp;number=&amp;sourceID=11","")</f>
        <v/>
      </c>
      <c r="K279" s="4" t="str">
        <f>HYPERLINK("http://141.218.60.56/~jnz1568/getInfo.php?workbook=06_01.xlsx&amp;sheet=A0&amp;row=279&amp;col=11&amp;number=&amp;sourceID=11","")</f>
        <v/>
      </c>
      <c r="L279" s="4" t="str">
        <f>HYPERLINK("http://141.218.60.56/~jnz1568/getInfo.php?workbook=06_01.xlsx&amp;sheet=A0&amp;row=279&amp;col=12&amp;number=&amp;sourceID=11","")</f>
        <v/>
      </c>
      <c r="M279" s="4" t="str">
        <f>HYPERLINK("http://141.218.60.56/~jnz1568/getInfo.php?workbook=06_01.xlsx&amp;sheet=A0&amp;row=279&amp;col=13&amp;number=0&amp;sourceID=11","0")</f>
        <v>0</v>
      </c>
      <c r="N279" s="4" t="str">
        <f>HYPERLINK("http://141.218.60.56/~jnz1568/getInfo.php?workbook=06_01.xlsx&amp;sheet=A0&amp;row=279&amp;col=14&amp;number=0&amp;sourceID=12","0")</f>
        <v>0</v>
      </c>
      <c r="O279" s="4" t="str">
        <f>HYPERLINK("http://141.218.60.56/~jnz1568/getInfo.php?workbook=06_01.xlsx&amp;sheet=A0&amp;row=279&amp;col=15&amp;number=&amp;sourceID=12","")</f>
        <v/>
      </c>
      <c r="P279" s="4" t="str">
        <f>HYPERLINK("http://141.218.60.56/~jnz1568/getInfo.php?workbook=06_01.xlsx&amp;sheet=A0&amp;row=279&amp;col=16&amp;number=&amp;sourceID=12","")</f>
        <v/>
      </c>
      <c r="Q279" s="4" t="str">
        <f>HYPERLINK("http://141.218.60.56/~jnz1568/getInfo.php?workbook=06_01.xlsx&amp;sheet=A0&amp;row=279&amp;col=17&amp;number=&amp;sourceID=12","")</f>
        <v/>
      </c>
      <c r="R279" s="4" t="str">
        <f>HYPERLINK("http://141.218.60.56/~jnz1568/getInfo.php?workbook=06_01.xlsx&amp;sheet=A0&amp;row=279&amp;col=18&amp;number=&amp;sourceID=12","")</f>
        <v/>
      </c>
      <c r="S279" s="4" t="str">
        <f>HYPERLINK("http://141.218.60.56/~jnz1568/getInfo.php?workbook=06_01.xlsx&amp;sheet=A0&amp;row=279&amp;col=19&amp;number=&amp;sourceID=12","")</f>
        <v/>
      </c>
      <c r="T279" s="4" t="str">
        <f>HYPERLINK("http://141.218.60.56/~jnz1568/getInfo.php?workbook=06_01.xlsx&amp;sheet=A0&amp;row=279&amp;col=20&amp;number=0&amp;sourceID=12","0")</f>
        <v>0</v>
      </c>
      <c r="U279" s="4" t="str">
        <f>HYPERLINK("http://141.218.60.56/~jnz1568/getInfo.php?workbook=06_01.xlsx&amp;sheet=A0&amp;row=279&amp;col=21&amp;number=&amp;sourceID=13","")</f>
        <v/>
      </c>
      <c r="V279" s="4" t="str">
        <f>HYPERLINK("http://141.218.60.56/~jnz1568/getInfo.php?workbook=06_01.xlsx&amp;sheet=A0&amp;row=279&amp;col=22&amp;number=&amp;sourceID=13","")</f>
        <v/>
      </c>
      <c r="W279" s="4" t="str">
        <f>HYPERLINK("http://141.218.60.56/~jnz1568/getInfo.php?workbook=06_01.xlsx&amp;sheet=A0&amp;row=279&amp;col=23&amp;number=&amp;sourceID=13","")</f>
        <v/>
      </c>
      <c r="X279" s="4" t="str">
        <f>HYPERLINK("http://141.218.60.56/~jnz1568/getInfo.php?workbook=06_01.xlsx&amp;sheet=A0&amp;row=279&amp;col=24&amp;number=&amp;sourceID=13","")</f>
        <v/>
      </c>
      <c r="Y279" s="4" t="str">
        <f>HYPERLINK("http://141.218.60.56/~jnz1568/getInfo.php?workbook=06_01.xlsx&amp;sheet=A0&amp;row=279&amp;col=25&amp;number=&amp;sourceID=13","")</f>
        <v/>
      </c>
      <c r="Z279" s="4" t="str">
        <f>HYPERLINK("http://141.218.60.56/~jnz1568/getInfo.php?workbook=06_01.xlsx&amp;sheet=A0&amp;row=279&amp;col=26&amp;number=&amp;sourceID=13","")</f>
        <v/>
      </c>
    </row>
    <row r="280" spans="1:26">
      <c r="A280" s="3">
        <v>6</v>
      </c>
      <c r="B280" s="3">
        <v>1</v>
      </c>
      <c r="C280" s="3">
        <v>25</v>
      </c>
      <c r="D280" s="3">
        <v>20</v>
      </c>
      <c r="E280" s="3">
        <f>((1/(INDEX(E0!J$4:J$28,C280,1)-INDEX(E0!J$4:J$28,D280,1))))*100000000</f>
        <v>0</v>
      </c>
      <c r="F280" s="4" t="str">
        <f>HYPERLINK("http://141.218.60.56/~jnz1568/getInfo.php?workbook=06_01.xlsx&amp;sheet=A0&amp;row=280&amp;col=6&amp;number=&amp;sourceID=18","")</f>
        <v/>
      </c>
      <c r="G280" s="4" t="str">
        <f>HYPERLINK("http://141.218.60.56/~jnz1568/getInfo.php?workbook=06_01.xlsx&amp;sheet=A0&amp;row=280&amp;col=7&amp;number==&amp;sourceID=11","=")</f>
        <v>=</v>
      </c>
      <c r="H280" s="4" t="str">
        <f>HYPERLINK("http://141.218.60.56/~jnz1568/getInfo.php?workbook=06_01.xlsx&amp;sheet=A0&amp;row=280&amp;col=8&amp;number=&amp;sourceID=11","")</f>
        <v/>
      </c>
      <c r="I280" s="4" t="str">
        <f>HYPERLINK("http://141.218.60.56/~jnz1568/getInfo.php?workbook=06_01.xlsx&amp;sheet=A0&amp;row=280&amp;col=9&amp;number=&amp;sourceID=11","")</f>
        <v/>
      </c>
      <c r="J280" s="4" t="str">
        <f>HYPERLINK("http://141.218.60.56/~jnz1568/getInfo.php?workbook=06_01.xlsx&amp;sheet=A0&amp;row=280&amp;col=10&amp;number=0&amp;sourceID=11","0")</f>
        <v>0</v>
      </c>
      <c r="K280" s="4" t="str">
        <f>HYPERLINK("http://141.218.60.56/~jnz1568/getInfo.php?workbook=06_01.xlsx&amp;sheet=A0&amp;row=280&amp;col=11&amp;number=&amp;sourceID=11","")</f>
        <v/>
      </c>
      <c r="L280" s="4" t="str">
        <f>HYPERLINK("http://141.218.60.56/~jnz1568/getInfo.php?workbook=06_01.xlsx&amp;sheet=A0&amp;row=280&amp;col=12&amp;number=&amp;sourceID=11","")</f>
        <v/>
      </c>
      <c r="M280" s="4" t="str">
        <f>HYPERLINK("http://141.218.60.56/~jnz1568/getInfo.php?workbook=06_01.xlsx&amp;sheet=A0&amp;row=280&amp;col=13&amp;number=&amp;sourceID=11","")</f>
        <v/>
      </c>
      <c r="N280" s="4" t="str">
        <f>HYPERLINK("http://141.218.60.56/~jnz1568/getInfo.php?workbook=06_01.xlsx&amp;sheet=A0&amp;row=280&amp;col=14&amp;number=0&amp;sourceID=12","0")</f>
        <v>0</v>
      </c>
      <c r="O280" s="4" t="str">
        <f>HYPERLINK("http://141.218.60.56/~jnz1568/getInfo.php?workbook=06_01.xlsx&amp;sheet=A0&amp;row=280&amp;col=15&amp;number=&amp;sourceID=12","")</f>
        <v/>
      </c>
      <c r="P280" s="4" t="str">
        <f>HYPERLINK("http://141.218.60.56/~jnz1568/getInfo.php?workbook=06_01.xlsx&amp;sheet=A0&amp;row=280&amp;col=16&amp;number=&amp;sourceID=12","")</f>
        <v/>
      </c>
      <c r="Q280" s="4" t="str">
        <f>HYPERLINK("http://141.218.60.56/~jnz1568/getInfo.php?workbook=06_01.xlsx&amp;sheet=A0&amp;row=280&amp;col=17&amp;number=0&amp;sourceID=12","0")</f>
        <v>0</v>
      </c>
      <c r="R280" s="4" t="str">
        <f>HYPERLINK("http://141.218.60.56/~jnz1568/getInfo.php?workbook=06_01.xlsx&amp;sheet=A0&amp;row=280&amp;col=18&amp;number=&amp;sourceID=12","")</f>
        <v/>
      </c>
      <c r="S280" s="4" t="str">
        <f>HYPERLINK("http://141.218.60.56/~jnz1568/getInfo.php?workbook=06_01.xlsx&amp;sheet=A0&amp;row=280&amp;col=19&amp;number=&amp;sourceID=12","")</f>
        <v/>
      </c>
      <c r="T280" s="4" t="str">
        <f>HYPERLINK("http://141.218.60.56/~jnz1568/getInfo.php?workbook=06_01.xlsx&amp;sheet=A0&amp;row=280&amp;col=20&amp;number=&amp;sourceID=12","")</f>
        <v/>
      </c>
      <c r="U280" s="4" t="str">
        <f>HYPERLINK("http://141.218.60.56/~jnz1568/getInfo.php?workbook=06_01.xlsx&amp;sheet=A0&amp;row=280&amp;col=21&amp;number=&amp;sourceID=13","")</f>
        <v/>
      </c>
      <c r="V280" s="4" t="str">
        <f>HYPERLINK("http://141.218.60.56/~jnz1568/getInfo.php?workbook=06_01.xlsx&amp;sheet=A0&amp;row=280&amp;col=22&amp;number=&amp;sourceID=13","")</f>
        <v/>
      </c>
      <c r="W280" s="4" t="str">
        <f>HYPERLINK("http://141.218.60.56/~jnz1568/getInfo.php?workbook=06_01.xlsx&amp;sheet=A0&amp;row=280&amp;col=23&amp;number=&amp;sourceID=13","")</f>
        <v/>
      </c>
      <c r="X280" s="4" t="str">
        <f>HYPERLINK("http://141.218.60.56/~jnz1568/getInfo.php?workbook=06_01.xlsx&amp;sheet=A0&amp;row=280&amp;col=24&amp;number=&amp;sourceID=13","")</f>
        <v/>
      </c>
      <c r="Y280" s="4" t="str">
        <f>HYPERLINK("http://141.218.60.56/~jnz1568/getInfo.php?workbook=06_01.xlsx&amp;sheet=A0&amp;row=280&amp;col=25&amp;number=&amp;sourceID=13","")</f>
        <v/>
      </c>
      <c r="Z280" s="4" t="str">
        <f>HYPERLINK("http://141.218.60.56/~jnz1568/getInfo.php?workbook=06_01.xlsx&amp;sheet=A0&amp;row=280&amp;col=26&amp;number=&amp;sourceID=13","")</f>
        <v/>
      </c>
    </row>
    <row r="281" spans="1:26">
      <c r="A281" s="3">
        <v>6</v>
      </c>
      <c r="B281" s="3">
        <v>1</v>
      </c>
      <c r="C281" s="3">
        <v>25</v>
      </c>
      <c r="D281" s="3">
        <v>21</v>
      </c>
      <c r="E281" s="3">
        <f>((1/(INDEX(E0!J$4:J$28,C281,1)-INDEX(E0!J$4:J$28,D281,1))))*100000000</f>
        <v>0</v>
      </c>
      <c r="F281" s="4" t="str">
        <f>HYPERLINK("http://141.218.60.56/~jnz1568/getInfo.php?workbook=06_01.xlsx&amp;sheet=A0&amp;row=281&amp;col=6&amp;number=&amp;sourceID=18","")</f>
        <v/>
      </c>
      <c r="G281" s="4" t="str">
        <f>HYPERLINK("http://141.218.60.56/~jnz1568/getInfo.php?workbook=06_01.xlsx&amp;sheet=A0&amp;row=281&amp;col=7&amp;number==&amp;sourceID=11","=")</f>
        <v>=</v>
      </c>
      <c r="H281" s="4" t="str">
        <f>HYPERLINK("http://141.218.60.56/~jnz1568/getInfo.php?workbook=06_01.xlsx&amp;sheet=A0&amp;row=281&amp;col=8&amp;number=&amp;sourceID=11","")</f>
        <v/>
      </c>
      <c r="I281" s="4" t="str">
        <f>HYPERLINK("http://141.218.60.56/~jnz1568/getInfo.php?workbook=06_01.xlsx&amp;sheet=A0&amp;row=281&amp;col=9&amp;number=&amp;sourceID=11","")</f>
        <v/>
      </c>
      <c r="J281" s="4" t="str">
        <f>HYPERLINK("http://141.218.60.56/~jnz1568/getInfo.php?workbook=06_01.xlsx&amp;sheet=A0&amp;row=281&amp;col=10&amp;number=0&amp;sourceID=11","0")</f>
        <v>0</v>
      </c>
      <c r="K281" s="4" t="str">
        <f>HYPERLINK("http://141.218.60.56/~jnz1568/getInfo.php?workbook=06_01.xlsx&amp;sheet=A0&amp;row=281&amp;col=11&amp;number=&amp;sourceID=11","")</f>
        <v/>
      </c>
      <c r="L281" s="4" t="str">
        <f>HYPERLINK("http://141.218.60.56/~jnz1568/getInfo.php?workbook=06_01.xlsx&amp;sheet=A0&amp;row=281&amp;col=12&amp;number=0&amp;sourceID=11","0")</f>
        <v>0</v>
      </c>
      <c r="M281" s="4" t="str">
        <f>HYPERLINK("http://141.218.60.56/~jnz1568/getInfo.php?workbook=06_01.xlsx&amp;sheet=A0&amp;row=281&amp;col=13&amp;number=&amp;sourceID=11","")</f>
        <v/>
      </c>
      <c r="N281" s="4" t="str">
        <f>HYPERLINK("http://141.218.60.56/~jnz1568/getInfo.php?workbook=06_01.xlsx&amp;sheet=A0&amp;row=281&amp;col=14&amp;number=0&amp;sourceID=12","0")</f>
        <v>0</v>
      </c>
      <c r="O281" s="4" t="str">
        <f>HYPERLINK("http://141.218.60.56/~jnz1568/getInfo.php?workbook=06_01.xlsx&amp;sheet=A0&amp;row=281&amp;col=15&amp;number=&amp;sourceID=12","")</f>
        <v/>
      </c>
      <c r="P281" s="4" t="str">
        <f>HYPERLINK("http://141.218.60.56/~jnz1568/getInfo.php?workbook=06_01.xlsx&amp;sheet=A0&amp;row=281&amp;col=16&amp;number=&amp;sourceID=12","")</f>
        <v/>
      </c>
      <c r="Q281" s="4" t="str">
        <f>HYPERLINK("http://141.218.60.56/~jnz1568/getInfo.php?workbook=06_01.xlsx&amp;sheet=A0&amp;row=281&amp;col=17&amp;number=0&amp;sourceID=12","0")</f>
        <v>0</v>
      </c>
      <c r="R281" s="4" t="str">
        <f>HYPERLINK("http://141.218.60.56/~jnz1568/getInfo.php?workbook=06_01.xlsx&amp;sheet=A0&amp;row=281&amp;col=18&amp;number=&amp;sourceID=12","")</f>
        <v/>
      </c>
      <c r="S281" s="4" t="str">
        <f>HYPERLINK("http://141.218.60.56/~jnz1568/getInfo.php?workbook=06_01.xlsx&amp;sheet=A0&amp;row=281&amp;col=19&amp;number=0&amp;sourceID=12","0")</f>
        <v>0</v>
      </c>
      <c r="T281" s="4" t="str">
        <f>HYPERLINK("http://141.218.60.56/~jnz1568/getInfo.php?workbook=06_01.xlsx&amp;sheet=A0&amp;row=281&amp;col=20&amp;number=&amp;sourceID=12","")</f>
        <v/>
      </c>
      <c r="U281" s="4" t="str">
        <f>HYPERLINK("http://141.218.60.56/~jnz1568/getInfo.php?workbook=06_01.xlsx&amp;sheet=A0&amp;row=281&amp;col=21&amp;number=&amp;sourceID=13","")</f>
        <v/>
      </c>
      <c r="V281" s="4" t="str">
        <f>HYPERLINK("http://141.218.60.56/~jnz1568/getInfo.php?workbook=06_01.xlsx&amp;sheet=A0&amp;row=281&amp;col=22&amp;number=&amp;sourceID=13","")</f>
        <v/>
      </c>
      <c r="W281" s="4" t="str">
        <f>HYPERLINK("http://141.218.60.56/~jnz1568/getInfo.php?workbook=06_01.xlsx&amp;sheet=A0&amp;row=281&amp;col=23&amp;number=&amp;sourceID=13","")</f>
        <v/>
      </c>
      <c r="X281" s="4" t="str">
        <f>HYPERLINK("http://141.218.60.56/~jnz1568/getInfo.php?workbook=06_01.xlsx&amp;sheet=A0&amp;row=281&amp;col=24&amp;number=&amp;sourceID=13","")</f>
        <v/>
      </c>
      <c r="Y281" s="4" t="str">
        <f>HYPERLINK("http://141.218.60.56/~jnz1568/getInfo.php?workbook=06_01.xlsx&amp;sheet=A0&amp;row=281&amp;col=25&amp;number=&amp;sourceID=13","")</f>
        <v/>
      </c>
      <c r="Z281" s="4" t="str">
        <f>HYPERLINK("http://141.218.60.56/~jnz1568/getInfo.php?workbook=06_01.xlsx&amp;sheet=A0&amp;row=281&amp;col=26&amp;number=&amp;sourceID=13","")</f>
        <v/>
      </c>
    </row>
    <row r="282" spans="1:26">
      <c r="A282" s="3">
        <v>6</v>
      </c>
      <c r="B282" s="3">
        <v>1</v>
      </c>
      <c r="C282" s="3">
        <v>25</v>
      </c>
      <c r="D282" s="3">
        <v>22</v>
      </c>
      <c r="E282" s="3">
        <f>((1/(INDEX(E0!J$4:J$28,C282,1)-INDEX(E0!J$4:J$28,D282,1))))*100000000</f>
        <v>0</v>
      </c>
      <c r="F282" s="4" t="str">
        <f>HYPERLINK("http://141.218.60.56/~jnz1568/getInfo.php?workbook=06_01.xlsx&amp;sheet=A0&amp;row=282&amp;col=6&amp;number=&amp;sourceID=18","")</f>
        <v/>
      </c>
      <c r="G282" s="4" t="str">
        <f>HYPERLINK("http://141.218.60.56/~jnz1568/getInfo.php?workbook=06_01.xlsx&amp;sheet=A0&amp;row=282&amp;col=7&amp;number==&amp;sourceID=11","=")</f>
        <v>=</v>
      </c>
      <c r="H282" s="4" t="str">
        <f>HYPERLINK("http://141.218.60.56/~jnz1568/getInfo.php?workbook=06_01.xlsx&amp;sheet=A0&amp;row=282&amp;col=8&amp;number=&amp;sourceID=11","")</f>
        <v/>
      </c>
      <c r="I282" s="4" t="str">
        <f>HYPERLINK("http://141.218.60.56/~jnz1568/getInfo.php?workbook=06_01.xlsx&amp;sheet=A0&amp;row=282&amp;col=9&amp;number=0&amp;sourceID=11","0")</f>
        <v>0</v>
      </c>
      <c r="J282" s="4" t="str">
        <f>HYPERLINK("http://141.218.60.56/~jnz1568/getInfo.php?workbook=06_01.xlsx&amp;sheet=A0&amp;row=282&amp;col=10&amp;number=&amp;sourceID=11","")</f>
        <v/>
      </c>
      <c r="K282" s="4" t="str">
        <f>HYPERLINK("http://141.218.60.56/~jnz1568/getInfo.php?workbook=06_01.xlsx&amp;sheet=A0&amp;row=282&amp;col=11&amp;number=&amp;sourceID=11","")</f>
        <v/>
      </c>
      <c r="L282" s="4" t="str">
        <f>HYPERLINK("http://141.218.60.56/~jnz1568/getInfo.php?workbook=06_01.xlsx&amp;sheet=A0&amp;row=282&amp;col=12&amp;number=&amp;sourceID=11","")</f>
        <v/>
      </c>
      <c r="M282" s="4" t="str">
        <f>HYPERLINK("http://141.218.60.56/~jnz1568/getInfo.php?workbook=06_01.xlsx&amp;sheet=A0&amp;row=282&amp;col=13&amp;number=0&amp;sourceID=11","0")</f>
        <v>0</v>
      </c>
      <c r="N282" s="4" t="str">
        <f>HYPERLINK("http://141.218.60.56/~jnz1568/getInfo.php?workbook=06_01.xlsx&amp;sheet=A0&amp;row=282&amp;col=14&amp;number=0&amp;sourceID=12","0")</f>
        <v>0</v>
      </c>
      <c r="O282" s="4" t="str">
        <f>HYPERLINK("http://141.218.60.56/~jnz1568/getInfo.php?workbook=06_01.xlsx&amp;sheet=A0&amp;row=282&amp;col=15&amp;number=&amp;sourceID=12","")</f>
        <v/>
      </c>
      <c r="P282" s="4" t="str">
        <f>HYPERLINK("http://141.218.60.56/~jnz1568/getInfo.php?workbook=06_01.xlsx&amp;sheet=A0&amp;row=282&amp;col=16&amp;number=0&amp;sourceID=12","0")</f>
        <v>0</v>
      </c>
      <c r="Q282" s="4" t="str">
        <f>HYPERLINK("http://141.218.60.56/~jnz1568/getInfo.php?workbook=06_01.xlsx&amp;sheet=A0&amp;row=282&amp;col=17&amp;number=&amp;sourceID=12","")</f>
        <v/>
      </c>
      <c r="R282" s="4" t="str">
        <f>HYPERLINK("http://141.218.60.56/~jnz1568/getInfo.php?workbook=06_01.xlsx&amp;sheet=A0&amp;row=282&amp;col=18&amp;number=&amp;sourceID=12","")</f>
        <v/>
      </c>
      <c r="S282" s="4" t="str">
        <f>HYPERLINK("http://141.218.60.56/~jnz1568/getInfo.php?workbook=06_01.xlsx&amp;sheet=A0&amp;row=282&amp;col=19&amp;number=&amp;sourceID=12","")</f>
        <v/>
      </c>
      <c r="T282" s="4" t="str">
        <f>HYPERLINK("http://141.218.60.56/~jnz1568/getInfo.php?workbook=06_01.xlsx&amp;sheet=A0&amp;row=282&amp;col=20&amp;number=0&amp;sourceID=12","0")</f>
        <v>0</v>
      </c>
      <c r="U282" s="4" t="str">
        <f>HYPERLINK("http://141.218.60.56/~jnz1568/getInfo.php?workbook=06_01.xlsx&amp;sheet=A0&amp;row=282&amp;col=21&amp;number=&amp;sourceID=13","")</f>
        <v/>
      </c>
      <c r="V282" s="4" t="str">
        <f>HYPERLINK("http://141.218.60.56/~jnz1568/getInfo.php?workbook=06_01.xlsx&amp;sheet=A0&amp;row=282&amp;col=22&amp;number=&amp;sourceID=13","")</f>
        <v/>
      </c>
      <c r="W282" s="4" t="str">
        <f>HYPERLINK("http://141.218.60.56/~jnz1568/getInfo.php?workbook=06_01.xlsx&amp;sheet=A0&amp;row=282&amp;col=23&amp;number=&amp;sourceID=13","")</f>
        <v/>
      </c>
      <c r="X282" s="4" t="str">
        <f>HYPERLINK("http://141.218.60.56/~jnz1568/getInfo.php?workbook=06_01.xlsx&amp;sheet=A0&amp;row=282&amp;col=24&amp;number=&amp;sourceID=13","")</f>
        <v/>
      </c>
      <c r="Y282" s="4" t="str">
        <f>HYPERLINK("http://141.218.60.56/~jnz1568/getInfo.php?workbook=06_01.xlsx&amp;sheet=A0&amp;row=282&amp;col=25&amp;number=&amp;sourceID=13","")</f>
        <v/>
      </c>
      <c r="Z282" s="4" t="str">
        <f>HYPERLINK("http://141.218.60.56/~jnz1568/getInfo.php?workbook=06_01.xlsx&amp;sheet=A0&amp;row=282&amp;col=26&amp;number=&amp;sourceID=13","")</f>
        <v/>
      </c>
    </row>
    <row r="283" spans="1:26">
      <c r="A283" s="3">
        <v>6</v>
      </c>
      <c r="B283" s="3">
        <v>1</v>
      </c>
      <c r="C283" s="3">
        <v>25</v>
      </c>
      <c r="D283" s="3">
        <v>23</v>
      </c>
      <c r="E283" s="3">
        <f>((1/(INDEX(E0!J$4:J$28,C283,1)-INDEX(E0!J$4:J$28,D283,1))))*100000000</f>
        <v>0</v>
      </c>
      <c r="F283" s="4" t="str">
        <f>HYPERLINK("http://141.218.60.56/~jnz1568/getInfo.php?workbook=06_01.xlsx&amp;sheet=A0&amp;row=283&amp;col=6&amp;number=&amp;sourceID=18","")</f>
        <v/>
      </c>
      <c r="G283" s="4" t="str">
        <f>HYPERLINK("http://141.218.60.56/~jnz1568/getInfo.php?workbook=06_01.xlsx&amp;sheet=A0&amp;row=283&amp;col=7&amp;number==&amp;sourceID=11","=")</f>
        <v>=</v>
      </c>
      <c r="H283" s="4" t="str">
        <f>HYPERLINK("http://141.218.60.56/~jnz1568/getInfo.php?workbook=06_01.xlsx&amp;sheet=A0&amp;row=283&amp;col=8&amp;number=&amp;sourceID=11","")</f>
        <v/>
      </c>
      <c r="I283" s="4" t="str">
        <f>HYPERLINK("http://141.218.60.56/~jnz1568/getInfo.php?workbook=06_01.xlsx&amp;sheet=A0&amp;row=283&amp;col=9&amp;number=0&amp;sourceID=11","0")</f>
        <v>0</v>
      </c>
      <c r="J283" s="4" t="str">
        <f>HYPERLINK("http://141.218.60.56/~jnz1568/getInfo.php?workbook=06_01.xlsx&amp;sheet=A0&amp;row=283&amp;col=10&amp;number=&amp;sourceID=11","")</f>
        <v/>
      </c>
      <c r="K283" s="4" t="str">
        <f>HYPERLINK("http://141.218.60.56/~jnz1568/getInfo.php?workbook=06_01.xlsx&amp;sheet=A0&amp;row=283&amp;col=11&amp;number=3.3334e-10&amp;sourceID=11","3.3334e-10")</f>
        <v>3.3334e-10</v>
      </c>
      <c r="L283" s="4" t="str">
        <f>HYPERLINK("http://141.218.60.56/~jnz1568/getInfo.php?workbook=06_01.xlsx&amp;sheet=A0&amp;row=283&amp;col=12&amp;number=&amp;sourceID=11","")</f>
        <v/>
      </c>
      <c r="M283" s="4" t="str">
        <f>HYPERLINK("http://141.218.60.56/~jnz1568/getInfo.php?workbook=06_01.xlsx&amp;sheet=A0&amp;row=283&amp;col=13&amp;number=0&amp;sourceID=11","0")</f>
        <v>0</v>
      </c>
      <c r="N283" s="4" t="str">
        <f>HYPERLINK("http://141.218.60.56/~jnz1568/getInfo.php?workbook=06_01.xlsx&amp;sheet=A0&amp;row=283&amp;col=14&amp;number=3.3339e-10&amp;sourceID=12","3.3339e-10")</f>
        <v>3.3339e-10</v>
      </c>
      <c r="O283" s="4" t="str">
        <f>HYPERLINK("http://141.218.60.56/~jnz1568/getInfo.php?workbook=06_01.xlsx&amp;sheet=A0&amp;row=283&amp;col=15&amp;number=&amp;sourceID=12","")</f>
        <v/>
      </c>
      <c r="P283" s="4" t="str">
        <f>HYPERLINK("http://141.218.60.56/~jnz1568/getInfo.php?workbook=06_01.xlsx&amp;sheet=A0&amp;row=283&amp;col=16&amp;number=0&amp;sourceID=12","0")</f>
        <v>0</v>
      </c>
      <c r="Q283" s="4" t="str">
        <f>HYPERLINK("http://141.218.60.56/~jnz1568/getInfo.php?workbook=06_01.xlsx&amp;sheet=A0&amp;row=283&amp;col=17&amp;number=&amp;sourceID=12","")</f>
        <v/>
      </c>
      <c r="R283" s="4" t="str">
        <f>HYPERLINK("http://141.218.60.56/~jnz1568/getInfo.php?workbook=06_01.xlsx&amp;sheet=A0&amp;row=283&amp;col=18&amp;number=3.3339e-10&amp;sourceID=12","3.3339e-10")</f>
        <v>3.3339e-10</v>
      </c>
      <c r="S283" s="4" t="str">
        <f>HYPERLINK("http://141.218.60.56/~jnz1568/getInfo.php?workbook=06_01.xlsx&amp;sheet=A0&amp;row=283&amp;col=19&amp;number=&amp;sourceID=12","")</f>
        <v/>
      </c>
      <c r="T283" s="4" t="str">
        <f>HYPERLINK("http://141.218.60.56/~jnz1568/getInfo.php?workbook=06_01.xlsx&amp;sheet=A0&amp;row=283&amp;col=20&amp;number=0&amp;sourceID=12","0")</f>
        <v>0</v>
      </c>
      <c r="U283" s="4" t="str">
        <f>HYPERLINK("http://141.218.60.56/~jnz1568/getInfo.php?workbook=06_01.xlsx&amp;sheet=A0&amp;row=283&amp;col=21&amp;number=&amp;sourceID=13","")</f>
        <v/>
      </c>
      <c r="V283" s="4" t="str">
        <f>HYPERLINK("http://141.218.60.56/~jnz1568/getInfo.php?workbook=06_01.xlsx&amp;sheet=A0&amp;row=283&amp;col=22&amp;number=&amp;sourceID=13","")</f>
        <v/>
      </c>
      <c r="W283" s="4" t="str">
        <f>HYPERLINK("http://141.218.60.56/~jnz1568/getInfo.php?workbook=06_01.xlsx&amp;sheet=A0&amp;row=283&amp;col=23&amp;number=&amp;sourceID=13","")</f>
        <v/>
      </c>
      <c r="X283" s="4" t="str">
        <f>HYPERLINK("http://141.218.60.56/~jnz1568/getInfo.php?workbook=06_01.xlsx&amp;sheet=A0&amp;row=283&amp;col=24&amp;number=&amp;sourceID=13","")</f>
        <v/>
      </c>
      <c r="Y283" s="4" t="str">
        <f>HYPERLINK("http://141.218.60.56/~jnz1568/getInfo.php?workbook=06_01.xlsx&amp;sheet=A0&amp;row=283&amp;col=25&amp;number=&amp;sourceID=13","")</f>
        <v/>
      </c>
      <c r="Z283" s="4" t="str">
        <f>HYPERLINK("http://141.218.60.56/~jnz1568/getInfo.php?workbook=06_01.xlsx&amp;sheet=A0&amp;row=283&amp;col=26&amp;number=&amp;sourceID=13","")</f>
        <v/>
      </c>
    </row>
    <row r="284" spans="1:26">
      <c r="A284" s="3">
        <v>6</v>
      </c>
      <c r="B284" s="3">
        <v>1</v>
      </c>
      <c r="C284" s="3">
        <v>25</v>
      </c>
      <c r="D284" s="3">
        <v>24</v>
      </c>
      <c r="E284" s="3">
        <f>((1/(INDEX(E0!J$4:J$28,C284,1)-INDEX(E0!J$4:J$28,D284,1))))*100000000</f>
        <v>0</v>
      </c>
      <c r="F284" s="4" t="str">
        <f>HYPERLINK("http://141.218.60.56/~jnz1568/getInfo.php?workbook=06_01.xlsx&amp;sheet=A0&amp;row=284&amp;col=6&amp;number=&amp;sourceID=18","")</f>
        <v/>
      </c>
      <c r="G284" s="4" t="str">
        <f>HYPERLINK("http://141.218.60.56/~jnz1568/getInfo.php?workbook=06_01.xlsx&amp;sheet=A0&amp;row=284&amp;col=7&amp;number==&amp;sourceID=11","=")</f>
        <v>=</v>
      </c>
      <c r="H284" s="4" t="str">
        <f>HYPERLINK("http://141.218.60.56/~jnz1568/getInfo.php?workbook=06_01.xlsx&amp;sheet=A0&amp;row=284&amp;col=8&amp;number=0.0003521&amp;sourceID=11","0.0003521")</f>
        <v>0.0003521</v>
      </c>
      <c r="I284" s="4" t="str">
        <f>HYPERLINK("http://141.218.60.56/~jnz1568/getInfo.php?workbook=06_01.xlsx&amp;sheet=A0&amp;row=284&amp;col=9&amp;number=&amp;sourceID=11","")</f>
        <v/>
      </c>
      <c r="J284" s="4" t="str">
        <f>HYPERLINK("http://141.218.60.56/~jnz1568/getInfo.php?workbook=06_01.xlsx&amp;sheet=A0&amp;row=284&amp;col=10&amp;number=0&amp;sourceID=11","0")</f>
        <v>0</v>
      </c>
      <c r="K284" s="4" t="str">
        <f>HYPERLINK("http://141.218.60.56/~jnz1568/getInfo.php?workbook=06_01.xlsx&amp;sheet=A0&amp;row=284&amp;col=11&amp;number=&amp;sourceID=11","")</f>
        <v/>
      </c>
      <c r="L284" s="4" t="str">
        <f>HYPERLINK("http://141.218.60.56/~jnz1568/getInfo.php?workbook=06_01.xlsx&amp;sheet=A0&amp;row=284&amp;col=12&amp;number=0&amp;sourceID=11","0")</f>
        <v>0</v>
      </c>
      <c r="M284" s="4" t="str">
        <f>HYPERLINK("http://141.218.60.56/~jnz1568/getInfo.php?workbook=06_01.xlsx&amp;sheet=A0&amp;row=284&amp;col=13&amp;number=&amp;sourceID=11","")</f>
        <v/>
      </c>
      <c r="N284" s="4" t="str">
        <f>HYPERLINK("http://141.218.60.56/~jnz1568/getInfo.php?workbook=06_01.xlsx&amp;sheet=A0&amp;row=284&amp;col=14&amp;number=0.00035216&amp;sourceID=12","0.00035216")</f>
        <v>0.00035216</v>
      </c>
      <c r="O284" s="4" t="str">
        <f>HYPERLINK("http://141.218.60.56/~jnz1568/getInfo.php?workbook=06_01.xlsx&amp;sheet=A0&amp;row=284&amp;col=15&amp;number=0.00035216&amp;sourceID=12","0.00035216")</f>
        <v>0.00035216</v>
      </c>
      <c r="P284" s="4" t="str">
        <f>HYPERLINK("http://141.218.60.56/~jnz1568/getInfo.php?workbook=06_01.xlsx&amp;sheet=A0&amp;row=284&amp;col=16&amp;number=&amp;sourceID=12","")</f>
        <v/>
      </c>
      <c r="Q284" s="4" t="str">
        <f>HYPERLINK("http://141.218.60.56/~jnz1568/getInfo.php?workbook=06_01.xlsx&amp;sheet=A0&amp;row=284&amp;col=17&amp;number=0&amp;sourceID=12","0")</f>
        <v>0</v>
      </c>
      <c r="R284" s="4" t="str">
        <f>HYPERLINK("http://141.218.60.56/~jnz1568/getInfo.php?workbook=06_01.xlsx&amp;sheet=A0&amp;row=284&amp;col=18&amp;number=&amp;sourceID=12","")</f>
        <v/>
      </c>
      <c r="S284" s="4" t="str">
        <f>HYPERLINK("http://141.218.60.56/~jnz1568/getInfo.php?workbook=06_01.xlsx&amp;sheet=A0&amp;row=284&amp;col=19&amp;number=0&amp;sourceID=12","0")</f>
        <v>0</v>
      </c>
      <c r="T284" s="4" t="str">
        <f>HYPERLINK("http://141.218.60.56/~jnz1568/getInfo.php?workbook=06_01.xlsx&amp;sheet=A0&amp;row=284&amp;col=20&amp;number=&amp;sourceID=12","")</f>
        <v/>
      </c>
      <c r="U284" s="4" t="str">
        <f>HYPERLINK("http://141.218.60.56/~jnz1568/getInfo.php?workbook=06_01.xlsx&amp;sheet=A0&amp;row=284&amp;col=21&amp;number=&amp;sourceID=13","")</f>
        <v/>
      </c>
      <c r="V284" s="4" t="str">
        <f>HYPERLINK("http://141.218.60.56/~jnz1568/getInfo.php?workbook=06_01.xlsx&amp;sheet=A0&amp;row=284&amp;col=22&amp;number=&amp;sourceID=13","")</f>
        <v/>
      </c>
      <c r="W284" s="4" t="str">
        <f>HYPERLINK("http://141.218.60.56/~jnz1568/getInfo.php?workbook=06_01.xlsx&amp;sheet=A0&amp;row=284&amp;col=23&amp;number=&amp;sourceID=13","")</f>
        <v/>
      </c>
      <c r="X284" s="4" t="str">
        <f>HYPERLINK("http://141.218.60.56/~jnz1568/getInfo.php?workbook=06_01.xlsx&amp;sheet=A0&amp;row=284&amp;col=24&amp;number=&amp;sourceID=13","")</f>
        <v/>
      </c>
      <c r="Y284" s="4" t="str">
        <f>HYPERLINK("http://141.218.60.56/~jnz1568/getInfo.php?workbook=06_01.xlsx&amp;sheet=A0&amp;row=284&amp;col=25&amp;number=&amp;sourceID=13","")</f>
        <v/>
      </c>
      <c r="Z284" s="4" t="str">
        <f>HYPERLINK("http://141.218.60.56/~jnz1568/getInfo.php?workbook=06_01.xlsx&amp;sheet=A0&amp;row=284&amp;col=26&amp;number=&amp;sourceID=13","")</f>
        <v/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</vt:lpstr>
      <vt:lpstr>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2015-04-13T05:02:03Z</dcterms:created>
  <dcterms:modified xsi:type="dcterms:W3CDTF">2015-04-13T05:02:03Z</dcterms:modified>
</cp:coreProperties>
</file>