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E1" sheetId="2" r:id="rId2"/>
    <sheet name="A0" sheetId="3" r:id="rId3"/>
    <sheet name="A1" sheetId="4" r:id="rId4"/>
  </sheets>
  <calcPr calcId="124519" fullCalcOnLoad="1"/>
</workbook>
</file>

<file path=xl/sharedStrings.xml><?xml version="1.0" encoding="utf-8"?>
<sst xmlns="http://schemas.openxmlformats.org/spreadsheetml/2006/main" count="233" uniqueCount="54">
  <si>
    <t>Fine Structure Energy Levels for  C V</t>
  </si>
  <si>
    <t>S2</t>
  </si>
  <si>
    <t>S30</t>
  </si>
  <si>
    <t>S32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</si>
  <si>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</si>
  <si>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</si>
  <si>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</si>
  <si>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</si>
  <si>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</si>
  <si>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</si>
  <si>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</si>
  <si>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</si>
  <si>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</si>
  <si>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E(cm-1)</t>
  </si>
  <si>
    <t>1s2</t>
  </si>
  <si>
    <t>1S</t>
  </si>
  <si>
    <t>1s.2s</t>
  </si>
  <si>
    <t>3S</t>
  </si>
  <si>
    <t>1s.2p</t>
  </si>
  <si>
    <t>3P*</t>
  </si>
  <si>
    <t>1P*</t>
  </si>
  <si>
    <t>1s.3s</t>
  </si>
  <si>
    <t>1s.3p</t>
  </si>
  <si>
    <t>1s.3d</t>
  </si>
  <si>
    <t>3D</t>
  </si>
  <si>
    <t>1D</t>
  </si>
  <si>
    <t>1s.4s</t>
  </si>
  <si>
    <t>1s.4p</t>
  </si>
  <si>
    <t>1s.4d</t>
  </si>
  <si>
    <t>1s.4f</t>
  </si>
  <si>
    <t>1F*</t>
  </si>
  <si>
    <t>3F*</t>
  </si>
  <si>
    <t>1s.5s</t>
  </si>
  <si>
    <t>1s.5p</t>
  </si>
  <si>
    <t>1s.5d</t>
  </si>
  <si>
    <t>1s.5f</t>
  </si>
  <si>
    <t>1s.5g</t>
  </si>
  <si>
    <t>3G</t>
  </si>
  <si>
    <t>1G</t>
  </si>
  <si>
    <t>LS Energy Terms for  C V</t>
  </si>
  <si>
    <t>S33</t>
  </si>
  <si>
    <t>S25</t>
  </si>
  <si>
    <t>A-values for  fine-structure transitions in  C V</t>
  </si>
  <si>
    <t>S27</t>
  </si>
  <si>
    <t>S34</t>
  </si>
  <si>
    <t>k</t>
  </si>
  <si>
    <t>WLVac (A)</t>
  </si>
  <si>
    <t>A2E1 (s-1)</t>
  </si>
  <si>
    <t>AE1 (s-1)</t>
  </si>
  <si>
    <t>AE2 (s-1)</t>
  </si>
  <si>
    <t>AM1 (s-1)</t>
  </si>
  <si>
    <t>AM2 (s-1)</t>
  </si>
  <si>
    <t>A-values for LS E1 Transitions in C V</t>
  </si>
  <si>
    <t>S24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</si>
</sst>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10.7109375" customWidth="1"/>
    <col min="11" max="11" width="14.7109375" customWidth="1"/>
    <col min="12" max="12" width="14.7109375" customWidth="1"/>
    <col min="13" max="13" width="8.7109375" customWidth="1"/>
  </cols>
  <sheetData>
    <row r="1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  <c r="K2" s="2" t="s">
        <v>2</v>
      </c>
      <c r="L2" s="2" t="s">
        <v>2</v>
      </c>
      <c r="M2" s="2" t="s">
        <v>3</v>
      </c>
    </row>
    <row r="3" spans="1:13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13</v>
      </c>
      <c r="L3" s="2" t="s">
        <v>13</v>
      </c>
      <c r="M3" s="2" t="s">
        <v>13</v>
      </c>
    </row>
    <row r="4" spans="1:13">
      <c r="A4" s="3">
        <v>6</v>
      </c>
      <c r="B4" s="3">
        <v>2</v>
      </c>
      <c r="C4" s="3">
        <v>1</v>
      </c>
      <c r="D4" s="3" t="s">
        <v>14</v>
      </c>
      <c r="E4" s="3" t="s">
        <v>15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HYPERLINK("http://141.218.60.56/~jnz1568/getInfo.php?workbook=06_02.xlsx&amp;sheet=E0&amp;row=4&amp;col=10&amp;number=0&amp;sourceID=2","0")</f>
        <v>0</v>
      </c>
      <c r="K4" s="4" t="str">
        <f>HYPERLINK("http://141.218.60.56/~jnz1568/getInfo.php?workbook=06_02.xlsx&amp;sheet=E0&amp;row=4&amp;col=11&amp;number=0&amp;sourceID=30","0")</f>
        <v>0</v>
      </c>
      <c r="L4" s="4" t="str">
        <f>HYPERLINK("http://141.218.60.56/~jnz1568/getInfo.php?workbook=06_02.xlsx&amp;sheet=E0&amp;row=4&amp;col=12&amp;number=0&amp;sourceID=30","0")</f>
        <v>0</v>
      </c>
      <c r="M4" s="4" t="str">
        <f>HYPERLINK("http://141.218.60.56/~jnz1568/getInfo.php?workbook=06_02.xlsx&amp;sheet=E0&amp;row=4&amp;col=13&amp;number=0&amp;sourceID=32","0")</f>
        <v>0</v>
      </c>
    </row>
    <row r="5" spans="1:13">
      <c r="A5" s="3">
        <v>6</v>
      </c>
      <c r="B5" s="3">
        <v>2</v>
      </c>
      <c r="C5" s="3">
        <f>C4+1</f>
        <v>0</v>
      </c>
      <c r="D5" s="3" t="s">
        <v>16</v>
      </c>
      <c r="E5" s="3" t="s">
        <v>17</v>
      </c>
      <c r="F5" s="3">
        <v>3</v>
      </c>
      <c r="G5" s="3">
        <v>0</v>
      </c>
      <c r="H5" s="3">
        <v>0</v>
      </c>
      <c r="I5" s="3">
        <v>1</v>
      </c>
      <c r="J5" s="4" t="str">
        <f>HYPERLINK("http://141.218.60.56/~jnz1568/getInfo.php?workbook=06_02.xlsx&amp;sheet=E0&amp;row=5&amp;col=10&amp;number=2411271.2&amp;sourceID=2","2411271.2")</f>
        <v>2411271.2</v>
      </c>
      <c r="K5" s="4" t="str">
        <f>HYPERLINK("http://141.218.60.56/~jnz1568/getInfo.php?workbook=06_02.xlsx&amp;sheet=E0&amp;row=5&amp;col=11&amp;number=2389607.96254&amp;sourceID=30","2389607.96254")</f>
        <v>2389607.96254</v>
      </c>
      <c r="L5" s="4" t="str">
        <f>HYPERLINK("http://141.218.60.56/~jnz1568/getInfo.php?workbook=06_02.xlsx&amp;sheet=E0&amp;row=5&amp;col=12&amp;number=2388847.48295&amp;sourceID=30","2388847.48295")</f>
        <v>2388847.48295</v>
      </c>
      <c r="M5" s="4" t="str">
        <f>HYPERLINK("http://141.218.60.56/~jnz1568/getInfo.php?workbook=06_02.xlsx&amp;sheet=E0&amp;row=5&amp;col=13&amp;number=2411277&amp;sourceID=32","2411277")</f>
        <v>2411277</v>
      </c>
    </row>
    <row r="6" spans="1:13">
      <c r="A6" s="3">
        <v>6</v>
      </c>
      <c r="B6" s="3">
        <v>2</v>
      </c>
      <c r="C6" s="3">
        <f/>
        <v>0</v>
      </c>
      <c r="D6" s="3" t="s">
        <v>16</v>
      </c>
      <c r="E6" s="3" t="s">
        <v>15</v>
      </c>
      <c r="F6" s="3">
        <v>1</v>
      </c>
      <c r="G6" s="3">
        <v>0</v>
      </c>
      <c r="H6" s="3">
        <v>0</v>
      </c>
      <c r="I6" s="3">
        <v>0</v>
      </c>
      <c r="J6" s="4" t="str">
        <f>HYPERLINK("http://141.218.60.56/~jnz1568/getInfo.php?workbook=06_02.xlsx&amp;sheet=E0&amp;row=6&amp;col=10&amp;number=2455025.5&amp;sourceID=2","2455025.5")</f>
        <v>2455025.5</v>
      </c>
      <c r="K6" s="4" t="str">
        <f>HYPERLINK("http://141.218.60.56/~jnz1568/getInfo.php?workbook=06_02.xlsx&amp;sheet=E0&amp;row=6&amp;col=11&amp;number=2437204.32848&amp;sourceID=30","2437204.32848")</f>
        <v>2437204.32848</v>
      </c>
      <c r="L6" s="4" t="str">
        <f>HYPERLINK("http://141.218.60.56/~jnz1568/getInfo.php?workbook=06_02.xlsx&amp;sheet=E0&amp;row=6&amp;col=12&amp;number=2436545.90458&amp;sourceID=30","2436545.90458")</f>
        <v>2436545.90458</v>
      </c>
      <c r="M6" s="4" t="str">
        <f>HYPERLINK("http://141.218.60.56/~jnz1568/getInfo.php?workbook=06_02.xlsx&amp;sheet=E0&amp;row=6&amp;col=13&amp;number=2455080&amp;sourceID=32","2455080")</f>
        <v>2455080</v>
      </c>
    </row>
    <row r="7" spans="1:13">
      <c r="A7" s="3">
        <v>6</v>
      </c>
      <c r="B7" s="3">
        <v>2</v>
      </c>
      <c r="C7" s="3">
        <f/>
        <v>0</v>
      </c>
      <c r="D7" s="3" t="s">
        <v>18</v>
      </c>
      <c r="E7" s="3" t="s">
        <v>19</v>
      </c>
      <c r="F7" s="3">
        <v>3</v>
      </c>
      <c r="G7" s="3">
        <v>1</v>
      </c>
      <c r="H7" s="3">
        <v>1</v>
      </c>
      <c r="I7" s="3">
        <v>1</v>
      </c>
      <c r="J7" s="4" t="str">
        <f>HYPERLINK("http://141.218.60.56/~jnz1568/getInfo.php?workbook=06_02.xlsx&amp;sheet=E0&amp;row=7&amp;col=10&amp;number=2455157.3&amp;sourceID=2","2455157.3")</f>
        <v>2455157.3</v>
      </c>
      <c r="K7" s="4" t="str">
        <f>HYPERLINK("http://141.218.60.56/~jnz1568/getInfo.php?workbook=06_02.xlsx&amp;sheet=E0&amp;row=7&amp;col=11&amp;number=2434093.27558&amp;sourceID=30","2434093.27558")</f>
        <v>2434093.27558</v>
      </c>
      <c r="L7" s="4" t="str">
        <f>HYPERLINK("http://141.218.60.56/~jnz1568/getInfo.php?workbook=06_02.xlsx&amp;sheet=E0&amp;row=7&amp;col=12&amp;number=2433371.20404&amp;sourceID=30","2433371.20404")</f>
        <v>2433371.20404</v>
      </c>
      <c r="M7" s="4" t="str">
        <f>HYPERLINK("http://141.218.60.56/~jnz1568/getInfo.php?workbook=06_02.xlsx&amp;sheet=E0&amp;row=7&amp;col=13&amp;number=2455210&amp;sourceID=32","2455210")</f>
        <v>2455210</v>
      </c>
    </row>
    <row r="8" spans="1:13">
      <c r="A8" s="3">
        <v>6</v>
      </c>
      <c r="B8" s="3">
        <v>2</v>
      </c>
      <c r="C8" s="3">
        <f/>
        <v>0</v>
      </c>
      <c r="D8" s="3" t="s">
        <v>18</v>
      </c>
      <c r="E8" s="3" t="s">
        <v>19</v>
      </c>
      <c r="F8" s="3">
        <v>3</v>
      </c>
      <c r="G8" s="3">
        <v>1</v>
      </c>
      <c r="H8" s="3">
        <v>1</v>
      </c>
      <c r="I8" s="3">
        <v>0</v>
      </c>
      <c r="J8" s="4" t="str">
        <f>HYPERLINK("http://141.218.60.56/~jnz1568/getInfo.php?workbook=06_02.xlsx&amp;sheet=E0&amp;row=8&amp;col=10&amp;number=2455169.9&amp;sourceID=2","2455169.9")</f>
        <v>2455169.9</v>
      </c>
      <c r="K8" s="4" t="str">
        <f>HYPERLINK("http://141.218.60.56/~jnz1568/getInfo.php?workbook=06_02.xlsx&amp;sheet=E0&amp;row=8&amp;col=11&amp;number=2434004.38835&amp;sourceID=30","2434004.38835")</f>
        <v>2434004.38835</v>
      </c>
      <c r="L8" s="4" t="str">
        <f>HYPERLINK("http://141.218.60.56/~jnz1568/getInfo.php?workbook=06_02.xlsx&amp;sheet=E0&amp;row=8&amp;col=12&amp;number=2433385.46989&amp;sourceID=30","2433385.46989")</f>
        <v>2433385.46989</v>
      </c>
      <c r="M8" s="4" t="str">
        <f>HYPERLINK("http://141.218.60.56/~jnz1568/getInfo.php?workbook=06_02.xlsx&amp;sheet=E0&amp;row=8&amp;col=13&amp;number=2455222&amp;sourceID=32","2455222")</f>
        <v>2455222</v>
      </c>
    </row>
    <row r="9" spans="1:13">
      <c r="A9" s="3">
        <v>6</v>
      </c>
      <c r="B9" s="3">
        <v>2</v>
      </c>
      <c r="C9" s="3">
        <f/>
        <v>0</v>
      </c>
      <c r="D9" s="3" t="s">
        <v>18</v>
      </c>
      <c r="E9" s="3" t="s">
        <v>19</v>
      </c>
      <c r="F9" s="3">
        <v>3</v>
      </c>
      <c r="G9" s="3">
        <v>1</v>
      </c>
      <c r="H9" s="3">
        <v>1</v>
      </c>
      <c r="I9" s="3">
        <v>2</v>
      </c>
      <c r="J9" s="4" t="str">
        <f>HYPERLINK("http://141.218.60.56/~jnz1568/getInfo.php?workbook=06_02.xlsx&amp;sheet=E0&amp;row=9&amp;col=10&amp;number=2455293.2&amp;sourceID=2","2455293.2")</f>
        <v>2455293.2</v>
      </c>
      <c r="K9" s="4" t="str">
        <f>HYPERLINK("http://141.218.60.56/~jnz1568/getInfo.php?workbook=06_02.xlsx&amp;sheet=E0&amp;row=9&amp;col=11&amp;number=2434273.24477&amp;sourceID=30","2434273.24477")</f>
        <v>2434273.24477</v>
      </c>
      <c r="L9" s="4" t="str">
        <f>HYPERLINK("http://141.218.60.56/~jnz1568/getInfo.php?workbook=06_02.xlsx&amp;sheet=E0&amp;row=9&amp;col=12&amp;number=2433505.08356&amp;sourceID=30","2433505.08356")</f>
        <v>2433505.08356</v>
      </c>
      <c r="M9" s="4" t="str">
        <f>HYPERLINK("http://141.218.60.56/~jnz1568/getInfo.php?workbook=06_02.xlsx&amp;sheet=E0&amp;row=9&amp;col=13&amp;number=2455345&amp;sourceID=32","2455345")</f>
        <v>2455345</v>
      </c>
    </row>
    <row r="10" spans="1:13">
      <c r="A10" s="3">
        <v>6</v>
      </c>
      <c r="B10" s="3">
        <v>2</v>
      </c>
      <c r="C10" s="3">
        <f/>
        <v>0</v>
      </c>
      <c r="D10" s="3" t="s">
        <v>18</v>
      </c>
      <c r="E10" s="3" t="s">
        <v>20</v>
      </c>
      <c r="F10" s="3">
        <v>1</v>
      </c>
      <c r="G10" s="3">
        <v>1</v>
      </c>
      <c r="H10" s="3">
        <v>1</v>
      </c>
      <c r="I10" s="3">
        <v>1</v>
      </c>
      <c r="J10" s="4" t="str">
        <f>HYPERLINK("http://141.218.60.56/~jnz1568/getInfo.php?workbook=06_02.xlsx&amp;sheet=E0&amp;row=10&amp;col=10&amp;number=2483372.8&amp;sourceID=2","2483372.8")</f>
        <v>2483372.8</v>
      </c>
      <c r="K10" s="4" t="str">
        <f>HYPERLINK("http://141.218.60.56/~jnz1568/getInfo.php?workbook=06_02.xlsx&amp;sheet=E0&amp;row=10&amp;col=11&amp;number=2463573.10806&amp;sourceID=30","2463573.10806")</f>
        <v>2463573.10806</v>
      </c>
      <c r="L10" s="4" t="str">
        <f>HYPERLINK("http://141.218.60.56/~jnz1568/getInfo.php?workbook=06_02.xlsx&amp;sheet=E0&amp;row=10&amp;col=12&amp;number=2462780.80464&amp;sourceID=30","2462780.80464")</f>
        <v>2462780.80464</v>
      </c>
      <c r="M10" s="4" t="str">
        <f>HYPERLINK("http://141.218.60.56/~jnz1568/getInfo.php?workbook=06_02.xlsx&amp;sheet=E0&amp;row=10&amp;col=13&amp;number=2483451&amp;sourceID=32","2483451")</f>
        <v>2483451</v>
      </c>
    </row>
    <row r="11" spans="1:13">
      <c r="A11" s="3">
        <v>6</v>
      </c>
      <c r="B11" s="3">
        <v>2</v>
      </c>
      <c r="C11" s="3">
        <f/>
        <v>0</v>
      </c>
      <c r="D11" s="3" t="s">
        <v>21</v>
      </c>
      <c r="E11" s="3" t="s">
        <v>17</v>
      </c>
      <c r="F11" s="3">
        <v>3</v>
      </c>
      <c r="G11" s="3">
        <v>0</v>
      </c>
      <c r="H11" s="3">
        <v>0</v>
      </c>
      <c r="I11" s="3">
        <v>1</v>
      </c>
      <c r="J11" s="4" t="str">
        <f>HYPERLINK("http://141.218.60.56/~jnz1568/getInfo.php?workbook=06_02.xlsx&amp;sheet=E0&amp;row=11&amp;col=10&amp;number=2839573.8&amp;sourceID=2","2839573.8")</f>
        <v>2839573.8</v>
      </c>
      <c r="K11" s="4" t="str">
        <f>HYPERLINK("http://141.218.60.56/~jnz1568/getInfo.php?workbook=06_02.xlsx&amp;sheet=E0&amp;row=11&amp;col=11&amp;number=2817486.92488&amp;sourceID=30","2817486.92488")</f>
        <v>2817486.92488</v>
      </c>
      <c r="L11" s="4" t="str">
        <f>HYPERLINK("http://141.218.60.56/~jnz1568/getInfo.php?workbook=06_02.xlsx&amp;sheet=E0&amp;row=11&amp;col=12&amp;number=2816713.2768&amp;sourceID=30","2816713.2768")</f>
        <v>2816713.2768</v>
      </c>
      <c r="M11" s="4" t="str">
        <f>HYPERLINK("http://141.218.60.56/~jnz1568/getInfo.php?workbook=06_02.xlsx&amp;sheet=E0&amp;row=11&amp;col=13&amp;number=2839607&amp;sourceID=32","2839607")</f>
        <v>2839607</v>
      </c>
    </row>
    <row r="12" spans="1:13">
      <c r="A12" s="3">
        <v>6</v>
      </c>
      <c r="B12" s="3">
        <v>2</v>
      </c>
      <c r="C12" s="3">
        <f/>
        <v>0</v>
      </c>
      <c r="D12" s="3" t="s">
        <v>21</v>
      </c>
      <c r="E12" s="3" t="s">
        <v>15</v>
      </c>
      <c r="F12" s="3">
        <v>1</v>
      </c>
      <c r="G12" s="3">
        <v>0</v>
      </c>
      <c r="H12" s="3">
        <v>0</v>
      </c>
      <c r="I12" s="3">
        <v>0</v>
      </c>
      <c r="J12" s="4" t="str">
        <f>HYPERLINK("http://141.218.60.56/~jnz1568/getInfo.php?workbook=06_02.xlsx&amp;sheet=E0&amp;row=12&amp;col=10&amp;number=2851180&amp;sourceID=2","2851180")</f>
        <v>2851180</v>
      </c>
      <c r="K12" s="4" t="str">
        <f>HYPERLINK("http://141.218.60.56/~jnz1568/getInfo.php?workbook=06_02.xlsx&amp;sheet=E0&amp;row=12&amp;col=11&amp;number=2830554.44443&amp;sourceID=30","2830554.44443")</f>
        <v>2830554.44443</v>
      </c>
      <c r="L12" s="4" t="str">
        <f>HYPERLINK("http://141.218.60.56/~jnz1568/getInfo.php?workbook=06_02.xlsx&amp;sheet=E0&amp;row=12&amp;col=12&amp;number=2829813.71755&amp;sourceID=30","2829813.71755")</f>
        <v>2829813.71755</v>
      </c>
      <c r="M12" s="4" t="str">
        <f>HYPERLINK("http://141.218.60.56/~jnz1568/getInfo.php?workbook=06_02.xlsx&amp;sheet=E0&amp;row=12&amp;col=13&amp;number=2851202&amp;sourceID=32","2851202")</f>
        <v>2851202</v>
      </c>
    </row>
    <row r="13" spans="1:13">
      <c r="A13" s="3">
        <v>6</v>
      </c>
      <c r="B13" s="3">
        <v>2</v>
      </c>
      <c r="C13" s="3">
        <f/>
        <v>0</v>
      </c>
      <c r="D13" s="3" t="s">
        <v>22</v>
      </c>
      <c r="E13" s="3" t="s">
        <v>19</v>
      </c>
      <c r="F13" s="3">
        <v>3</v>
      </c>
      <c r="G13" s="3">
        <v>1</v>
      </c>
      <c r="H13" s="3">
        <v>1</v>
      </c>
      <c r="I13" s="3">
        <v>1</v>
      </c>
      <c r="J13" s="4" t="str">
        <f>HYPERLINK("http://141.218.60.56/~jnz1568/getInfo.php?workbook=06_02.xlsx&amp;sheet=E0&amp;row=13&amp;col=10&amp;number=2851406&amp;sourceID=2","2851406")</f>
        <v>2851406</v>
      </c>
      <c r="K13" s="4" t="str">
        <f>HYPERLINK("http://141.218.60.56/~jnz1568/getInfo.php?workbook=06_02.xlsx&amp;sheet=E0&amp;row=13&amp;col=11&amp;number=2829454.87653&amp;sourceID=30","2829454.87653")</f>
        <v>2829454.87653</v>
      </c>
      <c r="L13" s="4" t="str">
        <f>HYPERLINK("http://141.218.60.56/~jnz1568/getInfo.php?workbook=06_02.xlsx&amp;sheet=E0&amp;row=13&amp;col=12&amp;number=2828692.20218&amp;sourceID=30","2828692.20218")</f>
        <v>2828692.20218</v>
      </c>
      <c r="M13" s="4" t="str">
        <f>HYPERLINK("http://141.218.60.56/~jnz1568/getInfo.php?workbook=06_02.xlsx&amp;sheet=E0&amp;row=13&amp;col=13&amp;number=2851453&amp;sourceID=32","2851453")</f>
        <v>2851453</v>
      </c>
    </row>
    <row r="14" spans="1:13">
      <c r="A14" s="3">
        <v>6</v>
      </c>
      <c r="B14" s="3">
        <v>2</v>
      </c>
      <c r="C14" s="3">
        <f/>
        <v>0</v>
      </c>
      <c r="D14" s="3" t="s">
        <v>22</v>
      </c>
      <c r="E14" s="3" t="s">
        <v>19</v>
      </c>
      <c r="F14" s="3">
        <v>3</v>
      </c>
      <c r="G14" s="3">
        <v>1</v>
      </c>
      <c r="H14" s="3">
        <v>1</v>
      </c>
      <c r="I14" s="3">
        <v>0</v>
      </c>
      <c r="J14" s="4" t="str">
        <f>HYPERLINK("http://141.218.60.56/~jnz1568/getInfo.php?workbook=06_02.xlsx&amp;sheet=E0&amp;row=14&amp;col=10&amp;number=2851407.5&amp;sourceID=2","2851407.5")</f>
        <v>2851407.5</v>
      </c>
      <c r="K14" s="4" t="str">
        <f>HYPERLINK("http://141.218.60.56/~jnz1568/getInfo.php?workbook=06_02.xlsx&amp;sheet=E0&amp;row=14&amp;col=11&amp;number=2829428.53957&amp;sourceID=30","2829428.53957")</f>
        <v>2829428.53957</v>
      </c>
      <c r="L14" s="4" t="str">
        <f>HYPERLINK("http://141.218.60.56/~jnz1568/getInfo.php?workbook=06_02.xlsx&amp;sheet=E0&amp;row=14&amp;col=12&amp;number=2828693.29956&amp;sourceID=30","2828693.29956")</f>
        <v>2828693.29956</v>
      </c>
      <c r="M14" s="4" t="str">
        <f>HYPERLINK("http://141.218.60.56/~jnz1568/getInfo.php?workbook=06_02.xlsx&amp;sheet=E0&amp;row=14&amp;col=13&amp;number=2851455&amp;sourceID=32","2851455")</f>
        <v>2851455</v>
      </c>
    </row>
    <row r="15" spans="1:13">
      <c r="A15" s="3">
        <v>6</v>
      </c>
      <c r="B15" s="3">
        <v>2</v>
      </c>
      <c r="C15" s="3">
        <f/>
        <v>0</v>
      </c>
      <c r="D15" s="3" t="s">
        <v>22</v>
      </c>
      <c r="E15" s="3" t="s">
        <v>19</v>
      </c>
      <c r="F15" s="3">
        <v>3</v>
      </c>
      <c r="G15" s="3">
        <v>1</v>
      </c>
      <c r="H15" s="3">
        <v>1</v>
      </c>
      <c r="I15" s="3">
        <v>2</v>
      </c>
      <c r="J15" s="4" t="str">
        <f>HYPERLINK("http://141.218.60.56/~jnz1568/getInfo.php?workbook=06_02.xlsx&amp;sheet=E0&amp;row=15&amp;col=10&amp;number=2851446&amp;sourceID=2","2851446")</f>
        <v>2851446</v>
      </c>
      <c r="K15" s="4" t="str">
        <f>HYPERLINK("http://141.218.60.56/~jnz1568/getInfo.php?workbook=06_02.xlsx&amp;sheet=E0&amp;row=15&amp;col=11&amp;number=2829507.55044&amp;sourceID=30","2829507.55044")</f>
        <v>2829507.55044</v>
      </c>
      <c r="L15" s="4" t="str">
        <f>HYPERLINK("http://141.218.60.56/~jnz1568/getInfo.php?workbook=06_02.xlsx&amp;sheet=E0&amp;row=15&amp;col=12&amp;number=2828731.70762&amp;sourceID=30","2828731.70762")</f>
        <v>2828731.70762</v>
      </c>
      <c r="M15" s="4" t="str">
        <f>HYPERLINK("http://141.218.60.56/~jnz1568/getInfo.php?workbook=06_02.xlsx&amp;sheet=E0&amp;row=15&amp;col=13&amp;number=2851493&amp;sourceID=32","2851493")</f>
        <v>2851493</v>
      </c>
    </row>
    <row r="16" spans="1:13">
      <c r="A16" s="3">
        <v>6</v>
      </c>
      <c r="B16" s="3">
        <v>2</v>
      </c>
      <c r="C16" s="3">
        <f/>
        <v>0</v>
      </c>
      <c r="D16" s="3" t="s">
        <v>23</v>
      </c>
      <c r="E16" s="3" t="s">
        <v>24</v>
      </c>
      <c r="F16" s="3">
        <v>3</v>
      </c>
      <c r="G16" s="3">
        <v>2</v>
      </c>
      <c r="H16" s="3">
        <v>0</v>
      </c>
      <c r="I16" s="3">
        <v>1</v>
      </c>
      <c r="J16" s="4" t="str">
        <f>HYPERLINK("http://141.218.60.56/~jnz1568/getInfo.php?workbook=06_02.xlsx&amp;sheet=E0&amp;row=16&amp;col=10&amp;number=2857305.7&amp;sourceID=2","2857305.7")</f>
        <v>2857305.7</v>
      </c>
      <c r="K16" s="4" t="str">
        <f>HYPERLINK("http://141.218.60.56/~jnz1568/getInfo.php?workbook=06_02.xlsx&amp;sheet=E0&amp;row=16&amp;col=11&amp;number=2835115.12727&amp;sourceID=30","2835115.12727")</f>
        <v>2835115.12727</v>
      </c>
      <c r="L16" s="4" t="str">
        <f>HYPERLINK("http://141.218.60.56/~jnz1568/getInfo.php?workbook=06_02.xlsx&amp;sheet=E0&amp;row=16&amp;col=12&amp;number=2834344.77131&amp;sourceID=30","2834344.77131")</f>
        <v>2834344.77131</v>
      </c>
      <c r="M16" s="4" t="str">
        <f>HYPERLINK("http://141.218.60.56/~jnz1568/getInfo.php?workbook=06_02.xlsx&amp;sheet=E0&amp;row=16&amp;col=13&amp;number=2857347&amp;sourceID=32","2857347")</f>
        <v>2857347</v>
      </c>
    </row>
    <row r="17" spans="1:13">
      <c r="A17" s="3">
        <v>6</v>
      </c>
      <c r="B17" s="3">
        <v>2</v>
      </c>
      <c r="C17" s="3">
        <f/>
        <v>0</v>
      </c>
      <c r="D17" s="3" t="s">
        <v>23</v>
      </c>
      <c r="E17" s="3" t="s">
        <v>24</v>
      </c>
      <c r="F17" s="3">
        <v>3</v>
      </c>
      <c r="G17" s="3">
        <v>2</v>
      </c>
      <c r="H17" s="3">
        <v>0</v>
      </c>
      <c r="I17" s="3">
        <v>2</v>
      </c>
      <c r="J17" s="4" t="str">
        <f>HYPERLINK("http://141.218.60.56/~jnz1568/getInfo.php?workbook=06_02.xlsx&amp;sheet=E0&amp;row=17&amp;col=10&amp;number=2857306.5&amp;sourceID=2","2857306.5")</f>
        <v>2857306.5</v>
      </c>
      <c r="K17" s="4" t="str">
        <f>HYPERLINK("http://141.218.60.56/~jnz1568/getInfo.php?workbook=06_02.xlsx&amp;sheet=E0&amp;row=17&amp;col=11&amp;number=2835123.90626&amp;sourceID=30","2835123.90626")</f>
        <v>2835123.90626</v>
      </c>
      <c r="L17" s="4" t="str">
        <f>HYPERLINK("http://141.218.60.56/~jnz1568/getInfo.php?workbook=06_02.xlsx&amp;sheet=E0&amp;row=17&amp;col=12&amp;number=2834345.86869&amp;sourceID=30","2834345.86869")</f>
        <v>2834345.86869</v>
      </c>
      <c r="M17" s="4" t="str">
        <f>HYPERLINK("http://141.218.60.56/~jnz1568/getInfo.php?workbook=06_02.xlsx&amp;sheet=E0&amp;row=17&amp;col=13&amp;number=2857348&amp;sourceID=32","2857348")</f>
        <v>2857348</v>
      </c>
    </row>
    <row r="18" spans="1:13">
      <c r="A18" s="3">
        <v>6</v>
      </c>
      <c r="B18" s="3">
        <v>2</v>
      </c>
      <c r="C18" s="3">
        <f/>
        <v>0</v>
      </c>
      <c r="D18" s="3" t="s">
        <v>23</v>
      </c>
      <c r="E18" s="3" t="s">
        <v>24</v>
      </c>
      <c r="F18" s="3">
        <v>3</v>
      </c>
      <c r="G18" s="3">
        <v>2</v>
      </c>
      <c r="H18" s="3">
        <v>0</v>
      </c>
      <c r="I18" s="3">
        <v>3</v>
      </c>
      <c r="J18" s="4" t="str">
        <f>HYPERLINK("http://141.218.60.56/~jnz1568/getInfo.php?workbook=06_02.xlsx&amp;sheet=E0&amp;row=18&amp;col=10&amp;number=2857318&amp;sourceID=2","2857318")</f>
        <v>2857318</v>
      </c>
      <c r="K18" s="4" t="str">
        <f>HYPERLINK("http://141.218.60.56/~jnz1568/getInfo.php?workbook=06_02.xlsx&amp;sheet=E0&amp;row=18&amp;col=11&amp;number=2835138.17211&amp;sourceID=30","2835138.17211")</f>
        <v>2835138.17211</v>
      </c>
      <c r="L18" s="4" t="str">
        <f>HYPERLINK("http://141.218.60.56/~jnz1568/getInfo.php?workbook=06_02.xlsx&amp;sheet=E0&amp;row=18&amp;col=12&amp;number=2834357.93979&amp;sourceID=30","2834357.93979")</f>
        <v>2834357.93979</v>
      </c>
      <c r="M18" s="4" t="str">
        <f>HYPERLINK("http://141.218.60.56/~jnz1568/getInfo.php?workbook=06_02.xlsx&amp;sheet=E0&amp;row=18&amp;col=13&amp;number=2857359&amp;sourceID=32","2857359")</f>
        <v>2857359</v>
      </c>
    </row>
    <row r="19" spans="1:13">
      <c r="A19" s="3">
        <v>6</v>
      </c>
      <c r="B19" s="3">
        <v>2</v>
      </c>
      <c r="C19" s="3">
        <f/>
        <v>0</v>
      </c>
      <c r="D19" s="3" t="s">
        <v>23</v>
      </c>
      <c r="E19" s="3" t="s">
        <v>25</v>
      </c>
      <c r="F19" s="3">
        <v>1</v>
      </c>
      <c r="G19" s="3">
        <v>2</v>
      </c>
      <c r="H19" s="3">
        <v>0</v>
      </c>
      <c r="I19" s="3">
        <v>2</v>
      </c>
      <c r="J19" s="4" t="str">
        <f>HYPERLINK("http://141.218.60.56/~jnz1568/getInfo.php?workbook=06_02.xlsx&amp;sheet=E0&amp;row=19&amp;col=10&amp;number=2857530.3&amp;sourceID=2","2857530.3")</f>
        <v>2857530.3</v>
      </c>
      <c r="K19" s="4" t="str">
        <f>HYPERLINK("http://141.218.60.56/~jnz1568/getInfo.php?workbook=06_02.xlsx&amp;sheet=E0&amp;row=19&amp;col=11&amp;number=2835400.44429&amp;sourceID=30","2835400.44429")</f>
        <v>2835400.44429</v>
      </c>
      <c r="L19" s="4" t="str">
        <f>HYPERLINK("http://141.218.60.56/~jnz1568/getInfo.php?workbook=06_02.xlsx&amp;sheet=E0&amp;row=19&amp;col=12&amp;number=2834622.40672&amp;sourceID=30","2834622.40672")</f>
        <v>2834622.40672</v>
      </c>
      <c r="M19" s="4" t="str">
        <f>HYPERLINK("http://141.218.60.56/~jnz1568/getInfo.php?workbook=06_02.xlsx&amp;sheet=E0&amp;row=19&amp;col=13&amp;number=2857580&amp;sourceID=32","2857580")</f>
        <v>2857580</v>
      </c>
    </row>
    <row r="20" spans="1:13">
      <c r="A20" s="3">
        <v>6</v>
      </c>
      <c r="B20" s="3">
        <v>2</v>
      </c>
      <c r="C20" s="3">
        <f/>
        <v>0</v>
      </c>
      <c r="D20" s="3" t="s">
        <v>22</v>
      </c>
      <c r="E20" s="3" t="s">
        <v>20</v>
      </c>
      <c r="F20" s="3">
        <v>1</v>
      </c>
      <c r="G20" s="3">
        <v>1</v>
      </c>
      <c r="H20" s="3">
        <v>1</v>
      </c>
      <c r="I20" s="3">
        <v>1</v>
      </c>
      <c r="J20" s="4" t="str">
        <f>HYPERLINK("http://141.218.60.56/~jnz1568/getInfo.php?workbook=06_02.xlsx&amp;sheet=E0&amp;row=20&amp;col=10&amp;number=2859368.6&amp;sourceID=2","2859368.6")</f>
        <v>2859368.6</v>
      </c>
      <c r="K20" s="4" t="str">
        <f>HYPERLINK("http://141.218.60.56/~jnz1568/getInfo.php?workbook=06_02.xlsx&amp;sheet=E0&amp;row=20&amp;col=11&amp;number=2837983.6607&amp;sourceID=30","2837983.6607")</f>
        <v>2837983.6607</v>
      </c>
      <c r="L20" s="4" t="str">
        <f>HYPERLINK("http://141.218.60.56/~jnz1568/getInfo.php?workbook=06_02.xlsx&amp;sheet=E0&amp;row=20&amp;col=12&amp;number=2837202.33101&amp;sourceID=30","2837202.33101")</f>
        <v>2837202.33101</v>
      </c>
      <c r="M20" s="4" t="str">
        <f>HYPERLINK("http://141.218.60.56/~jnz1568/getInfo.php?workbook=06_02.xlsx&amp;sheet=E0&amp;row=20&amp;col=13&amp;number=2859425&amp;sourceID=32","2859425")</f>
        <v>2859425</v>
      </c>
    </row>
    <row r="21" spans="1:13">
      <c r="A21" s="3">
        <v>6</v>
      </c>
      <c r="B21" s="3">
        <v>2</v>
      </c>
      <c r="C21" s="3">
        <f/>
        <v>0</v>
      </c>
      <c r="D21" s="3" t="s">
        <v>26</v>
      </c>
      <c r="E21" s="3" t="s">
        <v>17</v>
      </c>
      <c r="F21" s="3">
        <v>3</v>
      </c>
      <c r="G21" s="3">
        <v>0</v>
      </c>
      <c r="H21" s="3">
        <v>0</v>
      </c>
      <c r="I21" s="3">
        <v>1</v>
      </c>
      <c r="J21" s="4" t="str">
        <f>HYPERLINK("http://141.218.60.56/~jnz1568/getInfo.php?workbook=06_02.xlsx&amp;sheet=E0&amp;row=21&amp;col=10&amp;number=2983544.9&amp;sourceID=2","2983544.9")</f>
        <v>2983544.9</v>
      </c>
      <c r="K21" s="4" t="str">
        <f>HYPERLINK("http://141.218.60.56/~jnz1568/getInfo.php?workbook=06_02.xlsx&amp;sheet=E0&amp;row=21&amp;col=11&amp;number=2961362.4221&amp;sourceID=30","2961362.4221")</f>
        <v>2961362.4221</v>
      </c>
      <c r="L21" s="4" t="str">
        <f>HYPERLINK("http://141.218.60.56/~jnz1568/getInfo.php?workbook=06_02.xlsx&amp;sheet=E0&amp;row=21&amp;col=12&amp;number=2960586.57928&amp;sourceID=30","2960586.57928")</f>
        <v>2960586.57928</v>
      </c>
      <c r="M21" s="4" t="str">
        <f>HYPERLINK("http://141.218.60.56/~jnz1568/getInfo.php?workbook=06_02.xlsx&amp;sheet=E0&amp;row=21&amp;col=13&amp;number=2983583&amp;sourceID=32","2983583")</f>
        <v>2983583</v>
      </c>
    </row>
    <row r="22" spans="1:13">
      <c r="A22" s="3">
        <v>6</v>
      </c>
      <c r="B22" s="3">
        <v>2</v>
      </c>
      <c r="C22" s="3">
        <f/>
        <v>0</v>
      </c>
      <c r="D22" s="3" t="s">
        <v>26</v>
      </c>
      <c r="E22" s="3" t="s">
        <v>15</v>
      </c>
      <c r="F22" s="3">
        <v>1</v>
      </c>
      <c r="G22" s="3">
        <v>0</v>
      </c>
      <c r="H22" s="3">
        <v>0</v>
      </c>
      <c r="I22" s="3">
        <v>0</v>
      </c>
      <c r="J22" s="4" t="str">
        <f>HYPERLINK("http://141.218.60.56/~jnz1568/getInfo.php?workbook=06_02.xlsx&amp;sheet=E0&amp;row=22&amp;col=10&amp;number=2988246.2&amp;sourceID=2","2988246.2")</f>
        <v>2988246.2</v>
      </c>
      <c r="K22" s="4" t="str">
        <f>HYPERLINK("http://141.218.60.56/~jnz1568/getInfo.php?workbook=06_02.xlsx&amp;sheet=E0&amp;row=22&amp;col=11&amp;number=2966836.11941&amp;sourceID=30","2966836.11941")</f>
        <v>2966836.11941</v>
      </c>
      <c r="L22" s="4" t="str">
        <f>HYPERLINK("http://141.218.60.56/~jnz1568/getInfo.php?workbook=06_02.xlsx&amp;sheet=E0&amp;row=22&amp;col=12&amp;number=2966075.63981&amp;sourceID=30","2966075.63981")</f>
        <v>2966075.63981</v>
      </c>
      <c r="M22" s="4" t="str">
        <f>HYPERLINK("http://141.218.60.56/~jnz1568/getInfo.php?workbook=06_02.xlsx&amp;sheet=E0&amp;row=22&amp;col=13&amp;number=2988274&amp;sourceID=32","2988274")</f>
        <v>2988274</v>
      </c>
    </row>
    <row r="23" spans="1:13">
      <c r="A23" s="3">
        <v>6</v>
      </c>
      <c r="B23" s="3">
        <v>2</v>
      </c>
      <c r="C23" s="3">
        <f/>
        <v>0</v>
      </c>
      <c r="D23" s="3" t="s">
        <v>27</v>
      </c>
      <c r="E23" s="3" t="s">
        <v>19</v>
      </c>
      <c r="F23" s="3">
        <v>3</v>
      </c>
      <c r="G23" s="3">
        <v>1</v>
      </c>
      <c r="H23" s="3">
        <v>1</v>
      </c>
      <c r="I23" s="3">
        <v>0</v>
      </c>
      <c r="J23" s="4" t="str">
        <f>HYPERLINK("http://141.218.60.56/~jnz1568/getInfo.php?workbook=06_02.xlsx&amp;sheet=E0&amp;row=23&amp;col=10&amp;number=2988359&amp;sourceID=2","2988359")</f>
        <v>2988359</v>
      </c>
      <c r="K23" s="4" t="str">
        <f>HYPERLINK("http://141.218.60.56/~jnz1568/getInfo.php?workbook=06_02.xlsx&amp;sheet=E0&amp;row=23&amp;col=11&amp;number=2966225.97993&amp;sourceID=30","2966225.97993")</f>
        <v>2966225.97993</v>
      </c>
      <c r="L23" s="4" t="str">
        <f>HYPERLINK("http://141.218.60.56/~jnz1568/getInfo.php?workbook=06_02.xlsx&amp;sheet=E0&amp;row=23&amp;col=12&amp;number=2965465.50033&amp;sourceID=30","2965465.50033")</f>
        <v>2965465.50033</v>
      </c>
      <c r="M23" s="4" t="str">
        <f>HYPERLINK("http://141.218.60.56/~jnz1568/getInfo.php?workbook=06_02.xlsx&amp;sheet=E0&amp;row=23&amp;col=13&amp;number=2988412&amp;sourceID=32","2988412")</f>
        <v>2988412</v>
      </c>
    </row>
    <row r="24" spans="1:13">
      <c r="A24" s="3">
        <v>6</v>
      </c>
      <c r="B24" s="3">
        <v>2</v>
      </c>
      <c r="C24" s="3">
        <f/>
        <v>0</v>
      </c>
      <c r="D24" s="3" t="s">
        <v>27</v>
      </c>
      <c r="E24" s="3" t="s">
        <v>19</v>
      </c>
      <c r="F24" s="3">
        <v>3</v>
      </c>
      <c r="G24" s="3">
        <v>1</v>
      </c>
      <c r="H24" s="3">
        <v>1</v>
      </c>
      <c r="I24" s="3">
        <v>1</v>
      </c>
      <c r="J24" s="4" t="str">
        <f>HYPERLINK("http://141.218.60.56/~jnz1568/getInfo.php?workbook=06_02.xlsx&amp;sheet=E0&amp;row=24&amp;col=10&amp;number=2988359&amp;sourceID=2","2988359")</f>
        <v>2988359</v>
      </c>
      <c r="K24" s="4" t="str">
        <f>HYPERLINK("http://141.218.60.56/~jnz1568/getInfo.php?workbook=06_02.xlsx&amp;sheet=E0&amp;row=24&amp;col=11&amp;number=2966236.95366&amp;sourceID=30","2966236.95366")</f>
        <v>2966236.95366</v>
      </c>
      <c r="L24" s="4" t="str">
        <f>HYPERLINK("http://141.218.60.56/~jnz1568/getInfo.php?workbook=06_02.xlsx&amp;sheet=E0&amp;row=24&amp;col=12&amp;number=2965465.50033&amp;sourceID=30","2965465.50033")</f>
        <v>2965465.50033</v>
      </c>
      <c r="M24" s="4" t="str">
        <f>HYPERLINK("http://141.218.60.56/~jnz1568/getInfo.php?workbook=06_02.xlsx&amp;sheet=E0&amp;row=24&amp;col=13&amp;number=2988412&amp;sourceID=32","2988412")</f>
        <v>2988412</v>
      </c>
    </row>
    <row r="25" spans="1:13">
      <c r="A25" s="3">
        <v>6</v>
      </c>
      <c r="B25" s="3">
        <v>2</v>
      </c>
      <c r="C25" s="3">
        <f/>
        <v>0</v>
      </c>
      <c r="D25" s="3" t="s">
        <v>27</v>
      </c>
      <c r="E25" s="3" t="s">
        <v>19</v>
      </c>
      <c r="F25" s="3">
        <v>3</v>
      </c>
      <c r="G25" s="3">
        <v>1</v>
      </c>
      <c r="H25" s="3">
        <v>1</v>
      </c>
      <c r="I25" s="3">
        <v>2</v>
      </c>
      <c r="J25" s="4" t="str">
        <f>HYPERLINK("http://141.218.60.56/~jnz1568/getInfo.php?workbook=06_02.xlsx&amp;sheet=E0&amp;row=25&amp;col=10&amp;number=2988374.3&amp;sourceID=2","2988374.3")</f>
        <v>2988374.3</v>
      </c>
      <c r="K25" s="4" t="str">
        <f>HYPERLINK("http://141.218.60.56/~jnz1568/getInfo.php?workbook=06_02.xlsx&amp;sheet=E0&amp;row=25&amp;col=11&amp;number=2966258.90113&amp;sourceID=30","2966258.90113")</f>
        <v>2966258.90113</v>
      </c>
      <c r="L25" s="4" t="str">
        <f>HYPERLINK("http://141.218.60.56/~jnz1568/getInfo.php?workbook=06_02.xlsx&amp;sheet=E0&amp;row=25&amp;col=12&amp;number=2965481.96093&amp;sourceID=30","2965481.96093")</f>
        <v>2965481.96093</v>
      </c>
      <c r="M25" s="4" t="str">
        <f>HYPERLINK("http://141.218.60.56/~jnz1568/getInfo.php?workbook=06_02.xlsx&amp;sheet=E0&amp;row=25&amp;col=13&amp;number=2988430&amp;sourceID=32","2988430")</f>
        <v>2988430</v>
      </c>
    </row>
    <row r="26" spans="1:13">
      <c r="A26" s="3">
        <v>6</v>
      </c>
      <c r="B26" s="3">
        <v>2</v>
      </c>
      <c r="C26" s="3">
        <f/>
        <v>0</v>
      </c>
      <c r="D26" s="3" t="s">
        <v>28</v>
      </c>
      <c r="E26" s="3" t="s">
        <v>24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HYPERLINK("http://141.218.60.56/~jnz1568/getInfo.php?workbook=06_02.xlsx&amp;sheet=E0&amp;row=26&amp;col=10&amp;number=2990776&amp;sourceID=2","2990776")</f>
        <v>2990776</v>
      </c>
      <c r="K26" s="4" t="str">
        <f>HYPERLINK("http://141.218.60.56/~jnz1568/getInfo.php?workbook=06_02.xlsx&amp;sheet=E0&amp;row=26&amp;col=11&amp;number=2968572.16374&amp;sourceID=30","2968572.16374")</f>
        <v>2968572.16374</v>
      </c>
      <c r="L26" s="4" t="str">
        <f>HYPERLINK("http://141.218.60.56/~jnz1568/getInfo.php?workbook=06_02.xlsx&amp;sheet=E0&amp;row=26&amp;col=12&amp;number=2967797.41829&amp;sourceID=30","2967797.41829")</f>
        <v>2967797.41829</v>
      </c>
      <c r="M26" s="4" t="str">
        <f>HYPERLINK("http://141.218.60.56/~jnz1568/getInfo.php?workbook=06_02.xlsx&amp;sheet=E0&amp;row=26&amp;col=13&amp;number=2990846&amp;sourceID=32","2990846")</f>
        <v>2990846</v>
      </c>
    </row>
    <row r="27" spans="1:13">
      <c r="A27" s="3">
        <v>6</v>
      </c>
      <c r="B27" s="3">
        <v>2</v>
      </c>
      <c r="C27" s="3">
        <f/>
        <v>0</v>
      </c>
      <c r="D27" s="3" t="s">
        <v>28</v>
      </c>
      <c r="E27" s="3" t="s">
        <v>24</v>
      </c>
      <c r="F27" s="3">
        <v>3</v>
      </c>
      <c r="G27" s="3">
        <v>2</v>
      </c>
      <c r="H27" s="3">
        <v>0</v>
      </c>
      <c r="I27" s="3">
        <v>2</v>
      </c>
      <c r="J27" s="4" t="str">
        <f>HYPERLINK("http://141.218.60.56/~jnz1568/getInfo.php?workbook=06_02.xlsx&amp;sheet=E0&amp;row=27&amp;col=10&amp;number=2990776&amp;sourceID=2","2990776")</f>
        <v>2990776</v>
      </c>
      <c r="K27" s="4" t="str">
        <f>HYPERLINK("http://141.218.60.56/~jnz1568/getInfo.php?workbook=06_02.xlsx&amp;sheet=E0&amp;row=27&amp;col=11&amp;number=2968575.45586&amp;sourceID=30","2968575.45586")</f>
        <v>2968575.45586</v>
      </c>
      <c r="L27" s="4" t="str">
        <f>HYPERLINK("http://141.218.60.56/~jnz1568/getInfo.php?workbook=06_02.xlsx&amp;sheet=E0&amp;row=27&amp;col=12&amp;number=2967798.51567&amp;sourceID=30","2967798.51567")</f>
        <v>2967798.51567</v>
      </c>
      <c r="M27" s="4" t="str">
        <f>HYPERLINK("http://141.218.60.56/~jnz1568/getInfo.php?workbook=06_02.xlsx&amp;sheet=E0&amp;row=27&amp;col=13&amp;number=2990847&amp;sourceID=32","2990847")</f>
        <v>2990847</v>
      </c>
    </row>
    <row r="28" spans="1:13">
      <c r="A28" s="3">
        <v>6</v>
      </c>
      <c r="B28" s="3">
        <v>2</v>
      </c>
      <c r="C28" s="3">
        <f/>
        <v>0</v>
      </c>
      <c r="D28" s="3" t="s">
        <v>28</v>
      </c>
      <c r="E28" s="3" t="s">
        <v>24</v>
      </c>
      <c r="F28" s="3">
        <v>3</v>
      </c>
      <c r="G28" s="3">
        <v>2</v>
      </c>
      <c r="H28" s="3">
        <v>0</v>
      </c>
      <c r="I28" s="3">
        <v>3</v>
      </c>
      <c r="J28" s="4" t="str">
        <f>HYPERLINK("http://141.218.60.56/~jnz1568/getInfo.php?workbook=06_02.xlsx&amp;sheet=E0&amp;row=28&amp;col=10&amp;number=2990803.1&amp;sourceID=2","2990803.1")</f>
        <v>2990803.1</v>
      </c>
      <c r="K28" s="4" t="str">
        <f>HYPERLINK("http://141.218.60.56/~jnz1568/getInfo.php?workbook=06_02.xlsx&amp;sheet=E0&amp;row=28&amp;col=11&amp;number=2968582.0401&amp;sourceID=30","2968582.0401")</f>
        <v>2968582.0401</v>
      </c>
      <c r="L28" s="4" t="str">
        <f>HYPERLINK("http://141.218.60.56/~jnz1568/getInfo.php?workbook=06_02.xlsx&amp;sheet=E0&amp;row=28&amp;col=12&amp;number=2967802.90516&amp;sourceID=30","2967802.90516")</f>
        <v>2967802.90516</v>
      </c>
      <c r="M28" s="4" t="str">
        <f>HYPERLINK("http://141.218.60.56/~jnz1568/getInfo.php?workbook=06_02.xlsx&amp;sheet=E0&amp;row=28&amp;col=13&amp;number=2990851&amp;sourceID=32","2990851")</f>
        <v>2990851</v>
      </c>
    </row>
    <row r="29" spans="1:13">
      <c r="A29" s="3">
        <v>6</v>
      </c>
      <c r="B29" s="3">
        <v>2</v>
      </c>
      <c r="C29" s="3">
        <f/>
        <v>0</v>
      </c>
      <c r="D29" s="3" t="s">
        <v>29</v>
      </c>
      <c r="E29" s="3" t="s">
        <v>30</v>
      </c>
      <c r="F29" s="3">
        <v>1</v>
      </c>
      <c r="G29" s="3">
        <v>3</v>
      </c>
      <c r="H29" s="3">
        <v>1</v>
      </c>
      <c r="I29" s="3">
        <v>3</v>
      </c>
      <c r="J29" s="4" t="str">
        <f>HYPERLINK("http://141.218.60.56/~jnz1568/getInfo.php?workbook=06_02.xlsx&amp;sheet=E0&amp;row=29&amp;col=10&amp;number=2990923&amp;sourceID=2","2990923")</f>
        <v>2990923</v>
      </c>
      <c r="K29" s="4" t="str">
        <f>HYPERLINK("http://141.218.60.56/~jnz1568/getInfo.php?workbook=06_02.xlsx&amp;sheet=E0&amp;row=29&amp;col=11&amp;number=2968686.29055&amp;sourceID=30","2968686.29055")</f>
        <v>2968686.29055</v>
      </c>
      <c r="L29" s="4" t="str">
        <f>HYPERLINK("http://141.218.60.56/~jnz1568/getInfo.php?workbook=06_02.xlsx&amp;sheet=E0&amp;row=29&amp;col=12&amp;number=2967909.35035&amp;sourceID=30","2967909.35035")</f>
        <v>2967909.35035</v>
      </c>
      <c r="M29" s="4" t="str">
        <f>HYPERLINK("http://141.218.60.56/~jnz1568/getInfo.php?workbook=06_02.xlsx&amp;sheet=E0&amp;row=29&amp;col=13&amp;number=2990978&amp;sourceID=32","2990978")</f>
        <v>2990978</v>
      </c>
    </row>
    <row r="30" spans="1:13">
      <c r="A30" s="3">
        <v>6</v>
      </c>
      <c r="B30" s="3">
        <v>2</v>
      </c>
      <c r="C30" s="3">
        <f/>
        <v>0</v>
      </c>
      <c r="D30" s="3" t="s">
        <v>29</v>
      </c>
      <c r="E30" s="3" t="s">
        <v>31</v>
      </c>
      <c r="F30" s="3">
        <v>3</v>
      </c>
      <c r="G30" s="3">
        <v>3</v>
      </c>
      <c r="H30" s="3">
        <v>1</v>
      </c>
      <c r="I30" s="3">
        <v>2</v>
      </c>
      <c r="J30" s="4" t="str">
        <f>HYPERLINK("http://141.218.60.56/~jnz1568/getInfo.php?workbook=06_02.xlsx&amp;sheet=E0&amp;row=30&amp;col=10&amp;number=2990923.4&amp;sourceID=2","2990923.4")</f>
        <v>2990923.4</v>
      </c>
      <c r="K30" s="4" t="str">
        <f>HYPERLINK("http://141.218.60.56/~jnz1568/getInfo.php?workbook=06_02.xlsx&amp;sheet=E0&amp;row=30&amp;col=11&amp;number=2968679.70631&amp;sourceID=30","2968679.70631")</f>
        <v>2968679.70631</v>
      </c>
      <c r="L30" s="4" t="str">
        <f>HYPERLINK("http://141.218.60.56/~jnz1568/getInfo.php?workbook=06_02.xlsx&amp;sheet=E0&amp;row=30&amp;col=12&amp;number=2967903.86349&amp;sourceID=30","2967903.86349")</f>
        <v>2967903.86349</v>
      </c>
      <c r="M30" s="4" t="str">
        <f>HYPERLINK("http://141.218.60.56/~jnz1568/getInfo.php?workbook=06_02.xlsx&amp;sheet=E0&amp;row=30&amp;col=13&amp;number=2990979&amp;sourceID=32","2990979")</f>
        <v>2990979</v>
      </c>
    </row>
    <row r="31" spans="1:13">
      <c r="A31" s="3">
        <v>6</v>
      </c>
      <c r="B31" s="3">
        <v>2</v>
      </c>
      <c r="C31" s="3">
        <f/>
        <v>0</v>
      </c>
      <c r="D31" s="3" t="s">
        <v>29</v>
      </c>
      <c r="E31" s="3" t="s">
        <v>31</v>
      </c>
      <c r="F31" s="3">
        <v>3</v>
      </c>
      <c r="G31" s="3">
        <v>3</v>
      </c>
      <c r="H31" s="3">
        <v>1</v>
      </c>
      <c r="I31" s="3">
        <v>3</v>
      </c>
      <c r="J31" s="4" t="str">
        <f>HYPERLINK("http://141.218.60.56/~jnz1568/getInfo.php?workbook=06_02.xlsx&amp;sheet=E0&amp;row=31&amp;col=10&amp;number=2990923.4&amp;sourceID=2","2990923.4")</f>
        <v>2990923.4</v>
      </c>
      <c r="K31" s="4" t="str">
        <f>HYPERLINK("http://141.218.60.56/~jnz1568/getInfo.php?workbook=06_02.xlsx&amp;sheet=E0&amp;row=31&amp;col=11&amp;number=2968680.80368&amp;sourceID=30","2968680.80368")</f>
        <v>2968680.80368</v>
      </c>
      <c r="L31" s="4" t="str">
        <f>HYPERLINK("http://141.218.60.56/~jnz1568/getInfo.php?workbook=06_02.xlsx&amp;sheet=E0&amp;row=31&amp;col=12&amp;number=2967901.66874&amp;sourceID=30","2967901.66874")</f>
        <v>2967901.66874</v>
      </c>
      <c r="M31" s="4" t="str">
        <f>HYPERLINK("http://141.218.60.56/~jnz1568/getInfo.php?workbook=06_02.xlsx&amp;sheet=E0&amp;row=31&amp;col=13&amp;number=2990984&amp;sourceID=32","2990984")</f>
        <v>2990984</v>
      </c>
    </row>
    <row r="32" spans="1:13">
      <c r="A32" s="3">
        <v>6</v>
      </c>
      <c r="B32" s="3">
        <v>2</v>
      </c>
      <c r="C32" s="3">
        <f/>
        <v>0</v>
      </c>
      <c r="D32" s="3" t="s">
        <v>29</v>
      </c>
      <c r="E32" s="3" t="s">
        <v>31</v>
      </c>
      <c r="F32" s="3">
        <v>3</v>
      </c>
      <c r="G32" s="3">
        <v>3</v>
      </c>
      <c r="H32" s="3">
        <v>1</v>
      </c>
      <c r="I32" s="3">
        <v>4</v>
      </c>
      <c r="J32" s="4" t="str">
        <f>HYPERLINK("http://141.218.60.56/~jnz1568/getInfo.php?workbook=06_02.xlsx&amp;sheet=E0&amp;row=32&amp;col=10&amp;number=2990923.4&amp;sourceID=2","2990923.4")</f>
        <v>2990923.4</v>
      </c>
      <c r="K32" s="4" t="str">
        <f>HYPERLINK("http://141.218.60.56/~jnz1568/getInfo.php?workbook=06_02.xlsx&amp;sheet=E0&amp;row=32&amp;col=11&amp;number=2968685.19318&amp;sourceID=30","2968685.19318")</f>
        <v>2968685.19318</v>
      </c>
      <c r="L32" s="4" t="str">
        <f>HYPERLINK("http://141.218.60.56/~jnz1568/getInfo.php?workbook=06_02.xlsx&amp;sheet=E0&amp;row=32&amp;col=12&amp;number=2967906.05823&amp;sourceID=30","2967906.05823")</f>
        <v>2967906.05823</v>
      </c>
      <c r="M32" s="4" t="str">
        <f>HYPERLINK("http://141.218.60.56/~jnz1568/getInfo.php?workbook=06_02.xlsx&amp;sheet=E0&amp;row=32&amp;col=13&amp;number=&amp;sourceID=32","")</f>
        <v/>
      </c>
    </row>
    <row r="33" spans="1:13">
      <c r="A33" s="3">
        <v>6</v>
      </c>
      <c r="B33" s="3">
        <v>2</v>
      </c>
      <c r="C33" s="3">
        <f/>
        <v>0</v>
      </c>
      <c r="D33" s="3" t="s">
        <v>28</v>
      </c>
      <c r="E33" s="3" t="s">
        <v>25</v>
      </c>
      <c r="F33" s="3">
        <v>1</v>
      </c>
      <c r="G33" s="3">
        <v>2</v>
      </c>
      <c r="H33" s="3">
        <v>0</v>
      </c>
      <c r="I33" s="3">
        <v>2</v>
      </c>
      <c r="J33" s="4" t="str">
        <f>HYPERLINK("http://141.218.60.56/~jnz1568/getInfo.php?workbook=06_02.xlsx&amp;sheet=E0&amp;row=33&amp;col=10&amp;number=2990929.5&amp;sourceID=2","2990929.5")</f>
        <v>2990929.5</v>
      </c>
      <c r="K33" s="4" t="str">
        <f>HYPERLINK("http://141.218.60.56/~jnz1568/getInfo.php?workbook=06_02.xlsx&amp;sheet=E0&amp;row=33&amp;col=11&amp;number=2968727.99073&amp;sourceID=30","2968727.99073")</f>
        <v>2968727.99073</v>
      </c>
      <c r="L33" s="4" t="str">
        <f>HYPERLINK("http://141.218.60.56/~jnz1568/getInfo.php?workbook=06_02.xlsx&amp;sheet=E0&amp;row=33&amp;col=12&amp;number=2967949.95316&amp;sourceID=30","2967949.95316")</f>
        <v>2967949.95316</v>
      </c>
      <c r="M33" s="4" t="str">
        <f>HYPERLINK("http://141.218.60.56/~jnz1568/getInfo.php?workbook=06_02.xlsx&amp;sheet=E0&amp;row=33&amp;col=13&amp;number=2990973&amp;sourceID=32","2990973")</f>
        <v>2990973</v>
      </c>
    </row>
    <row r="34" spans="1:13">
      <c r="A34" s="3">
        <v>6</v>
      </c>
      <c r="B34" s="3">
        <v>2</v>
      </c>
      <c r="C34" s="3">
        <f/>
        <v>0</v>
      </c>
      <c r="D34" s="3" t="s">
        <v>27</v>
      </c>
      <c r="E34" s="3" t="s">
        <v>20</v>
      </c>
      <c r="F34" s="3">
        <v>1</v>
      </c>
      <c r="G34" s="3">
        <v>1</v>
      </c>
      <c r="H34" s="3">
        <v>1</v>
      </c>
      <c r="I34" s="3">
        <v>1</v>
      </c>
      <c r="J34" s="4" t="str">
        <f>HYPERLINK("http://141.218.60.56/~jnz1568/getInfo.php?workbook=06_02.xlsx&amp;sheet=E0&amp;row=34&amp;col=10&amp;number=2991662.4&amp;sourceID=2","2991662.4")</f>
        <v>2991662.4</v>
      </c>
      <c r="K34" s="4" t="str">
        <f>HYPERLINK("http://141.218.60.56/~jnz1568/getInfo.php?workbook=06_02.xlsx&amp;sheet=E0&amp;row=34&amp;col=11&amp;number=2969844.01923&amp;sourceID=30","2969844.01923")</f>
        <v>2969844.01923</v>
      </c>
      <c r="L34" s="4" t="str">
        <f>HYPERLINK("http://141.218.60.56/~jnz1568/getInfo.php?workbook=06_02.xlsx&amp;sheet=E0&amp;row=34&amp;col=12&amp;number=2969064.88429&amp;sourceID=30","2969064.88429")</f>
        <v>2969064.88429</v>
      </c>
      <c r="M34" s="4" t="str">
        <f>HYPERLINK("http://141.218.60.56/~jnz1568/getInfo.php?workbook=06_02.xlsx&amp;sheet=E0&amp;row=34&amp;col=13&amp;number=2991712&amp;sourceID=32","2991712")</f>
        <v>2991712</v>
      </c>
    </row>
    <row r="35" spans="1:13">
      <c r="A35" s="3">
        <v>6</v>
      </c>
      <c r="B35" s="3">
        <v>2</v>
      </c>
      <c r="C35" s="3">
        <f/>
        <v>0</v>
      </c>
      <c r="D35" s="3" t="s">
        <v>32</v>
      </c>
      <c r="E35" s="3" t="s">
        <v>17</v>
      </c>
      <c r="F35" s="3">
        <v>3</v>
      </c>
      <c r="G35" s="3">
        <v>0</v>
      </c>
      <c r="H35" s="3">
        <v>0</v>
      </c>
      <c r="I35" s="3">
        <v>1</v>
      </c>
      <c r="J35" s="4" t="str">
        <f>HYPERLINK("http://141.218.60.56/~jnz1568/getInfo.php?workbook=06_02.xlsx&amp;sheet=E0&amp;row=35&amp;col=10&amp;number=3048932.7&amp;sourceID=2","3048932.7")</f>
        <v>3048932.7</v>
      </c>
      <c r="K35" s="4" t="str">
        <f>HYPERLINK("http://141.218.60.56/~jnz1568/getInfo.php?workbook=06_02.xlsx&amp;sheet=E0&amp;row=35&amp;col=11&amp;number=3026720.86995&amp;sourceID=30","3026720.86995")</f>
        <v>3026720.86995</v>
      </c>
      <c r="L35" s="4" t="str">
        <f>HYPERLINK("http://141.218.60.56/~jnz1568/getInfo.php?workbook=06_02.xlsx&amp;sheet=E0&amp;row=35&amp;col=12&amp;number=3025943.92975&amp;sourceID=30","3025943.92975")</f>
        <v>3025943.92975</v>
      </c>
      <c r="M35" s="4" t="str">
        <f>HYPERLINK("http://141.218.60.56/~jnz1568/getInfo.php?workbook=06_02.xlsx&amp;sheet=E0&amp;row=35&amp;col=13&amp;number=3048979&amp;sourceID=32","3048979")</f>
        <v>3048979</v>
      </c>
    </row>
    <row r="36" spans="1:13">
      <c r="A36" s="3">
        <v>6</v>
      </c>
      <c r="B36" s="3">
        <v>2</v>
      </c>
      <c r="C36" s="3">
        <f/>
        <v>0</v>
      </c>
      <c r="D36" s="3" t="s">
        <v>32</v>
      </c>
      <c r="E36" s="3" t="s">
        <v>15</v>
      </c>
      <c r="F36" s="3">
        <v>1</v>
      </c>
      <c r="G36" s="3">
        <v>0</v>
      </c>
      <c r="H36" s="3">
        <v>0</v>
      </c>
      <c r="I36" s="3">
        <v>0</v>
      </c>
      <c r="J36" s="4" t="str">
        <f>HYPERLINK("http://141.218.60.56/~jnz1568/getInfo.php?workbook=06_02.xlsx&amp;sheet=E0&amp;row=36&amp;col=10&amp;number=3051280.4&amp;sourceID=2","3051280.4")</f>
        <v>3051280.4</v>
      </c>
      <c r="K36" s="4" t="str">
        <f>HYPERLINK("http://141.218.60.56/~jnz1568/getInfo.php?workbook=06_02.xlsx&amp;sheet=E0&amp;row=36&amp;col=11&amp;number=3029612.44822&amp;sourceID=30","3029612.44822")</f>
        <v>3029612.44822</v>
      </c>
      <c r="L36" s="4" t="str">
        <f>HYPERLINK("http://141.218.60.56/~jnz1568/getInfo.php?workbook=06_02.xlsx&amp;sheet=E0&amp;row=36&amp;col=12&amp;number=3028844.28701&amp;sourceID=30","3028844.28701")</f>
        <v>3028844.28701</v>
      </c>
      <c r="M36" s="4" t="str">
        <f>HYPERLINK("http://141.218.60.56/~jnz1568/getInfo.php?workbook=06_02.xlsx&amp;sheet=E0&amp;row=36&amp;col=13&amp;number=3051331&amp;sourceID=32","3051331")</f>
        <v>3051331</v>
      </c>
    </row>
    <row r="37" spans="1:13">
      <c r="A37" s="3">
        <v>6</v>
      </c>
      <c r="B37" s="3">
        <v>2</v>
      </c>
      <c r="C37" s="3">
        <f/>
        <v>0</v>
      </c>
      <c r="D37" s="3" t="s">
        <v>33</v>
      </c>
      <c r="E37" s="3" t="s">
        <v>19</v>
      </c>
      <c r="F37" s="3">
        <v>3</v>
      </c>
      <c r="G37" s="3">
        <v>1</v>
      </c>
      <c r="H37" s="3">
        <v>1</v>
      </c>
      <c r="I37" s="3">
        <v>0</v>
      </c>
      <c r="J37" s="4" t="str">
        <f>HYPERLINK("http://141.218.60.56/~jnz1568/getInfo.php?workbook=06_02.xlsx&amp;sheet=E0&amp;row=37&amp;col=10&amp;number=3051332&amp;sourceID=2","3051332")</f>
        <v>3051332</v>
      </c>
      <c r="K37" s="4" t="str">
        <f>HYPERLINK("http://141.218.60.56/~jnz1568/getInfo.php?workbook=06_02.xlsx&amp;sheet=E0&amp;row=37&amp;col=11&amp;number=3029164.71997&amp;sourceID=30","3029164.71997")</f>
        <v>3029164.71997</v>
      </c>
      <c r="L37" s="4" t="str">
        <f>HYPERLINK("http://141.218.60.56/~jnz1568/getInfo.php?workbook=06_02.xlsx&amp;sheet=E0&amp;row=37&amp;col=12&amp;number=3028395.46139&amp;sourceID=30","3028395.46139")</f>
        <v>3028395.46139</v>
      </c>
      <c r="M37" s="4" t="str">
        <f>HYPERLINK("http://141.218.60.56/~jnz1568/getInfo.php?workbook=06_02.xlsx&amp;sheet=E0&amp;row=37&amp;col=13&amp;number=3051406&amp;sourceID=32","3051406")</f>
        <v>3051406</v>
      </c>
    </row>
    <row r="38" spans="1:13">
      <c r="A38" s="3">
        <v>6</v>
      </c>
      <c r="B38" s="3">
        <v>2</v>
      </c>
      <c r="C38" s="3">
        <f/>
        <v>0</v>
      </c>
      <c r="D38" s="3" t="s">
        <v>33</v>
      </c>
      <c r="E38" s="3" t="s">
        <v>19</v>
      </c>
      <c r="F38" s="3">
        <v>3</v>
      </c>
      <c r="G38" s="3">
        <v>1</v>
      </c>
      <c r="H38" s="3">
        <v>1</v>
      </c>
      <c r="I38" s="3">
        <v>1</v>
      </c>
      <c r="J38" s="4" t="str">
        <f>HYPERLINK("http://141.218.60.56/~jnz1568/getInfo.php?workbook=06_02.xlsx&amp;sheet=E0&amp;row=38&amp;col=10&amp;number=3051332&amp;sourceID=2","3051332")</f>
        <v>3051332</v>
      </c>
      <c r="K38" s="4" t="str">
        <f>HYPERLINK("http://141.218.60.56/~jnz1568/getInfo.php?workbook=06_02.xlsx&amp;sheet=E0&amp;row=38&amp;col=11&amp;number=3029171.30421&amp;sourceID=30","3029171.30421")</f>
        <v>3029171.30421</v>
      </c>
      <c r="L38" s="4" t="str">
        <f>HYPERLINK("http://141.218.60.56/~jnz1568/getInfo.php?workbook=06_02.xlsx&amp;sheet=E0&amp;row=38&amp;col=12&amp;number=3028396.55876&amp;sourceID=30","3028396.55876")</f>
        <v>3028396.55876</v>
      </c>
      <c r="M38" s="4" t="str">
        <f>HYPERLINK("http://141.218.60.56/~jnz1568/getInfo.php?workbook=06_02.xlsx&amp;sheet=E0&amp;row=38&amp;col=13&amp;number=3051407&amp;sourceID=32","3051407")</f>
        <v>3051407</v>
      </c>
    </row>
    <row r="39" spans="1:13">
      <c r="A39" s="3">
        <v>6</v>
      </c>
      <c r="B39" s="3">
        <v>2</v>
      </c>
      <c r="C39" s="3">
        <f/>
        <v>0</v>
      </c>
      <c r="D39" s="3" t="s">
        <v>33</v>
      </c>
      <c r="E39" s="3" t="s">
        <v>19</v>
      </c>
      <c r="F39" s="3">
        <v>3</v>
      </c>
      <c r="G39" s="3">
        <v>1</v>
      </c>
      <c r="H39" s="3">
        <v>1</v>
      </c>
      <c r="I39" s="3">
        <v>2</v>
      </c>
      <c r="J39" s="4" t="str">
        <f>HYPERLINK("http://141.218.60.56/~jnz1568/getInfo.php?workbook=06_02.xlsx&amp;sheet=E0&amp;row=39&amp;col=10&amp;number=3051362.9&amp;sourceID=2","3051362.9")</f>
        <v>3051362.9</v>
      </c>
      <c r="K39" s="4" t="str">
        <f>HYPERLINK("http://141.218.60.56/~jnz1568/getInfo.php?workbook=06_02.xlsx&amp;sheet=E0&amp;row=39&amp;col=11&amp;number=3029182.27794&amp;sourceID=30","3029182.27794")</f>
        <v>3029182.27794</v>
      </c>
      <c r="L39" s="4" t="str">
        <f>HYPERLINK("http://141.218.60.56/~jnz1568/getInfo.php?workbook=06_02.xlsx&amp;sheet=E0&amp;row=39&amp;col=12&amp;number=3028404.24037&amp;sourceID=30","3028404.24037")</f>
        <v>3028404.24037</v>
      </c>
      <c r="M39" s="4" t="str">
        <f>HYPERLINK("http://141.218.60.56/~jnz1568/getInfo.php?workbook=06_02.xlsx&amp;sheet=E0&amp;row=39&amp;col=13&amp;number=3051420&amp;sourceID=32","3051420")</f>
        <v>3051420</v>
      </c>
    </row>
    <row r="40" spans="1:13">
      <c r="A40" s="3">
        <v>6</v>
      </c>
      <c r="B40" s="3">
        <v>2</v>
      </c>
      <c r="C40" s="3">
        <f/>
        <v>0</v>
      </c>
      <c r="D40" s="3" t="s">
        <v>34</v>
      </c>
      <c r="E40" s="3" t="s">
        <v>24</v>
      </c>
      <c r="F40" s="3">
        <v>3</v>
      </c>
      <c r="G40" s="3">
        <v>2</v>
      </c>
      <c r="H40" s="3">
        <v>0</v>
      </c>
      <c r="I40" s="3">
        <v>1</v>
      </c>
      <c r="J40" s="4" t="str">
        <f>HYPERLINK("http://141.218.60.56/~jnz1568/getInfo.php?workbook=06_02.xlsx&amp;sheet=E0&amp;row=40&amp;col=10&amp;number=3052589&amp;sourceID=2","3052589")</f>
        <v>3052589</v>
      </c>
      <c r="K40" s="4" t="str">
        <f>HYPERLINK("http://141.218.60.56/~jnz1568/getInfo.php?workbook=06_02.xlsx&amp;sheet=E0&amp;row=40&amp;col=11&amp;number=3030349.88298&amp;sourceID=30","3030349.88298")</f>
        <v>3030349.88298</v>
      </c>
      <c r="L40" s="4" t="str">
        <f>HYPERLINK("http://141.218.60.56/~jnz1568/getInfo.php?workbook=06_02.xlsx&amp;sheet=E0&amp;row=40&amp;col=12&amp;number=3029574.04016&amp;sourceID=30","3029574.04016")</f>
        <v>3029574.04016</v>
      </c>
      <c r="M40" s="4" t="str">
        <f>HYPERLINK("http://141.218.60.56/~jnz1568/getInfo.php?workbook=06_02.xlsx&amp;sheet=E0&amp;row=40&amp;col=13&amp;number=3052640&amp;sourceID=32","3052640")</f>
        <v>3052640</v>
      </c>
    </row>
    <row r="41" spans="1:13">
      <c r="A41" s="3">
        <v>6</v>
      </c>
      <c r="B41" s="3">
        <v>2</v>
      </c>
      <c r="C41" s="3">
        <f/>
        <v>0</v>
      </c>
      <c r="D41" s="3" t="s">
        <v>34</v>
      </c>
      <c r="E41" s="3" t="s">
        <v>24</v>
      </c>
      <c r="F41" s="3">
        <v>3</v>
      </c>
      <c r="G41" s="3">
        <v>2</v>
      </c>
      <c r="H41" s="3">
        <v>0</v>
      </c>
      <c r="I41" s="3">
        <v>2</v>
      </c>
      <c r="J41" s="4" t="str">
        <f>HYPERLINK("http://141.218.60.56/~jnz1568/getInfo.php?workbook=06_02.xlsx&amp;sheet=E0&amp;row=41&amp;col=10&amp;number=3052589&amp;sourceID=2","3052589")</f>
        <v>3052589</v>
      </c>
      <c r="K41" s="4" t="str">
        <f>HYPERLINK("http://141.218.60.56/~jnz1568/getInfo.php?workbook=06_02.xlsx&amp;sheet=E0&amp;row=41&amp;col=11&amp;number=3030352.07773&amp;sourceID=30","3030352.07773")</f>
        <v>3030352.07773</v>
      </c>
      <c r="L41" s="4" t="str">
        <f>HYPERLINK("http://141.218.60.56/~jnz1568/getInfo.php?workbook=06_02.xlsx&amp;sheet=E0&amp;row=41&amp;col=12&amp;number=3029574.04016&amp;sourceID=30","3029574.04016")</f>
        <v>3029574.04016</v>
      </c>
      <c r="M41" s="4" t="str">
        <f>HYPERLINK("http://141.218.60.56/~jnz1568/getInfo.php?workbook=06_02.xlsx&amp;sheet=E0&amp;row=41&amp;col=13&amp;number=3052640&amp;sourceID=32","3052640")</f>
        <v>3052640</v>
      </c>
    </row>
    <row r="42" spans="1:13">
      <c r="A42" s="3">
        <v>6</v>
      </c>
      <c r="B42" s="3">
        <v>2</v>
      </c>
      <c r="C42" s="3">
        <f/>
        <v>0</v>
      </c>
      <c r="D42" s="3" t="s">
        <v>34</v>
      </c>
      <c r="E42" s="3" t="s">
        <v>24</v>
      </c>
      <c r="F42" s="3">
        <v>3</v>
      </c>
      <c r="G42" s="3">
        <v>2</v>
      </c>
      <c r="H42" s="3">
        <v>0</v>
      </c>
      <c r="I42" s="3">
        <v>3</v>
      </c>
      <c r="J42" s="4" t="str">
        <f>HYPERLINK("http://141.218.60.56/~jnz1568/getInfo.php?workbook=06_02.xlsx&amp;sheet=E0&amp;row=42&amp;col=10&amp;number=3052593&amp;sourceID=2","3052593")</f>
        <v>3052593</v>
      </c>
      <c r="K42" s="4" t="str">
        <f>HYPERLINK("http://141.218.60.56/~jnz1568/getInfo.php?workbook=06_02.xlsx&amp;sheet=E0&amp;row=42&amp;col=11&amp;number=3030355.36985&amp;sourceID=30","3030355.36985")</f>
        <v>3030355.36985</v>
      </c>
      <c r="L42" s="4" t="str">
        <f>HYPERLINK("http://141.218.60.56/~jnz1568/getInfo.php?workbook=06_02.xlsx&amp;sheet=E0&amp;row=42&amp;col=12&amp;number=3029576.2349&amp;sourceID=30","3029576.2349")</f>
        <v>3029576.2349</v>
      </c>
      <c r="M42" s="4" t="str">
        <f>HYPERLINK("http://141.218.60.56/~jnz1568/getInfo.php?workbook=06_02.xlsx&amp;sheet=E0&amp;row=42&amp;col=13&amp;number=3052642&amp;sourceID=32","3052642")</f>
        <v>3052642</v>
      </c>
    </row>
    <row r="43" spans="1:13">
      <c r="A43" s="3">
        <v>6</v>
      </c>
      <c r="B43" s="3">
        <v>2</v>
      </c>
      <c r="C43" s="3">
        <f/>
        <v>0</v>
      </c>
      <c r="D43" s="3" t="s">
        <v>35</v>
      </c>
      <c r="E43" s="3" t="s">
        <v>31</v>
      </c>
      <c r="F43" s="3">
        <v>3</v>
      </c>
      <c r="G43" s="3">
        <v>3</v>
      </c>
      <c r="H43" s="3">
        <v>1</v>
      </c>
      <c r="I43" s="3">
        <v>2</v>
      </c>
      <c r="J43" s="4" t="str">
        <f>HYPERLINK("http://141.218.60.56/~jnz1568/getInfo.php?workbook=06_02.xlsx&amp;sheet=E0&amp;row=43&amp;col=10&amp;number=3052653.3&amp;sourceID=2","3052653.3")</f>
        <v>3052653.3</v>
      </c>
      <c r="K43" s="4" t="str">
        <f>HYPERLINK("http://141.218.60.56/~jnz1568/getInfo.php?workbook=06_02.xlsx&amp;sheet=E0&amp;row=43&amp;col=11&amp;number=3030410.2385&amp;sourceID=30","3030410.2385")</f>
        <v>3030410.2385</v>
      </c>
      <c r="L43" s="4" t="str">
        <f>HYPERLINK("http://141.218.60.56/~jnz1568/getInfo.php?workbook=06_02.xlsx&amp;sheet=E0&amp;row=43&amp;col=12&amp;number=3029633.29831&amp;sourceID=30","3029633.29831")</f>
        <v>3029633.29831</v>
      </c>
      <c r="M43" s="4" t="str">
        <f>HYPERLINK("http://141.218.60.56/~jnz1568/getInfo.php?workbook=06_02.xlsx&amp;sheet=E0&amp;row=43&amp;col=13&amp;number=3052713&amp;sourceID=32","3052713")</f>
        <v>3052713</v>
      </c>
    </row>
    <row r="44" spans="1:13">
      <c r="A44" s="3">
        <v>6</v>
      </c>
      <c r="B44" s="3">
        <v>2</v>
      </c>
      <c r="C44" s="3">
        <f/>
        <v>0</v>
      </c>
      <c r="D44" s="3" t="s">
        <v>35</v>
      </c>
      <c r="E44" s="3" t="s">
        <v>31</v>
      </c>
      <c r="F44" s="3">
        <v>3</v>
      </c>
      <c r="G44" s="3">
        <v>3</v>
      </c>
      <c r="H44" s="3">
        <v>1</v>
      </c>
      <c r="I44" s="3">
        <v>3</v>
      </c>
      <c r="J44" s="4" t="str">
        <f>HYPERLINK("http://141.218.60.56/~jnz1568/getInfo.php?workbook=06_02.xlsx&amp;sheet=E0&amp;row=44&amp;col=10&amp;number=3052653.3&amp;sourceID=2","3052653.3")</f>
        <v>3052653.3</v>
      </c>
      <c r="K44" s="4" t="str">
        <f>HYPERLINK("http://141.218.60.56/~jnz1568/getInfo.php?workbook=06_02.xlsx&amp;sheet=E0&amp;row=44&amp;col=11&amp;number=3030411.33588&amp;sourceID=30","3030411.33588")</f>
        <v>3030411.33588</v>
      </c>
      <c r="L44" s="4" t="str">
        <f>HYPERLINK("http://141.218.60.56/~jnz1568/getInfo.php?workbook=06_02.xlsx&amp;sheet=E0&amp;row=44&amp;col=12&amp;number=3029633.29831&amp;sourceID=30","3029633.29831")</f>
        <v>3029633.29831</v>
      </c>
      <c r="M44" s="4" t="str">
        <f>HYPERLINK("http://141.218.60.56/~jnz1568/getInfo.php?workbook=06_02.xlsx&amp;sheet=E0&amp;row=44&amp;col=13&amp;number=3052716&amp;sourceID=32","3052716")</f>
        <v>3052716</v>
      </c>
    </row>
    <row r="45" spans="1:13">
      <c r="A45" s="3">
        <v>6</v>
      </c>
      <c r="B45" s="3">
        <v>2</v>
      </c>
      <c r="C45" s="3">
        <f/>
        <v>0</v>
      </c>
      <c r="D45" s="3" t="s">
        <v>35</v>
      </c>
      <c r="E45" s="3" t="s">
        <v>31</v>
      </c>
      <c r="F45" s="3">
        <v>3</v>
      </c>
      <c r="G45" s="3">
        <v>3</v>
      </c>
      <c r="H45" s="3">
        <v>1</v>
      </c>
      <c r="I45" s="3">
        <v>4</v>
      </c>
      <c r="J45" s="4" t="str">
        <f>HYPERLINK("http://141.218.60.56/~jnz1568/getInfo.php?workbook=06_02.xlsx&amp;sheet=E0&amp;row=45&amp;col=10&amp;number=3052653.3&amp;sourceID=2","3052653.3")</f>
        <v>3052653.3</v>
      </c>
      <c r="K45" s="4" t="str">
        <f>HYPERLINK("http://141.218.60.56/~jnz1568/getInfo.php?workbook=06_02.xlsx&amp;sheet=E0&amp;row=45&amp;col=11&amp;number=3030412.43325&amp;sourceID=30","3030412.43325")</f>
        <v>3030412.43325</v>
      </c>
      <c r="L45" s="4" t="str">
        <f>HYPERLINK("http://141.218.60.56/~jnz1568/getInfo.php?workbook=06_02.xlsx&amp;sheet=E0&amp;row=45&amp;col=12&amp;number=3029634.39568&amp;sourceID=30","3029634.39568")</f>
        <v>3029634.39568</v>
      </c>
      <c r="M45" s="4" t="str">
        <f>HYPERLINK("http://141.218.60.56/~jnz1568/getInfo.php?workbook=06_02.xlsx&amp;sheet=E0&amp;row=45&amp;col=13&amp;number=&amp;sourceID=32","")</f>
        <v/>
      </c>
    </row>
    <row r="46" spans="1:13">
      <c r="A46" s="3">
        <v>6</v>
      </c>
      <c r="B46" s="3">
        <v>2</v>
      </c>
      <c r="C46" s="3">
        <f/>
        <v>0</v>
      </c>
      <c r="D46" s="3" t="s">
        <v>35</v>
      </c>
      <c r="E46" s="3" t="s">
        <v>30</v>
      </c>
      <c r="F46" s="3">
        <v>1</v>
      </c>
      <c r="G46" s="3">
        <v>3</v>
      </c>
      <c r="H46" s="3">
        <v>1</v>
      </c>
      <c r="I46" s="3">
        <v>3</v>
      </c>
      <c r="J46" s="4" t="str">
        <f>HYPERLINK("http://141.218.60.56/~jnz1568/getInfo.php?workbook=06_02.xlsx&amp;sheet=E0&amp;row=46&amp;col=10&amp;number=3052653.3&amp;sourceID=2","3052653.3")</f>
        <v>3052653.3</v>
      </c>
      <c r="K46" s="4" t="str">
        <f>HYPERLINK("http://141.218.60.56/~jnz1568/getInfo.php?workbook=06_02.xlsx&amp;sheet=E0&amp;row=46&amp;col=11&amp;number=3030413.53062&amp;sourceID=30","3030413.53062")</f>
        <v>3030413.53062</v>
      </c>
      <c r="L46" s="4" t="str">
        <f>HYPERLINK("http://141.218.60.56/~jnz1568/getInfo.php?workbook=06_02.xlsx&amp;sheet=E0&amp;row=46&amp;col=12&amp;number=3029636.59043&amp;sourceID=30","3029636.59043")</f>
        <v>3029636.59043</v>
      </c>
      <c r="M46" s="4" t="str">
        <f>HYPERLINK("http://141.218.60.56/~jnz1568/getInfo.php?workbook=06_02.xlsx&amp;sheet=E0&amp;row=46&amp;col=13&amp;number=3052712&amp;sourceID=32","3052712")</f>
        <v>3052712</v>
      </c>
    </row>
    <row r="47" spans="1:13">
      <c r="A47" s="3">
        <v>6</v>
      </c>
      <c r="B47" s="3">
        <v>2</v>
      </c>
      <c r="C47" s="3">
        <f/>
        <v>0</v>
      </c>
      <c r="D47" s="3" t="s">
        <v>36</v>
      </c>
      <c r="E47" s="3" t="s">
        <v>37</v>
      </c>
      <c r="F47" s="3">
        <v>3</v>
      </c>
      <c r="G47" s="3">
        <v>4</v>
      </c>
      <c r="H47" s="3">
        <v>0</v>
      </c>
      <c r="I47" s="3">
        <v>3</v>
      </c>
      <c r="J47" s="4" t="str">
        <f>HYPERLINK("http://141.218.60.56/~jnz1568/getInfo.php?workbook=06_02.xlsx&amp;sheet=E0&amp;row=47&amp;col=10&amp;number=3052659.4&amp;sourceID=2","3052659.4")</f>
        <v>3052659.4</v>
      </c>
      <c r="K47" s="4" t="str">
        <f>HYPERLINK("http://141.218.60.56/~jnz1568/getInfo.php?workbook=06_02.xlsx&amp;sheet=E0&amp;row=47&amp;col=11&amp;number=3030413.53062&amp;sourceID=30","3030413.53062")</f>
        <v>3030413.53062</v>
      </c>
      <c r="L47" s="4" t="str">
        <f>HYPERLINK("http://141.218.60.56/~jnz1568/getInfo.php?workbook=06_02.xlsx&amp;sheet=E0&amp;row=47&amp;col=12&amp;number=3029636.59043&amp;sourceID=30","3029636.59043")</f>
        <v>3029636.59043</v>
      </c>
      <c r="M47" s="4" t="str">
        <f>HYPERLINK("http://141.218.60.56/~jnz1568/getInfo.php?workbook=06_02.xlsx&amp;sheet=E0&amp;row=47&amp;col=13&amp;number=3052720&amp;sourceID=32","3052720")</f>
        <v>3052720</v>
      </c>
    </row>
    <row r="48" spans="1:13">
      <c r="A48" s="3">
        <v>6</v>
      </c>
      <c r="B48" s="3">
        <v>2</v>
      </c>
      <c r="C48" s="3">
        <f/>
        <v>0</v>
      </c>
      <c r="D48" s="3" t="s">
        <v>36</v>
      </c>
      <c r="E48" s="3" t="s">
        <v>37</v>
      </c>
      <c r="F48" s="3">
        <v>3</v>
      </c>
      <c r="G48" s="3">
        <v>4</v>
      </c>
      <c r="H48" s="3">
        <v>0</v>
      </c>
      <c r="I48" s="3">
        <v>4</v>
      </c>
      <c r="J48" s="4" t="str">
        <f>HYPERLINK("http://141.218.60.56/~jnz1568/getInfo.php?workbook=06_02.xlsx&amp;sheet=E0&amp;row=48&amp;col=10&amp;number=3052659.4&amp;sourceID=2","3052659.4")</f>
        <v>3052659.4</v>
      </c>
      <c r="K48" s="4" t="str">
        <f>HYPERLINK("http://141.218.60.56/~jnz1568/getInfo.php?workbook=06_02.xlsx&amp;sheet=E0&amp;row=48&amp;col=11&amp;number=3030413.53062&amp;sourceID=30","3030413.53062")</f>
        <v>3030413.53062</v>
      </c>
      <c r="L48" s="4" t="str">
        <f>HYPERLINK("http://141.218.60.56/~jnz1568/getInfo.php?workbook=06_02.xlsx&amp;sheet=E0&amp;row=48&amp;col=12&amp;number=3029635.49305&amp;sourceID=30","3029635.49305")</f>
        <v>3029635.49305</v>
      </c>
      <c r="M48" s="4" t="str">
        <f>HYPERLINK("http://141.218.60.56/~jnz1568/getInfo.php?workbook=06_02.xlsx&amp;sheet=E0&amp;row=48&amp;col=13&amp;number=&amp;sourceID=32","")</f>
        <v/>
      </c>
    </row>
    <row r="49" spans="1:13">
      <c r="A49" s="3">
        <v>6</v>
      </c>
      <c r="B49" s="3">
        <v>2</v>
      </c>
      <c r="C49" s="3">
        <f/>
        <v>0</v>
      </c>
      <c r="D49" s="3" t="s">
        <v>36</v>
      </c>
      <c r="E49" s="3" t="s">
        <v>37</v>
      </c>
      <c r="F49" s="3">
        <v>3</v>
      </c>
      <c r="G49" s="3">
        <v>4</v>
      </c>
      <c r="H49" s="3">
        <v>0</v>
      </c>
      <c r="I49" s="3">
        <v>5</v>
      </c>
      <c r="J49" s="4" t="str">
        <f>HYPERLINK("http://141.218.60.56/~jnz1568/getInfo.php?workbook=06_02.xlsx&amp;sheet=E0&amp;row=49&amp;col=10&amp;number=3052659.4&amp;sourceID=2","3052659.4")</f>
        <v>3052659.4</v>
      </c>
      <c r="K49" s="4" t="str">
        <f>HYPERLINK("http://141.218.60.56/~jnz1568/getInfo.php?workbook=06_02.xlsx&amp;sheet=E0&amp;row=49&amp;col=11&amp;number=3030415.72537&amp;sourceID=30","3030415.72537")</f>
        <v>3030415.72537</v>
      </c>
      <c r="L49" s="4" t="str">
        <f>HYPERLINK("http://141.218.60.56/~jnz1568/getInfo.php?workbook=06_02.xlsx&amp;sheet=E0&amp;row=49&amp;col=12&amp;number=3029637.6878&amp;sourceID=30","3029637.6878")</f>
        <v>3029637.6878</v>
      </c>
      <c r="M49" s="4" t="str">
        <f>HYPERLINK("http://141.218.60.56/~jnz1568/getInfo.php?workbook=06_02.xlsx&amp;sheet=E0&amp;row=49&amp;col=13&amp;number=&amp;sourceID=32","")</f>
        <v/>
      </c>
    </row>
    <row r="50" spans="1:13">
      <c r="A50" s="3">
        <v>6</v>
      </c>
      <c r="B50" s="3">
        <v>2</v>
      </c>
      <c r="C50" s="3">
        <f/>
        <v>0</v>
      </c>
      <c r="D50" s="3" t="s">
        <v>36</v>
      </c>
      <c r="E50" s="3" t="s">
        <v>38</v>
      </c>
      <c r="F50" s="3">
        <v>1</v>
      </c>
      <c r="G50" s="3">
        <v>4</v>
      </c>
      <c r="H50" s="3">
        <v>0</v>
      </c>
      <c r="I50" s="3">
        <v>4</v>
      </c>
      <c r="J50" s="4" t="str">
        <f>HYPERLINK("http://141.218.60.56/~jnz1568/getInfo.php?workbook=06_02.xlsx&amp;sheet=E0&amp;row=50&amp;col=10&amp;number=3052659.4&amp;sourceID=2","3052659.4")</f>
        <v>3052659.4</v>
      </c>
      <c r="K50" s="4" t="str">
        <f>HYPERLINK("http://141.218.60.56/~jnz1568/getInfo.php?workbook=06_02.xlsx&amp;sheet=E0&amp;row=50&amp;col=11&amp;number=3030415.72537&amp;sourceID=30","3030415.72537")</f>
        <v>3030415.72537</v>
      </c>
      <c r="L50" s="4" t="str">
        <f>HYPERLINK("http://141.218.60.56/~jnz1568/getInfo.php?workbook=06_02.xlsx&amp;sheet=E0&amp;row=50&amp;col=12&amp;number=3029637.6878&amp;sourceID=30","3029637.6878")</f>
        <v>3029637.6878</v>
      </c>
      <c r="M50" s="4" t="str">
        <f>HYPERLINK("http://141.218.60.56/~jnz1568/getInfo.php?workbook=06_02.xlsx&amp;sheet=E0&amp;row=50&amp;col=13&amp;number=&amp;sourceID=32","")</f>
        <v/>
      </c>
    </row>
    <row r="51" spans="1:13">
      <c r="A51" s="3">
        <v>6</v>
      </c>
      <c r="B51" s="3">
        <v>2</v>
      </c>
      <c r="C51" s="3">
        <f/>
        <v>0</v>
      </c>
      <c r="D51" s="3" t="s">
        <v>34</v>
      </c>
      <c r="E51" s="3" t="s">
        <v>25</v>
      </c>
      <c r="F51" s="3">
        <v>1</v>
      </c>
      <c r="G51" s="3">
        <v>2</v>
      </c>
      <c r="H51" s="3">
        <v>0</v>
      </c>
      <c r="I51" s="3">
        <v>2</v>
      </c>
      <c r="J51" s="4" t="str">
        <f>HYPERLINK("http://141.218.60.56/~jnz1568/getInfo.php?workbook=06_02.xlsx&amp;sheet=E0&amp;row=51&amp;col=10&amp;number=3052669.4&amp;sourceID=2","3052669.4")</f>
        <v>3052669.4</v>
      </c>
      <c r="K51" s="4" t="str">
        <f>HYPERLINK("http://141.218.60.56/~jnz1568/getInfo.php?workbook=06_02.xlsx&amp;sheet=E0&amp;row=51&amp;col=11&amp;number=3030437.67283&amp;sourceID=30","3030437.67283")</f>
        <v>3030437.67283</v>
      </c>
      <c r="L51" s="4" t="str">
        <f>HYPERLINK("http://141.218.60.56/~jnz1568/getInfo.php?workbook=06_02.xlsx&amp;sheet=E0&amp;row=51&amp;col=12&amp;number=3029659.63526&amp;sourceID=30","3029659.63526")</f>
        <v>3029659.63526</v>
      </c>
      <c r="M51" s="4" t="str">
        <f>HYPERLINK("http://141.218.60.56/~jnz1568/getInfo.php?workbook=06_02.xlsx&amp;sheet=E0&amp;row=51&amp;col=13&amp;number=3052711&amp;sourceID=32","3052711")</f>
        <v>3052711</v>
      </c>
    </row>
    <row r="52" spans="1:13">
      <c r="A52" s="3">
        <v>6</v>
      </c>
      <c r="B52" s="3">
        <v>2</v>
      </c>
      <c r="C52" s="3">
        <f/>
        <v>0</v>
      </c>
      <c r="D52" s="3" t="s">
        <v>33</v>
      </c>
      <c r="E52" s="3" t="s">
        <v>20</v>
      </c>
      <c r="F52" s="3">
        <v>1</v>
      </c>
      <c r="G52" s="3">
        <v>1</v>
      </c>
      <c r="H52" s="3">
        <v>1</v>
      </c>
      <c r="I52" s="3">
        <v>1</v>
      </c>
      <c r="J52" s="4" t="str">
        <f>HYPERLINK("http://141.218.60.56/~jnz1568/getInfo.php?workbook=06_02.xlsx&amp;sheet=E0&amp;row=52&amp;col=10&amp;number=3053044&amp;sourceID=2","3053044")</f>
        <v>3053044</v>
      </c>
      <c r="K52" s="4" t="str">
        <f>HYPERLINK("http://141.218.60.56/~jnz1568/getInfo.php?workbook=06_02.xlsx&amp;sheet=E0&amp;row=52&amp;col=11&amp;number=3031058.78604&amp;sourceID=30","3031058.78604")</f>
        <v>3031058.78604</v>
      </c>
      <c r="L52" s="4" t="str">
        <f>HYPERLINK("http://141.218.60.56/~jnz1568/getInfo.php?workbook=06_02.xlsx&amp;sheet=E0&amp;row=52&amp;col=12&amp;number=3030280.74847&amp;sourceID=30","3030280.74847")</f>
        <v>3030280.74847</v>
      </c>
      <c r="M52" s="4" t="str">
        <f>HYPERLINK("http://141.218.60.56/~jnz1568/getInfo.php?workbook=06_02.xlsx&amp;sheet=E0&amp;row=52&amp;col=13&amp;number=3053083&amp;sourceID=32","3053083")</f>
        <v>3053083</v>
      </c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2"/>
  <sheetViews>
    <sheetView workbookViewId="0"/>
  </sheetViews>
  <sheetFormatPr defaultRowHeight="15"/>
  <cols>
    <col min="1" max="1" width="2.7109375" customWidth="1"/>
    <col min="2" max="2" width="2.7109375" customWidth="1"/>
    <col min="3" max="3" width="15.7109375" customWidth="1"/>
    <col min="4" max="4" width="6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10.7109375" customWidth="1"/>
    <col min="10" max="10" width="14.7109375" customWidth="1"/>
    <col min="11" max="11" width="14.7109375" customWidth="1"/>
  </cols>
  <sheetData>
    <row r="1" spans="1:11">
      <c r="A1" s="1" t="s">
        <v>39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>
      <c r="A2" s="2"/>
      <c r="B2" s="2"/>
      <c r="C2" s="2"/>
      <c r="D2" s="2"/>
      <c r="E2" s="2"/>
      <c r="F2" s="2"/>
      <c r="G2" s="2"/>
      <c r="H2" s="2"/>
      <c r="I2" s="2" t="s">
        <v>1</v>
      </c>
      <c r="J2" s="2" t="s">
        <v>40</v>
      </c>
      <c r="K2" s="2" t="s">
        <v>41</v>
      </c>
    </row>
    <row r="3" spans="1:11">
      <c r="A3" s="2" t="s">
        <v>4</v>
      </c>
      <c r="B3" s="2" t="s">
        <v>5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13</v>
      </c>
      <c r="J3" s="2" t="s">
        <v>13</v>
      </c>
      <c r="K3" s="2" t="s">
        <v>13</v>
      </c>
    </row>
    <row r="4" spans="1:11">
      <c r="A4" s="3">
        <v>6</v>
      </c>
      <c r="B4" s="3">
        <v>2</v>
      </c>
      <c r="C4" s="3">
        <v>1</v>
      </c>
      <c r="D4" s="3" t="s">
        <v>14</v>
      </c>
      <c r="E4" s="3" t="s">
        <v>15</v>
      </c>
      <c r="F4" s="3">
        <v>1</v>
      </c>
      <c r="G4" s="3">
        <v>0</v>
      </c>
      <c r="H4" s="3">
        <v>0</v>
      </c>
      <c r="I4" s="4" t="str">
        <f>HYPERLINK("http://141.218.60.56/~jnz1568/getInfo.php?workbook=06_02.xlsx&amp;sheet=E1&amp;row=4&amp;col=9&amp;number=0&amp;sourceID=2","0")</f>
        <v>0</v>
      </c>
      <c r="J4" s="4" t="str">
        <f>HYPERLINK("http://141.218.60.56/~jnz1568/getInfo.php?workbook=06_02.xlsx&amp;sheet=E1&amp;row=4&amp;col=10&amp;number=0&amp;sourceID=33","0")</f>
        <v>0</v>
      </c>
      <c r="K4" s="4" t="str">
        <f>HYPERLINK("http://141.218.60.56/~jnz1568/getInfo.php?workbook=06_02.xlsx&amp;sheet=E1&amp;row=4&amp;col=11&amp;number=0&amp;sourceID=25","0")</f>
        <v>0</v>
      </c>
    </row>
    <row r="5" spans="1:11">
      <c r="A5" s="3">
        <v>6</v>
      </c>
      <c r="B5" s="3">
        <v>2</v>
      </c>
      <c r="C5" s="3">
        <f>+C4+1</f>
        <v>0</v>
      </c>
      <c r="D5" s="3" t="s">
        <v>16</v>
      </c>
      <c r="E5" s="3" t="s">
        <v>17</v>
      </c>
      <c r="F5" s="3">
        <v>3</v>
      </c>
      <c r="G5" s="3">
        <v>0</v>
      </c>
      <c r="H5" s="3">
        <v>0</v>
      </c>
      <c r="I5" s="4" t="str">
        <f>HYPERLINK("http://141.218.60.56/~jnz1568/getInfo.php?workbook=06_02.xlsx&amp;sheet=E1&amp;row=5&amp;col=9&amp;number=2411271.2&amp;sourceID=2","2411271.2")</f>
        <v>2411271.2</v>
      </c>
      <c r="J5" s="4" t="str">
        <f>HYPERLINK("http://141.218.60.56/~jnz1568/getInfo.php?workbook=06_02.xlsx&amp;sheet=E1&amp;row=5&amp;col=10&amp;number=2405178.59027&amp;sourceID=33","2405178.59027")</f>
        <v>2405178.59027</v>
      </c>
      <c r="K5" s="4" t="str">
        <f>HYPERLINK("http://141.218.60.56/~jnz1568/getInfo.php?workbook=06_02.xlsx&amp;sheet=E1&amp;row=5&amp;col=11&amp;number=2407022.17717&amp;sourceID=25","2407022.17717")</f>
        <v>2407022.17717</v>
      </c>
    </row>
    <row r="6" spans="1:11">
      <c r="A6" s="3">
        <v>6</v>
      </c>
      <c r="B6" s="3">
        <v>2</v>
      </c>
      <c r="C6" s="3">
        <f/>
        <v>0</v>
      </c>
      <c r="D6" s="3" t="s">
        <v>16</v>
      </c>
      <c r="E6" s="3" t="s">
        <v>15</v>
      </c>
      <c r="F6" s="3">
        <v>1</v>
      </c>
      <c r="G6" s="3">
        <v>0</v>
      </c>
      <c r="H6" s="3">
        <v>0</v>
      </c>
      <c r="I6" s="4" t="str">
        <f>HYPERLINK("http://141.218.60.56/~jnz1568/getInfo.php?workbook=06_02.xlsx&amp;sheet=E1&amp;row=6&amp;col=9&amp;number=2455025.5&amp;sourceID=2","2455025.5")</f>
        <v>2455025.5</v>
      </c>
      <c r="J6" s="4" t="str">
        <f>HYPERLINK("http://141.218.60.56/~jnz1568/getInfo.php?workbook=06_02.xlsx&amp;sheet=E1&amp;row=6&amp;col=10&amp;number=2449733.03781&amp;sourceID=33","2449733.03781")</f>
        <v>2449733.03781</v>
      </c>
      <c r="K6" s="4" t="str">
        <f>HYPERLINK("http://141.218.60.56/~jnz1568/getInfo.php?workbook=06_02.xlsx&amp;sheet=E1&amp;row=6&amp;col=11&amp;number=2451432.86883&amp;sourceID=25","2451432.86883")</f>
        <v>2451432.86883</v>
      </c>
    </row>
    <row r="7" spans="1:11">
      <c r="A7" s="3">
        <v>6</v>
      </c>
      <c r="B7" s="3">
        <v>2</v>
      </c>
      <c r="C7" s="3">
        <f/>
        <v>0</v>
      </c>
      <c r="D7" s="3" t="s">
        <v>18</v>
      </c>
      <c r="E7" s="3" t="s">
        <v>19</v>
      </c>
      <c r="F7" s="3">
        <v>3</v>
      </c>
      <c r="G7" s="3">
        <v>1</v>
      </c>
      <c r="H7" s="3">
        <v>1</v>
      </c>
      <c r="I7" s="4" t="str">
        <f>HYPERLINK("http://141.218.60.56/~jnz1568/getInfo.php?workbook=06_02.xlsx&amp;sheet=E1&amp;row=7&amp;col=9&amp;number=2455234.2&amp;sourceID=2","2455234.2")</f>
        <v>2455234.2</v>
      </c>
      <c r="J7" s="4" t="str">
        <f>HYPERLINK("http://141.218.60.56/~jnz1568/getInfo.php?workbook=06_02.xlsx&amp;sheet=E1&amp;row=7&amp;col=10&amp;number=2449151.43003&amp;sourceID=33","2449151.43003")</f>
        <v>2449151.43003</v>
      </c>
      <c r="K7" s="4" t="str">
        <f>HYPERLINK("http://141.218.60.56/~jnz1568/getInfo.php?workbook=06_02.xlsx&amp;sheet=E1&amp;row=7&amp;col=11&amp;number=2450697.62881&amp;sourceID=25","2450697.62881")</f>
        <v>2450697.62881</v>
      </c>
    </row>
    <row r="8" spans="1:11">
      <c r="A8" s="3">
        <v>6</v>
      </c>
      <c r="B8" s="3">
        <v>2</v>
      </c>
      <c r="C8" s="3">
        <f/>
        <v>0</v>
      </c>
      <c r="D8" s="3" t="s">
        <v>18</v>
      </c>
      <c r="E8" s="3" t="s">
        <v>20</v>
      </c>
      <c r="F8" s="3">
        <v>1</v>
      </c>
      <c r="G8" s="3">
        <v>1</v>
      </c>
      <c r="H8" s="3">
        <v>1</v>
      </c>
      <c r="I8" s="4" t="str">
        <f>HYPERLINK("http://141.218.60.56/~jnz1568/getInfo.php?workbook=06_02.xlsx&amp;sheet=E1&amp;row=8&amp;col=9&amp;number=2483372.8&amp;sourceID=2","2483372.8")</f>
        <v>2483372.8</v>
      </c>
      <c r="J8" s="4" t="str">
        <f>HYPERLINK("http://141.218.60.56/~jnz1568/getInfo.php?workbook=06_02.xlsx&amp;sheet=E1&amp;row=8&amp;col=10&amp;number=2477600.82913&amp;sourceID=33","2477600.82913")</f>
        <v>2477600.82913</v>
      </c>
      <c r="K8" s="4" t="str">
        <f>HYPERLINK("http://141.218.60.56/~jnz1568/getInfo.php?workbook=06_02.xlsx&amp;sheet=E1&amp;row=8&amp;col=11&amp;number=2478998.88253&amp;sourceID=25","2478998.88253")</f>
        <v>2478998.88253</v>
      </c>
    </row>
    <row r="9" spans="1:11">
      <c r="A9" s="3">
        <v>6</v>
      </c>
      <c r="B9" s="3">
        <v>2</v>
      </c>
      <c r="C9" s="3">
        <f/>
        <v>0</v>
      </c>
      <c r="D9" s="3" t="s">
        <v>21</v>
      </c>
      <c r="E9" s="3" t="s">
        <v>17</v>
      </c>
      <c r="F9" s="3">
        <v>3</v>
      </c>
      <c r="G9" s="3">
        <v>0</v>
      </c>
      <c r="H9" s="3">
        <v>0</v>
      </c>
      <c r="I9" s="4" t="str">
        <f>HYPERLINK("http://141.218.60.56/~jnz1568/getInfo.php?workbook=06_02.xlsx&amp;sheet=E1&amp;row=9&amp;col=9&amp;number=2839573.8&amp;sourceID=2","2839573.8")</f>
        <v>2839573.8</v>
      </c>
      <c r="J9" s="4" t="str">
        <f>HYPERLINK("http://141.218.60.56/~jnz1568/getInfo.php?workbook=06_02.xlsx&amp;sheet=E1&amp;row=9&amp;col=10&amp;number=2833193.62687&amp;sourceID=33","2833193.62687")</f>
        <v>2833193.62687</v>
      </c>
      <c r="K9" s="4" t="str">
        <f>HYPERLINK("http://141.218.60.56/~jnz1568/getInfo.php?workbook=06_02.xlsx&amp;sheet=E1&amp;row=9&amp;col=11&amp;number=2835041.60327&amp;sourceID=25","2835041.60327")</f>
        <v>2835041.60327</v>
      </c>
    </row>
    <row r="10" spans="1:11">
      <c r="A10" s="3">
        <v>6</v>
      </c>
      <c r="B10" s="3">
        <v>2</v>
      </c>
      <c r="C10" s="3">
        <f/>
        <v>0</v>
      </c>
      <c r="D10" s="3" t="s">
        <v>21</v>
      </c>
      <c r="E10" s="3" t="s">
        <v>15</v>
      </c>
      <c r="F10" s="3">
        <v>1</v>
      </c>
      <c r="G10" s="3">
        <v>0</v>
      </c>
      <c r="H10" s="3">
        <v>0</v>
      </c>
      <c r="I10" s="4" t="str">
        <f>HYPERLINK("http://141.218.60.56/~jnz1568/getInfo.php?workbook=06_02.xlsx&amp;sheet=E1&amp;row=10&amp;col=9&amp;number=2851180&amp;sourceID=2","2851180")</f>
        <v>2851180</v>
      </c>
      <c r="J10" s="4" t="str">
        <f>HYPERLINK("http://141.218.60.56/~jnz1568/getInfo.php?workbook=06_02.xlsx&amp;sheet=E1&amp;row=10&amp;col=10&amp;number=2845010.14103&amp;sourceID=33","2845010.14103")</f>
        <v>2845010.14103</v>
      </c>
      <c r="K10" s="4" t="str">
        <f>HYPERLINK("http://141.218.60.56/~jnz1568/getInfo.php?workbook=06_02.xlsx&amp;sheet=E1&amp;row=10&amp;col=11&amp;number=2846805.44351&amp;sourceID=25","2846805.44351")</f>
        <v>2846805.44351</v>
      </c>
    </row>
    <row r="11" spans="1:11">
      <c r="A11" s="3">
        <v>6</v>
      </c>
      <c r="B11" s="3">
        <v>2</v>
      </c>
      <c r="C11" s="3">
        <f/>
        <v>0</v>
      </c>
      <c r="D11" s="3" t="s">
        <v>22</v>
      </c>
      <c r="E11" s="3" t="s">
        <v>19</v>
      </c>
      <c r="F11" s="3">
        <v>3</v>
      </c>
      <c r="G11" s="3">
        <v>1</v>
      </c>
      <c r="H11" s="3">
        <v>1</v>
      </c>
      <c r="I11" s="4" t="str">
        <f>HYPERLINK("http://141.218.60.56/~jnz1568/getInfo.php?workbook=06_02.xlsx&amp;sheet=E1&amp;row=11&amp;col=9&amp;number=2851428&amp;sourceID=2","2851428")</f>
        <v>2851428</v>
      </c>
      <c r="J11" s="4" t="str">
        <f>HYPERLINK("http://141.218.60.56/~jnz1568/getInfo.php?workbook=06_02.xlsx&amp;sheet=E1&amp;row=11&amp;col=10&amp;number=2845052.93858&amp;sourceID=33","2845052.93858")</f>
        <v>2845052.93858</v>
      </c>
      <c r="K11" s="4" t="str">
        <f>HYPERLINK("http://141.218.60.56/~jnz1568/getInfo.php?workbook=06_02.xlsx&amp;sheet=E1&amp;row=11&amp;col=11&amp;number=2846860.31217&amp;sourceID=25","2846860.31217")</f>
        <v>2846860.31217</v>
      </c>
    </row>
    <row r="12" spans="1:11">
      <c r="A12" s="3">
        <v>6</v>
      </c>
      <c r="B12" s="3">
        <v>2</v>
      </c>
      <c r="C12" s="3">
        <f/>
        <v>0</v>
      </c>
      <c r="D12" s="3" t="s">
        <v>23</v>
      </c>
      <c r="E12" s="3" t="s">
        <v>24</v>
      </c>
      <c r="F12" s="3">
        <v>3</v>
      </c>
      <c r="G12" s="3">
        <v>2</v>
      </c>
      <c r="H12" s="3">
        <v>0</v>
      </c>
      <c r="I12" s="4" t="str">
        <f>HYPERLINK("http://141.218.60.56/~jnz1568/getInfo.php?workbook=06_02.xlsx&amp;sheet=E1&amp;row=12&amp;col=9&amp;number=2857312&amp;sourceID=2","2857312")</f>
        <v>2857312</v>
      </c>
      <c r="J12" s="4" t="str">
        <f>HYPERLINK("http://141.218.60.56/~jnz1568/getInfo.php?workbook=06_02.xlsx&amp;sheet=E1&amp;row=12&amp;col=10&amp;number=2850819.63452&amp;sourceID=33","2850819.63452")</f>
        <v>2850819.63452</v>
      </c>
      <c r="K12" s="4" t="str">
        <f>HYPERLINK("http://141.218.60.56/~jnz1568/getInfo.php?workbook=06_02.xlsx&amp;sheet=E1&amp;row=12&amp;col=11&amp;number=2852676.3899&amp;sourceID=25","2852676.3899")</f>
        <v>2852676.3899</v>
      </c>
    </row>
    <row r="13" spans="1:11">
      <c r="A13" s="3">
        <v>6</v>
      </c>
      <c r="B13" s="3">
        <v>2</v>
      </c>
      <c r="C13" s="3">
        <f/>
        <v>0</v>
      </c>
      <c r="D13" s="3" t="s">
        <v>23</v>
      </c>
      <c r="E13" s="3" t="s">
        <v>25</v>
      </c>
      <c r="F13" s="3">
        <v>1</v>
      </c>
      <c r="G13" s="3">
        <v>2</v>
      </c>
      <c r="H13" s="3">
        <v>0</v>
      </c>
      <c r="I13" s="4" t="str">
        <f>HYPERLINK("http://141.218.60.56/~jnz1568/getInfo.php?workbook=06_02.xlsx&amp;sheet=E1&amp;row=13&amp;col=9&amp;number=2857530.3&amp;sourceID=2","2857530.3")</f>
        <v>2857530.3</v>
      </c>
      <c r="J13" s="4" t="str">
        <f>HYPERLINK("http://141.218.60.56/~jnz1568/getInfo.php?workbook=06_02.xlsx&amp;sheet=E1&amp;row=13&amp;col=10&amp;number=2851046.79076&amp;sourceID=33","2851046.79076")</f>
        <v>2851046.79076</v>
      </c>
      <c r="K13" s="4" t="str">
        <f>HYPERLINK("http://141.218.60.56/~jnz1568/getInfo.php?workbook=06_02.xlsx&amp;sheet=E1&amp;row=13&amp;col=11&amp;number=2852895.86453&amp;sourceID=25","2852895.86453")</f>
        <v>2852895.86453</v>
      </c>
    </row>
    <row r="14" spans="1:11">
      <c r="A14" s="3">
        <v>6</v>
      </c>
      <c r="B14" s="3">
        <v>2</v>
      </c>
      <c r="C14" s="3">
        <f/>
        <v>0</v>
      </c>
      <c r="D14" s="3" t="s">
        <v>22</v>
      </c>
      <c r="E14" s="3" t="s">
        <v>20</v>
      </c>
      <c r="F14" s="3">
        <v>1</v>
      </c>
      <c r="G14" s="3">
        <v>1</v>
      </c>
      <c r="H14" s="3">
        <v>1</v>
      </c>
      <c r="I14" s="4" t="str">
        <f>HYPERLINK("http://141.218.60.56/~jnz1568/getInfo.php?workbook=06_02.xlsx&amp;sheet=E1&amp;row=14&amp;col=9&amp;number=2859368.6&amp;sourceID=2","2859368.6")</f>
        <v>2859368.6</v>
      </c>
      <c r="J14" s="4" t="str">
        <f>HYPERLINK("http://141.218.60.56/~jnz1568/getInfo.php?workbook=06_02.xlsx&amp;sheet=E1&amp;row=14&amp;col=10&amp;number=2853101.07331&amp;sourceID=33","2853101.07331")</f>
        <v>2853101.07331</v>
      </c>
      <c r="K14" s="4" t="str">
        <f>HYPERLINK("http://141.218.60.56/~jnz1568/getInfo.php?workbook=06_02.xlsx&amp;sheet=E1&amp;row=14&amp;col=11&amp;number=2854860.16248&amp;sourceID=25","2854860.16248")</f>
        <v>2854860.16248</v>
      </c>
    </row>
    <row r="15" spans="1:11">
      <c r="A15" s="3">
        <v>6</v>
      </c>
      <c r="B15" s="3">
        <v>2</v>
      </c>
      <c r="C15" s="3">
        <f/>
        <v>0</v>
      </c>
      <c r="D15" s="3" t="s">
        <v>26</v>
      </c>
      <c r="E15" s="3" t="s">
        <v>17</v>
      </c>
      <c r="F15" s="3">
        <v>3</v>
      </c>
      <c r="G15" s="3">
        <v>0</v>
      </c>
      <c r="H15" s="3">
        <v>0</v>
      </c>
      <c r="I15" s="4" t="str">
        <f>HYPERLINK("http://141.218.60.56/~jnz1568/getInfo.php?workbook=06_02.xlsx&amp;sheet=E1&amp;row=15&amp;col=9&amp;number=2983544.9&amp;sourceID=2","2983544.9")</f>
        <v>2983544.9</v>
      </c>
      <c r="J15" s="4" t="str">
        <f>HYPERLINK("http://141.218.60.56/~jnz1568/getInfo.php?workbook=06_02.xlsx&amp;sheet=E1&amp;row=15&amp;col=10&amp;number=2977083.38995&amp;sourceID=33","2977083.38995")</f>
        <v>2977083.38995</v>
      </c>
      <c r="K15" s="4" t="str">
        <f>HYPERLINK("http://141.218.60.56/~jnz1568/getInfo.php?workbook=06_02.xlsx&amp;sheet=E1&amp;row=15&amp;col=11&amp;number=2978951.11906&amp;sourceID=25","2978951.11906")</f>
        <v>2978951.11906</v>
      </c>
    </row>
    <row r="16" spans="1:11">
      <c r="A16" s="3">
        <v>6</v>
      </c>
      <c r="B16" s="3">
        <v>2</v>
      </c>
      <c r="C16" s="3">
        <f/>
        <v>0</v>
      </c>
      <c r="D16" s="3" t="s">
        <v>26</v>
      </c>
      <c r="E16" s="3" t="s">
        <v>15</v>
      </c>
      <c r="F16" s="3">
        <v>1</v>
      </c>
      <c r="G16" s="3">
        <v>0</v>
      </c>
      <c r="H16" s="3">
        <v>0</v>
      </c>
      <c r="I16" s="4" t="str">
        <f>HYPERLINK("http://141.218.60.56/~jnz1568/getInfo.php?workbook=06_02.xlsx&amp;sheet=E1&amp;row=16&amp;col=9&amp;number=2988246.2&amp;sourceID=2","2988246.2")</f>
        <v>2988246.2</v>
      </c>
      <c r="J16" s="4" t="str">
        <f>HYPERLINK("http://141.218.60.56/~jnz1568/getInfo.php?workbook=06_02.xlsx&amp;sheet=E1&amp;row=16&amp;col=10&amp;number=2981866.83954&amp;sourceID=33","2981866.83954")</f>
        <v>2981866.83954</v>
      </c>
      <c r="K16" s="4" t="str">
        <f>HYPERLINK("http://141.218.60.56/~jnz1568/getInfo.php?workbook=06_02.xlsx&amp;sheet=E1&amp;row=16&amp;col=11&amp;number=2983702.74483&amp;sourceID=25","2983702.74483")</f>
        <v>2983702.74483</v>
      </c>
    </row>
    <row r="17" spans="1:11">
      <c r="A17" s="3">
        <v>6</v>
      </c>
      <c r="B17" s="3">
        <v>2</v>
      </c>
      <c r="C17" s="3">
        <f/>
        <v>0</v>
      </c>
      <c r="D17" s="3" t="s">
        <v>27</v>
      </c>
      <c r="E17" s="3" t="s">
        <v>19</v>
      </c>
      <c r="F17" s="3">
        <v>3</v>
      </c>
      <c r="G17" s="3">
        <v>1</v>
      </c>
      <c r="H17" s="3">
        <v>1</v>
      </c>
      <c r="I17" s="4" t="str">
        <f>HYPERLINK("http://141.218.60.56/~jnz1568/getInfo.php?workbook=06_02.xlsx&amp;sheet=E1&amp;row=17&amp;col=9&amp;number=2988368&amp;sourceID=2","2988368")</f>
        <v>2988368</v>
      </c>
      <c r="J17" s="4" t="str">
        <f>HYPERLINK("http://141.218.60.56/~jnz1568/getInfo.php?workbook=06_02.xlsx&amp;sheet=E1&amp;row=17&amp;col=10&amp;number=2981919.51345&amp;sourceID=33","2981919.51345")</f>
        <v>2981919.51345</v>
      </c>
      <c r="K17" s="4" t="str">
        <f>HYPERLINK("http://141.218.60.56/~jnz1568/getInfo.php?workbook=06_02.xlsx&amp;sheet=E1&amp;row=17&amp;col=11&amp;number=2983757.61349&amp;sourceID=25","2983757.61349")</f>
        <v>2983757.61349</v>
      </c>
    </row>
    <row r="18" spans="1:11">
      <c r="A18" s="3">
        <v>6</v>
      </c>
      <c r="B18" s="3">
        <v>2</v>
      </c>
      <c r="C18" s="3">
        <f/>
        <v>0</v>
      </c>
      <c r="D18" s="3" t="s">
        <v>28</v>
      </c>
      <c r="E18" s="3" t="s">
        <v>24</v>
      </c>
      <c r="F18" s="3">
        <v>3</v>
      </c>
      <c r="G18" s="3">
        <v>2</v>
      </c>
      <c r="H18" s="3">
        <v>0</v>
      </c>
      <c r="I18" s="4" t="str">
        <f>HYPERLINK("http://141.218.60.56/~jnz1568/getInfo.php?workbook=06_02.xlsx&amp;sheet=E1&amp;row=18&amp;col=9&amp;number=2990789&amp;sourceID=2","2990789")</f>
        <v>2990789</v>
      </c>
      <c r="J18" s="4" t="str">
        <f>HYPERLINK("http://141.218.60.56/~jnz1568/getInfo.php?workbook=06_02.xlsx&amp;sheet=E1&amp;row=18&amp;col=10&amp;number=2984300.8132&amp;sourceID=33","2984300.8132")</f>
        <v>2984300.8132</v>
      </c>
      <c r="K18" s="4" t="str">
        <f>HYPERLINK("http://141.218.60.56/~jnz1568/getInfo.php?workbook=06_02.xlsx&amp;sheet=E1&amp;row=18&amp;col=11&amp;number=2986160.8607&amp;sourceID=25","2986160.8607")</f>
        <v>2986160.8607</v>
      </c>
    </row>
    <row r="19" spans="1:11">
      <c r="A19" s="3">
        <v>6</v>
      </c>
      <c r="B19" s="3">
        <v>2</v>
      </c>
      <c r="C19" s="3">
        <f/>
        <v>0</v>
      </c>
      <c r="D19" s="3" t="s">
        <v>29</v>
      </c>
      <c r="E19" s="3" t="s">
        <v>31</v>
      </c>
      <c r="F19" s="3">
        <v>3</v>
      </c>
      <c r="G19" s="3">
        <v>3</v>
      </c>
      <c r="H19" s="3">
        <v>1</v>
      </c>
      <c r="I19" s="4" t="str">
        <f>HYPERLINK("http://141.218.60.56/~jnz1568/getInfo.php?workbook=06_02.xlsx&amp;sheet=E1&amp;row=19&amp;col=9&amp;number=2990923&amp;sourceID=2","2990923")</f>
        <v>2990923</v>
      </c>
      <c r="J19" s="4" t="str">
        <f>HYPERLINK("http://141.218.60.56/~jnz1568/getInfo.php?workbook=06_02.xlsx&amp;sheet=E1&amp;row=19&amp;col=10&amp;number=2984418.23213&amp;sourceID=33","2984418.23213")</f>
        <v>2984418.23213</v>
      </c>
      <c r="K19" s="4" t="str">
        <f>HYPERLINK("http://141.218.60.56/~jnz1568/getInfo.php?workbook=06_02.xlsx&amp;sheet=E1&amp;row=19&amp;col=11&amp;number=&amp;sourceID=25","")</f>
        <v/>
      </c>
    </row>
    <row r="20" spans="1:11">
      <c r="A20" s="3">
        <v>6</v>
      </c>
      <c r="B20" s="3">
        <v>2</v>
      </c>
      <c r="C20" s="3">
        <f/>
        <v>0</v>
      </c>
      <c r="D20" s="3" t="s">
        <v>29</v>
      </c>
      <c r="E20" s="3" t="s">
        <v>30</v>
      </c>
      <c r="F20" s="3">
        <v>1</v>
      </c>
      <c r="G20" s="3">
        <v>3</v>
      </c>
      <c r="H20" s="3">
        <v>1</v>
      </c>
      <c r="I20" s="4" t="str">
        <f>HYPERLINK("http://141.218.60.56/~jnz1568/getInfo.php?workbook=06_02.xlsx&amp;sheet=E1&amp;row=20&amp;col=9&amp;number=2990923.4&amp;sourceID=2","2990923.4")</f>
        <v>2990923.4</v>
      </c>
      <c r="J20" s="4" t="str">
        <f>HYPERLINK("http://141.218.60.56/~jnz1568/getInfo.php?workbook=06_02.xlsx&amp;sheet=E1&amp;row=20&amp;col=10&amp;number=2984420.42687&amp;sourceID=33","2984420.42687")</f>
        <v>2984420.42687</v>
      </c>
      <c r="K20" s="4" t="str">
        <f>HYPERLINK("http://141.218.60.56/~jnz1568/getInfo.php?workbook=06_02.xlsx&amp;sheet=E1&amp;row=20&amp;col=11&amp;number=&amp;sourceID=25","")</f>
        <v/>
      </c>
    </row>
    <row r="21" spans="1:11">
      <c r="A21" s="3">
        <v>6</v>
      </c>
      <c r="B21" s="3">
        <v>2</v>
      </c>
      <c r="C21" s="3">
        <f/>
        <v>0</v>
      </c>
      <c r="D21" s="3" t="s">
        <v>28</v>
      </c>
      <c r="E21" s="3" t="s">
        <v>25</v>
      </c>
      <c r="F21" s="3">
        <v>1</v>
      </c>
      <c r="G21" s="3">
        <v>2</v>
      </c>
      <c r="H21" s="3">
        <v>0</v>
      </c>
      <c r="I21" s="4" t="str">
        <f>HYPERLINK("http://141.218.60.56/~jnz1568/getInfo.php?workbook=06_02.xlsx&amp;sheet=E1&amp;row=21&amp;col=9&amp;number=2990929.5&amp;sourceID=2","2990929.5")</f>
        <v>2990929.5</v>
      </c>
      <c r="J21" s="4" t="str">
        <f>HYPERLINK("http://141.218.60.56/~jnz1568/getInfo.php?workbook=06_02.xlsx&amp;sheet=E1&amp;row=21&amp;col=10&amp;number=2984425.91374&amp;sourceID=33","2984425.91374")</f>
        <v>2984425.91374</v>
      </c>
      <c r="K21" s="4" t="str">
        <f>HYPERLINK("http://141.218.60.56/~jnz1568/getInfo.php?workbook=06_02.xlsx&amp;sheet=E1&amp;row=21&amp;col=11&amp;number=2986281.57175&amp;sourceID=25","2986281.57175")</f>
        <v>2986281.57175</v>
      </c>
    </row>
    <row r="22" spans="1:11">
      <c r="A22" s="3">
        <v>6</v>
      </c>
      <c r="B22" s="3">
        <v>2</v>
      </c>
      <c r="C22" s="3">
        <f/>
        <v>0</v>
      </c>
      <c r="D22" s="3" t="s">
        <v>27</v>
      </c>
      <c r="E22" s="3" t="s">
        <v>20</v>
      </c>
      <c r="F22" s="3">
        <v>1</v>
      </c>
      <c r="G22" s="3">
        <v>1</v>
      </c>
      <c r="H22" s="3">
        <v>1</v>
      </c>
      <c r="I22" s="4" t="str">
        <f>HYPERLINK("http://141.218.60.56/~jnz1568/getInfo.php?workbook=06_02.xlsx&amp;sheet=E1&amp;row=22&amp;col=9&amp;number=2991662.4&amp;sourceID=2","2991662.4")</f>
        <v>2991662.4</v>
      </c>
      <c r="J22" s="4" t="str">
        <f>HYPERLINK("http://141.218.60.56/~jnz1568/getInfo.php?workbook=06_02.xlsx&amp;sheet=E1&amp;row=22&amp;col=10&amp;number=2985252.23573&amp;sourceID=33","2985252.23573")</f>
        <v>2985252.23573</v>
      </c>
      <c r="K22" s="4" t="str">
        <f>HYPERLINK("http://141.218.60.56/~jnz1568/getInfo.php?workbook=06_02.xlsx&amp;sheet=E1&amp;row=22&amp;col=11&amp;number=2987060.70669&amp;sourceID=25","2987060.70669")</f>
        <v>2987060.70669</v>
      </c>
    </row>
    <row r="23" spans="1:11">
      <c r="A23" s="3">
        <v>6</v>
      </c>
      <c r="B23" s="3">
        <v>2</v>
      </c>
      <c r="C23" s="3">
        <f/>
        <v>0</v>
      </c>
      <c r="D23" s="3" t="s">
        <v>32</v>
      </c>
      <c r="E23" s="3" t="s">
        <v>17</v>
      </c>
      <c r="F23" s="3">
        <v>3</v>
      </c>
      <c r="G23" s="3">
        <v>0</v>
      </c>
      <c r="H23" s="3">
        <v>0</v>
      </c>
      <c r="I23" s="4" t="str">
        <f>HYPERLINK("http://141.218.60.56/~jnz1568/getInfo.php?workbook=06_02.xlsx&amp;sheet=E1&amp;row=23&amp;col=9&amp;number=3048932.7&amp;sourceID=2","3048932.7")</f>
        <v>3048932.7</v>
      </c>
      <c r="J23" s="4" t="str">
        <f>HYPERLINK("http://141.218.60.56/~jnz1568/getInfo.php?workbook=06_02.xlsx&amp;sheet=E1&amp;row=23&amp;col=10&amp;number=3042441.83779&amp;sourceID=33","3042441.83779")</f>
        <v>3042441.83779</v>
      </c>
      <c r="K23" s="4" t="str">
        <f>HYPERLINK("http://141.218.60.56/~jnz1568/getInfo.php?workbook=06_02.xlsx&amp;sheet=E1&amp;row=23&amp;col=11&amp;number=3044310.66428&amp;sourceID=25","3044310.66428")</f>
        <v>3044310.66428</v>
      </c>
    </row>
    <row r="24" spans="1:11">
      <c r="A24" s="3">
        <v>6</v>
      </c>
      <c r="B24" s="3">
        <v>2</v>
      </c>
      <c r="C24" s="3">
        <f/>
        <v>0</v>
      </c>
      <c r="D24" s="3" t="s">
        <v>32</v>
      </c>
      <c r="E24" s="3" t="s">
        <v>15</v>
      </c>
      <c r="F24" s="3">
        <v>1</v>
      </c>
      <c r="G24" s="3">
        <v>0</v>
      </c>
      <c r="H24" s="3">
        <v>0</v>
      </c>
      <c r="I24" s="4" t="str">
        <f>HYPERLINK("http://141.218.60.56/~jnz1568/getInfo.php?workbook=06_02.xlsx&amp;sheet=E1&amp;row=24&amp;col=9&amp;number=3051280.4&amp;sourceID=2","3051280.4")</f>
        <v>3051280.4</v>
      </c>
      <c r="J24" s="4" t="str">
        <f>HYPERLINK("http://141.218.60.56/~jnz1568/getInfo.php?workbook=06_02.xlsx&amp;sheet=E1&amp;row=24&amp;col=10&amp;number=3044839.59814&amp;sourceID=33","3044839.59814")</f>
        <v>3044839.59814</v>
      </c>
      <c r="K24" s="4" t="str">
        <f>HYPERLINK("http://141.218.60.56/~jnz1568/getInfo.php?workbook=06_02.xlsx&amp;sheet=E1&amp;row=24&amp;col=11&amp;number=3046691.96403&amp;sourceID=25","3046691.96403")</f>
        <v>3046691.96403</v>
      </c>
    </row>
    <row r="25" spans="1:11">
      <c r="A25" s="3">
        <v>6</v>
      </c>
      <c r="B25" s="3">
        <v>2</v>
      </c>
      <c r="C25" s="3">
        <f/>
        <v>0</v>
      </c>
      <c r="D25" s="3" t="s">
        <v>33</v>
      </c>
      <c r="E25" s="3" t="s">
        <v>19</v>
      </c>
      <c r="F25" s="3">
        <v>3</v>
      </c>
      <c r="G25" s="3">
        <v>1</v>
      </c>
      <c r="H25" s="3">
        <v>1</v>
      </c>
      <c r="I25" s="4" t="str">
        <f>HYPERLINK("http://141.218.60.56/~jnz1568/getInfo.php?workbook=06_02.xlsx&amp;sheet=E1&amp;row=25&amp;col=9&amp;number=3051349&amp;sourceID=2","3051349")</f>
        <v>3051349</v>
      </c>
      <c r="J25" s="4" t="str">
        <f>HYPERLINK("http://141.218.60.56/~jnz1568/getInfo.php?workbook=06_02.xlsx&amp;sheet=E1&amp;row=25&amp;col=10&amp;number=3044875.81146&amp;sourceID=33","3044875.81146")</f>
        <v>3044875.81146</v>
      </c>
      <c r="K25" s="4" t="str">
        <f>HYPERLINK("http://141.218.60.56/~jnz1568/getInfo.php?workbook=06_02.xlsx&amp;sheet=E1&amp;row=25&amp;col=11&amp;number=3046724.88523&amp;sourceID=25","3046724.88523")</f>
        <v>3046724.88523</v>
      </c>
    </row>
    <row r="26" spans="1:11">
      <c r="A26" s="3">
        <v>6</v>
      </c>
      <c r="B26" s="3">
        <v>2</v>
      </c>
      <c r="C26" s="3">
        <f/>
        <v>0</v>
      </c>
      <c r="D26" s="3" t="s">
        <v>34</v>
      </c>
      <c r="E26" s="3" t="s">
        <v>24</v>
      </c>
      <c r="F26" s="3">
        <v>3</v>
      </c>
      <c r="G26" s="3">
        <v>2</v>
      </c>
      <c r="H26" s="3">
        <v>0</v>
      </c>
      <c r="I26" s="4" t="str">
        <f>HYPERLINK("http://141.218.60.56/~jnz1568/getInfo.php?workbook=06_02.xlsx&amp;sheet=E1&amp;row=26&amp;col=9&amp;number=3052591&amp;sourceID=2","3052591")</f>
        <v>3052591</v>
      </c>
      <c r="J26" s="4" t="str">
        <f>HYPERLINK("http://141.218.60.56/~jnz1568/getInfo.php?workbook=06_02.xlsx&amp;sheet=E1&amp;row=26&amp;col=10&amp;number=3046082.92193&amp;sourceID=33","3046082.92193")</f>
        <v>3046082.92193</v>
      </c>
      <c r="K26" s="4" t="str">
        <f>HYPERLINK("http://141.218.60.56/~jnz1568/getInfo.php?workbook=06_02.xlsx&amp;sheet=E1&amp;row=26&amp;col=11&amp;number=3047942.96943&amp;sourceID=25","3047942.96943")</f>
        <v>3047942.96943</v>
      </c>
    </row>
    <row r="27" spans="1:11">
      <c r="A27" s="3">
        <v>6</v>
      </c>
      <c r="B27" s="3">
        <v>2</v>
      </c>
      <c r="C27" s="3">
        <f/>
        <v>0</v>
      </c>
      <c r="D27" s="3" t="s">
        <v>35</v>
      </c>
      <c r="E27" s="3" t="s">
        <v>31</v>
      </c>
      <c r="F27" s="3">
        <v>3</v>
      </c>
      <c r="G27" s="3">
        <v>3</v>
      </c>
      <c r="H27" s="3">
        <v>1</v>
      </c>
      <c r="I27" s="4" t="str">
        <f>HYPERLINK("http://141.218.60.56/~jnz1568/getInfo.php?workbook=06_02.xlsx&amp;sheet=E1&amp;row=27&amp;col=9&amp;number=3052653.3&amp;sourceID=2","3052653.3")</f>
        <v>3052653.3</v>
      </c>
      <c r="J27" s="4" t="str">
        <f>HYPERLINK("http://141.218.60.56/~jnz1568/getInfo.php?workbook=06_02.xlsx&amp;sheet=E1&amp;row=27&amp;col=10&amp;number=3046148.76432&amp;sourceID=33","3046148.76432")</f>
        <v>3046148.76432</v>
      </c>
      <c r="K27" s="4" t="str">
        <f>HYPERLINK("http://141.218.60.56/~jnz1568/getInfo.php?workbook=06_02.xlsx&amp;sheet=E1&amp;row=27&amp;col=11&amp;number=&amp;sourceID=25","")</f>
        <v/>
      </c>
    </row>
    <row r="28" spans="1:11">
      <c r="A28" s="3">
        <v>6</v>
      </c>
      <c r="B28" s="3">
        <v>2</v>
      </c>
      <c r="C28" s="3">
        <f/>
        <v>0</v>
      </c>
      <c r="D28" s="3" t="s">
        <v>35</v>
      </c>
      <c r="E28" s="3" t="s">
        <v>30</v>
      </c>
      <c r="F28" s="3">
        <v>1</v>
      </c>
      <c r="G28" s="3">
        <v>3</v>
      </c>
      <c r="H28" s="3">
        <v>1</v>
      </c>
      <c r="I28" s="4" t="str">
        <f>HYPERLINK("http://141.218.60.56/~jnz1568/getInfo.php?workbook=06_02.xlsx&amp;sheet=E1&amp;row=28&amp;col=9&amp;number=3052653.3&amp;sourceID=2","3052653.3")</f>
        <v>3052653.3</v>
      </c>
      <c r="J28" s="4" t="str">
        <f>HYPERLINK("http://141.218.60.56/~jnz1568/getInfo.php?workbook=06_02.xlsx&amp;sheet=E1&amp;row=28&amp;col=10&amp;number=3046149.86169&amp;sourceID=33","3046149.86169")</f>
        <v>3046149.86169</v>
      </c>
      <c r="K28" s="4" t="str">
        <f>HYPERLINK("http://141.218.60.56/~jnz1568/getInfo.php?workbook=06_02.xlsx&amp;sheet=E1&amp;row=28&amp;col=11&amp;number=&amp;sourceID=25","")</f>
        <v/>
      </c>
    </row>
    <row r="29" spans="1:11">
      <c r="A29" s="3">
        <v>6</v>
      </c>
      <c r="B29" s="3">
        <v>2</v>
      </c>
      <c r="C29" s="3">
        <f/>
        <v>0</v>
      </c>
      <c r="D29" s="3" t="s">
        <v>36</v>
      </c>
      <c r="E29" s="3" t="s">
        <v>37</v>
      </c>
      <c r="F29" s="3">
        <v>3</v>
      </c>
      <c r="G29" s="3">
        <v>4</v>
      </c>
      <c r="H29" s="3">
        <v>0</v>
      </c>
      <c r="I29" s="4" t="str">
        <f>HYPERLINK("http://141.218.60.56/~jnz1568/getInfo.php?workbook=06_02.xlsx&amp;sheet=E1&amp;row=29&amp;col=9&amp;number=3052659.4&amp;sourceID=2","3052659.4")</f>
        <v>3052659.4</v>
      </c>
      <c r="J29" s="4" t="str">
        <f>HYPERLINK("http://141.218.60.56/~jnz1568/getInfo.php?workbook=06_02.xlsx&amp;sheet=E1&amp;row=29&amp;col=10&amp;number=3046153.15381&amp;sourceID=33","3046153.15381")</f>
        <v>3046153.15381</v>
      </c>
      <c r="K29" s="4" t="str">
        <f>HYPERLINK("http://141.218.60.56/~jnz1568/getInfo.php?workbook=06_02.xlsx&amp;sheet=E1&amp;row=29&amp;col=11&amp;number=&amp;sourceID=25","")</f>
        <v/>
      </c>
    </row>
    <row r="30" spans="1:11">
      <c r="A30" s="3">
        <v>6</v>
      </c>
      <c r="B30" s="3">
        <v>2</v>
      </c>
      <c r="C30" s="3">
        <f/>
        <v>0</v>
      </c>
      <c r="D30" s="3" t="s">
        <v>36</v>
      </c>
      <c r="E30" s="3" t="s">
        <v>38</v>
      </c>
      <c r="F30" s="3">
        <v>1</v>
      </c>
      <c r="G30" s="3">
        <v>4</v>
      </c>
      <c r="H30" s="3">
        <v>0</v>
      </c>
      <c r="I30" s="4" t="str">
        <f>HYPERLINK("http://141.218.60.56/~jnz1568/getInfo.php?workbook=06_02.xlsx&amp;sheet=E1&amp;row=30&amp;col=9&amp;number=3052659.4&amp;sourceID=2","3052659.4")</f>
        <v>3052659.4</v>
      </c>
      <c r="J30" s="4" t="str">
        <f>HYPERLINK("http://141.218.60.56/~jnz1568/getInfo.php?workbook=06_02.xlsx&amp;sheet=E1&amp;row=30&amp;col=10&amp;number=3046153.15381&amp;sourceID=33","3046153.15381")</f>
        <v>3046153.15381</v>
      </c>
      <c r="K30" s="4" t="str">
        <f>HYPERLINK("http://141.218.60.56/~jnz1568/getInfo.php?workbook=06_02.xlsx&amp;sheet=E1&amp;row=30&amp;col=11&amp;number=&amp;sourceID=25","")</f>
        <v/>
      </c>
    </row>
    <row r="31" spans="1:11">
      <c r="A31" s="3">
        <v>6</v>
      </c>
      <c r="B31" s="3">
        <v>2</v>
      </c>
      <c r="C31" s="3">
        <f/>
        <v>0</v>
      </c>
      <c r="D31" s="3" t="s">
        <v>34</v>
      </c>
      <c r="E31" s="3" t="s">
        <v>25</v>
      </c>
      <c r="F31" s="3">
        <v>1</v>
      </c>
      <c r="G31" s="3">
        <v>2</v>
      </c>
      <c r="H31" s="3">
        <v>0</v>
      </c>
      <c r="I31" s="4" t="str">
        <f>HYPERLINK("http://141.218.60.56/~jnz1568/getInfo.php?workbook=06_02.xlsx&amp;sheet=E1&amp;row=31&amp;col=9&amp;number=3052669.4&amp;sourceID=2","3052669.4")</f>
        <v>3052669.4</v>
      </c>
      <c r="J31" s="4" t="str">
        <f>HYPERLINK("http://141.218.60.56/~jnz1568/getInfo.php?workbook=06_02.xlsx&amp;sheet=E1&amp;row=31&amp;col=10&amp;number=3046153.15381&amp;sourceID=33","3046153.15381")</f>
        <v>3046153.15381</v>
      </c>
      <c r="K31" s="4" t="str">
        <f>HYPERLINK("http://141.218.60.56/~jnz1568/getInfo.php?workbook=06_02.xlsx&amp;sheet=E1&amp;row=31&amp;col=11&amp;number=3048008.81182&amp;sourceID=25","3048008.81182")</f>
        <v>3048008.81182</v>
      </c>
    </row>
    <row r="32" spans="1:11">
      <c r="A32" s="3">
        <v>6</v>
      </c>
      <c r="B32" s="3">
        <v>2</v>
      </c>
      <c r="C32" s="3">
        <f/>
        <v>0</v>
      </c>
      <c r="D32" s="3" t="s">
        <v>33</v>
      </c>
      <c r="E32" s="3" t="s">
        <v>20</v>
      </c>
      <c r="F32" s="3">
        <v>1</v>
      </c>
      <c r="G32" s="3">
        <v>1</v>
      </c>
      <c r="H32" s="3">
        <v>1</v>
      </c>
      <c r="I32" s="4" t="str">
        <f>HYPERLINK("http://141.218.60.56/~jnz1568/getInfo.php?workbook=06_02.xlsx&amp;sheet=E1&amp;row=32&amp;col=9&amp;number=3053044&amp;sourceID=2","3053044")</f>
        <v>3053044</v>
      </c>
      <c r="J32" s="4" t="str">
        <f>HYPERLINK("http://141.218.60.56/~jnz1568/getInfo.php?workbook=06_02.xlsx&amp;sheet=E1&amp;row=32&amp;col=10&amp;number=3046566.20507&amp;sourceID=33","3046566.20507")</f>
        <v>3046566.20507</v>
      </c>
      <c r="K32" s="4" t="str">
        <f>HYPERLINK("http://141.218.60.56/~jnz1568/getInfo.php?workbook=06_02.xlsx&amp;sheet=E1&amp;row=32&amp;col=11&amp;number=3048403.86616&amp;sourceID=25","3048403.86616")</f>
        <v>3048403.86616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21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1.7109375" customWidth="1"/>
    <col min="7" max="7" width="13.7109375" customWidth="1"/>
    <col min="8" max="8" width="15.7109375" customWidth="1"/>
    <col min="9" max="9" width="15.7109375" customWidth="1"/>
    <col min="10" max="10" width="15.7109375" customWidth="1"/>
    <col min="11" max="11" width="13.7109375" customWidth="1"/>
    <col min="12" max="12" width="10.7109375" customWidth="1"/>
    <col min="13" max="13" width="10.7109375" customWidth="1"/>
    <col min="14" max="14" width="10.7109375" customWidth="1"/>
    <col min="15" max="15" width="13.7109375" customWidth="1"/>
    <col min="16" max="16" width="10.7109375" customWidth="1"/>
    <col min="17" max="17" width="10.7109375" customWidth="1"/>
    <col min="18" max="18" width="10.7109375" customWidth="1"/>
  </cols>
  <sheetData>
    <row r="1" spans="1:18">
      <c r="A1" s="1" t="s">
        <v>42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2"/>
      <c r="B2" s="2"/>
      <c r="C2" s="2"/>
      <c r="D2" s="2"/>
      <c r="E2" s="2"/>
      <c r="F2" s="2" t="s">
        <v>43</v>
      </c>
      <c r="G2" s="2" t="s">
        <v>44</v>
      </c>
      <c r="H2" s="2" t="s">
        <v>44</v>
      </c>
      <c r="I2" s="2" t="s">
        <v>44</v>
      </c>
      <c r="J2" s="2" t="s">
        <v>44</v>
      </c>
      <c r="K2" s="2" t="s">
        <v>2</v>
      </c>
      <c r="L2" s="2" t="s">
        <v>2</v>
      </c>
      <c r="M2" s="2" t="s">
        <v>2</v>
      </c>
      <c r="N2" s="2" t="s">
        <v>2</v>
      </c>
      <c r="O2" s="2" t="s">
        <v>3</v>
      </c>
      <c r="P2" s="2" t="s">
        <v>3</v>
      </c>
      <c r="Q2" s="2" t="s">
        <v>3</v>
      </c>
      <c r="R2" s="2" t="s">
        <v>3</v>
      </c>
    </row>
    <row r="3" spans="1:18">
      <c r="A3" s="2" t="s">
        <v>4</v>
      </c>
      <c r="B3" s="2" t="s">
        <v>5</v>
      </c>
      <c r="C3" s="2" t="s">
        <v>45</v>
      </c>
      <c r="D3" s="2" t="s">
        <v>6</v>
      </c>
      <c r="E3" s="2" t="s">
        <v>46</v>
      </c>
      <c r="F3" s="2" t="s">
        <v>47</v>
      </c>
      <c r="G3" s="2" t="s">
        <v>48</v>
      </c>
      <c r="H3" s="2" t="s">
        <v>49</v>
      </c>
      <c r="I3" s="2" t="s">
        <v>50</v>
      </c>
      <c r="J3" s="2" t="s">
        <v>51</v>
      </c>
      <c r="K3" s="2" t="s">
        <v>48</v>
      </c>
      <c r="L3" s="2" t="s">
        <v>49</v>
      </c>
      <c r="M3" s="2" t="s">
        <v>50</v>
      </c>
      <c r="N3" s="2" t="s">
        <v>51</v>
      </c>
      <c r="O3" s="2" t="s">
        <v>48</v>
      </c>
      <c r="P3" s="2" t="s">
        <v>49</v>
      </c>
      <c r="Q3" s="2" t="s">
        <v>50</v>
      </c>
      <c r="R3" s="2" t="s">
        <v>51</v>
      </c>
    </row>
    <row r="4" spans="1:18">
      <c r="A4" s="3">
        <v>6</v>
      </c>
      <c r="B4" s="3">
        <v>2</v>
      </c>
      <c r="C4" s="3">
        <v>2</v>
      </c>
      <c r="D4" s="3">
        <v>1</v>
      </c>
      <c r="E4" s="3">
        <f>((1/(INDEX(E0!J$4:J$52,C4,1)-INDEX(E0!J$4:J$52,D4,1))))*100000000</f>
        <v>0</v>
      </c>
      <c r="F4" s="4" t="str">
        <f>HYPERLINK("http://141.218.60.56/~jnz1568/getInfo.php?workbook=06_02.xlsx&amp;sheet=A0&amp;row=4&amp;col=6&amp;number=&amp;sourceID=27","")</f>
        <v/>
      </c>
      <c r="G4" s="4" t="str">
        <f>HYPERLINK("http://141.218.60.56/~jnz1568/getInfo.php?workbook=06_02.xlsx&amp;sheet=A0&amp;row=4&amp;col=7&amp;number=&amp;sourceID=34","")</f>
        <v/>
      </c>
      <c r="H4" s="4" t="str">
        <f>HYPERLINK("http://141.218.60.56/~jnz1568/getInfo.php?workbook=06_02.xlsx&amp;sheet=A0&amp;row=4&amp;col=8&amp;number=&amp;sourceID=34","")</f>
        <v/>
      </c>
      <c r="I4" s="4" t="str">
        <f>HYPERLINK("http://141.218.60.56/~jnz1568/getInfo.php?workbook=06_02.xlsx&amp;sheet=A0&amp;row=4&amp;col=9&amp;number==145.7/3&amp;sourceID=34","=145.7/3")</f>
        <v>=145.7/3</v>
      </c>
      <c r="J4" s="4" t="str">
        <f>HYPERLINK("http://141.218.60.56/~jnz1568/getInfo.php?workbook=06_02.xlsx&amp;sheet=A0&amp;row=4&amp;col=10&amp;number=&amp;sourceID=34","")</f>
        <v/>
      </c>
      <c r="K4" s="4" t="str">
        <f>HYPERLINK("http://141.218.60.56/~jnz1568/getInfo.php?workbook=06_02.xlsx&amp;sheet=A0&amp;row=4&amp;col=11&amp;number=&amp;sourceID=30","")</f>
        <v/>
      </c>
      <c r="L4" s="4" t="str">
        <f>HYPERLINK("http://141.218.60.56/~jnz1568/getInfo.php?workbook=06_02.xlsx&amp;sheet=A0&amp;row=4&amp;col=12&amp;number=&amp;sourceID=30","")</f>
        <v/>
      </c>
      <c r="M4" s="4" t="str">
        <f>HYPERLINK("http://141.218.60.56/~jnz1568/getInfo.php?workbook=06_02.xlsx&amp;sheet=A0&amp;row=4&amp;col=13&amp;number=41.85&amp;sourceID=30","41.85")</f>
        <v>41.85</v>
      </c>
      <c r="N4" s="4" t="str">
        <f>HYPERLINK("http://141.218.60.56/~jnz1568/getInfo.php?workbook=06_02.xlsx&amp;sheet=A0&amp;row=4&amp;col=14&amp;number=&amp;sourceID=30","")</f>
        <v/>
      </c>
      <c r="O4" s="4" t="str">
        <f>HYPERLINK("http://141.218.60.56/~jnz1568/getInfo.php?workbook=06_02.xlsx&amp;sheet=A0&amp;row=4&amp;col=15&amp;number=&amp;sourceID=32","")</f>
        <v/>
      </c>
      <c r="P4" s="4" t="str">
        <f>HYPERLINK("http://141.218.60.56/~jnz1568/getInfo.php?workbook=06_02.xlsx&amp;sheet=A0&amp;row=4&amp;col=16&amp;number=&amp;sourceID=32","")</f>
        <v/>
      </c>
      <c r="Q4" s="4" t="str">
        <f>HYPERLINK("http://141.218.60.56/~jnz1568/getInfo.php?workbook=06_02.xlsx&amp;sheet=A0&amp;row=4&amp;col=17&amp;number=48.74&amp;sourceID=32","48.74")</f>
        <v>48.74</v>
      </c>
      <c r="R4" s="4" t="str">
        <f>HYPERLINK("http://141.218.60.56/~jnz1568/getInfo.php?workbook=06_02.xlsx&amp;sheet=A0&amp;row=4&amp;col=18&amp;number=&amp;sourceID=32","")</f>
        <v/>
      </c>
    </row>
    <row r="5" spans="1:18">
      <c r="A5" s="3">
        <v>6</v>
      </c>
      <c r="B5" s="3">
        <v>2</v>
      </c>
      <c r="C5" s="3">
        <v>3</v>
      </c>
      <c r="D5" s="3">
        <v>1</v>
      </c>
      <c r="E5" s="3"/>
      <c r="F5" s="4" t="str">
        <f>HYPERLINK("http://141.218.60.56/~jnz1568/getInfo.php?workbook=06_02.xlsx&amp;sheet=A0&amp;row=5&amp;col=6&amp;number=329601.312&amp;sourceID=27","329601.312")</f>
        <v>329601.312</v>
      </c>
      <c r="G5" s="4" t="str">
        <f>HYPERLINK("http://141.218.60.56/~jnz1568/getInfo.php?workbook=06_02.xlsx&amp;sheet=A0&amp;row=5&amp;col=7&amp;number=&amp;sourceID=34","")</f>
        <v/>
      </c>
      <c r="H5" s="4" t="str">
        <f>HYPERLINK("http://141.218.60.56/~jnz1568/getInfo.php?workbook=06_02.xlsx&amp;sheet=A0&amp;row=5&amp;col=8&amp;number=&amp;sourceID=34","")</f>
        <v/>
      </c>
      <c r="I5" s="4" t="str">
        <f>HYPERLINK("http://141.218.60.56/~jnz1568/getInfo.php?workbook=06_02.xlsx&amp;sheet=A0&amp;row=5&amp;col=9&amp;number=&amp;sourceID=34","")</f>
        <v/>
      </c>
      <c r="J5" s="4" t="str">
        <f>HYPERLINK("http://141.218.60.56/~jnz1568/getInfo.php?workbook=06_02.xlsx&amp;sheet=A0&amp;row=5&amp;col=10&amp;number=&amp;sourceID=34","")</f>
        <v/>
      </c>
      <c r="K5" s="4" t="str">
        <f>HYPERLINK("http://141.218.60.56/~jnz1568/getInfo.php?workbook=06_02.xlsx&amp;sheet=A0&amp;row=5&amp;col=11&amp;number=&amp;sourceID=30","")</f>
        <v/>
      </c>
      <c r="L5" s="4" t="str">
        <f>HYPERLINK("http://141.218.60.56/~jnz1568/getInfo.php?workbook=06_02.xlsx&amp;sheet=A0&amp;row=5&amp;col=12&amp;number=&amp;sourceID=30","")</f>
        <v/>
      </c>
      <c r="M5" s="4" t="str">
        <f>HYPERLINK("http://141.218.60.56/~jnz1568/getInfo.php?workbook=06_02.xlsx&amp;sheet=A0&amp;row=5&amp;col=13&amp;number=&amp;sourceID=30","")</f>
        <v/>
      </c>
      <c r="N5" s="4" t="str">
        <f>HYPERLINK("http://141.218.60.56/~jnz1568/getInfo.php?workbook=06_02.xlsx&amp;sheet=A0&amp;row=5&amp;col=14&amp;number=&amp;sourceID=30","")</f>
        <v/>
      </c>
      <c r="O5" s="4" t="str">
        <f>HYPERLINK("http://141.218.60.56/~jnz1568/getInfo.php?workbook=06_02.xlsx&amp;sheet=A0&amp;row=5&amp;col=15&amp;number=&amp;sourceID=32","")</f>
        <v/>
      </c>
      <c r="P5" s="4" t="str">
        <f>HYPERLINK("http://141.218.60.56/~jnz1568/getInfo.php?workbook=06_02.xlsx&amp;sheet=A0&amp;row=5&amp;col=16&amp;number=&amp;sourceID=32","")</f>
        <v/>
      </c>
      <c r="Q5" s="4" t="str">
        <f>HYPERLINK("http://141.218.60.56/~jnz1568/getInfo.php?workbook=06_02.xlsx&amp;sheet=A0&amp;row=5&amp;col=17&amp;number=&amp;sourceID=32","")</f>
        <v/>
      </c>
      <c r="R5" s="4" t="str">
        <f>HYPERLINK("http://141.218.60.56/~jnz1568/getInfo.php?workbook=06_02.xlsx&amp;sheet=A0&amp;row=5&amp;col=18&amp;number=&amp;sourceID=32","")</f>
        <v/>
      </c>
    </row>
    <row r="6" spans="1:18">
      <c r="A6" s="3">
        <v>6</v>
      </c>
      <c r="B6" s="3">
        <v>2</v>
      </c>
      <c r="C6" s="3">
        <v>3</v>
      </c>
      <c r="D6" s="3">
        <v>2</v>
      </c>
      <c r="E6" s="3">
        <f>((1/(INDEX(E0!J$4:J$52,C6,1)-INDEX(E0!J$4:J$52,D6,1))))*100000000</f>
        <v>0</v>
      </c>
      <c r="F6" s="4" t="str">
        <f>HYPERLINK("http://141.218.60.56/~jnz1568/getInfo.php?workbook=06_02.xlsx&amp;sheet=A0&amp;row=6&amp;col=6&amp;number=&amp;sourceID=27","")</f>
        <v/>
      </c>
      <c r="G6" s="4" t="str">
        <f>HYPERLINK("http://141.218.60.56/~jnz1568/getInfo.php?workbook=06_02.xlsx&amp;sheet=A0&amp;row=6&amp;col=7&amp;number=&amp;sourceID=34","")</f>
        <v/>
      </c>
      <c r="H6" s="4" t="str">
        <f>HYPERLINK("http://141.218.60.56/~jnz1568/getInfo.php?workbook=06_02.xlsx&amp;sheet=A0&amp;row=6&amp;col=8&amp;number=&amp;sourceID=34","")</f>
        <v/>
      </c>
      <c r="I6" s="4" t="str">
        <f>HYPERLINK("http://141.218.60.56/~jnz1568/getInfo.php?workbook=06_02.xlsx&amp;sheet=A0&amp;row=6&amp;col=9&amp;number=&amp;sourceID=34","")</f>
        <v/>
      </c>
      <c r="J6" s="4" t="str">
        <f>HYPERLINK("http://141.218.60.56/~jnz1568/getInfo.php?workbook=06_02.xlsx&amp;sheet=A0&amp;row=6&amp;col=10&amp;number=&amp;sourceID=34","")</f>
        <v/>
      </c>
      <c r="K6" s="4" t="str">
        <f>HYPERLINK("http://141.218.60.56/~jnz1568/getInfo.php?workbook=06_02.xlsx&amp;sheet=A0&amp;row=6&amp;col=11&amp;number=&amp;sourceID=30","")</f>
        <v/>
      </c>
      <c r="L6" s="4" t="str">
        <f>HYPERLINK("http://141.218.60.56/~jnz1568/getInfo.php?workbook=06_02.xlsx&amp;sheet=A0&amp;row=6&amp;col=12&amp;number=&amp;sourceID=30","")</f>
        <v/>
      </c>
      <c r="M6" s="4" t="str">
        <f>HYPERLINK("http://141.218.60.56/~jnz1568/getInfo.php?workbook=06_02.xlsx&amp;sheet=A0&amp;row=6&amp;col=13&amp;number=0.002246&amp;sourceID=30","0.002246")</f>
        <v>0.002246</v>
      </c>
      <c r="N6" s="4" t="str">
        <f>HYPERLINK("http://141.218.60.56/~jnz1568/getInfo.php?workbook=06_02.xlsx&amp;sheet=A0&amp;row=6&amp;col=14&amp;number=&amp;sourceID=30","")</f>
        <v/>
      </c>
      <c r="O6" s="4" t="str">
        <f>HYPERLINK("http://141.218.60.56/~jnz1568/getInfo.php?workbook=06_02.xlsx&amp;sheet=A0&amp;row=6&amp;col=15&amp;number=&amp;sourceID=32","")</f>
        <v/>
      </c>
      <c r="P6" s="4" t="str">
        <f>HYPERLINK("http://141.218.60.56/~jnz1568/getInfo.php?workbook=06_02.xlsx&amp;sheet=A0&amp;row=6&amp;col=16&amp;number=&amp;sourceID=32","")</f>
        <v/>
      </c>
      <c r="Q6" s="4" t="str">
        <f>HYPERLINK("http://141.218.60.56/~jnz1568/getInfo.php?workbook=06_02.xlsx&amp;sheet=A0&amp;row=6&amp;col=17&amp;number=0.00187&amp;sourceID=32","0.00187")</f>
        <v>0.00187</v>
      </c>
      <c r="R6" s="4" t="str">
        <f>HYPERLINK("http://141.218.60.56/~jnz1568/getInfo.php?workbook=06_02.xlsx&amp;sheet=A0&amp;row=6&amp;col=18&amp;number=&amp;sourceID=32","")</f>
        <v/>
      </c>
    </row>
    <row r="7" spans="1:18">
      <c r="A7" s="3">
        <v>6</v>
      </c>
      <c r="B7" s="3">
        <v>2</v>
      </c>
      <c r="C7" s="3">
        <v>4</v>
      </c>
      <c r="D7" s="3">
        <v>1</v>
      </c>
      <c r="E7" s="3">
        <f>((1/(INDEX(E0!J$4:J$52,C7,1)-INDEX(E0!J$4:J$52,D7,1))))*100000000</f>
        <v>0</v>
      </c>
      <c r="F7" s="4" t="str">
        <f>HYPERLINK("http://141.218.60.56/~jnz1568/getInfo.php?workbook=06_02.xlsx&amp;sheet=A0&amp;row=7&amp;col=6&amp;number=&amp;sourceID=27","")</f>
        <v/>
      </c>
      <c r="G7" s="4" t="str">
        <f>HYPERLINK("http://141.218.60.56/~jnz1568/getInfo.php?workbook=06_02.xlsx&amp;sheet=A0&amp;row=7&amp;col=7&amp;number=&amp;sourceID=34","")</f>
        <v/>
      </c>
      <c r="H7" s="4" t="str">
        <f>HYPERLINK("http://141.218.60.56/~jnz1568/getInfo.php?workbook=06_02.xlsx&amp;sheet=A0&amp;row=7&amp;col=8&amp;number=&amp;sourceID=34","")</f>
        <v/>
      </c>
      <c r="I7" s="4" t="str">
        <f>HYPERLINK("http://141.218.60.56/~jnz1568/getInfo.php?workbook=06_02.xlsx&amp;sheet=A0&amp;row=7&amp;col=9&amp;number=&amp;sourceID=34","")</f>
        <v/>
      </c>
      <c r="J7" s="4" t="str">
        <f>HYPERLINK("http://141.218.60.56/~jnz1568/getInfo.php?workbook=06_02.xlsx&amp;sheet=A0&amp;row=7&amp;col=10&amp;number=&amp;sourceID=34","")</f>
        <v/>
      </c>
      <c r="K7" s="4" t="str">
        <f>HYPERLINK("http://141.218.60.56/~jnz1568/getInfo.php?workbook=06_02.xlsx&amp;sheet=A0&amp;row=7&amp;col=11&amp;number=27760000&amp;sourceID=30","27760000")</f>
        <v>27760000</v>
      </c>
      <c r="L7" s="4" t="str">
        <f>HYPERLINK("http://141.218.60.56/~jnz1568/getInfo.php?workbook=06_02.xlsx&amp;sheet=A0&amp;row=7&amp;col=12&amp;number=&amp;sourceID=30","")</f>
        <v/>
      </c>
      <c r="M7" s="4" t="str">
        <f>HYPERLINK("http://141.218.60.56/~jnz1568/getInfo.php?workbook=06_02.xlsx&amp;sheet=A0&amp;row=7&amp;col=13&amp;number=&amp;sourceID=30","")</f>
        <v/>
      </c>
      <c r="N7" s="4" t="str">
        <f>HYPERLINK("http://141.218.60.56/~jnz1568/getInfo.php?workbook=06_02.xlsx&amp;sheet=A0&amp;row=7&amp;col=14&amp;number=&amp;sourceID=30","")</f>
        <v/>
      </c>
      <c r="O7" s="4" t="str">
        <f>HYPERLINK("http://141.218.60.56/~jnz1568/getInfo.php?workbook=06_02.xlsx&amp;sheet=A0&amp;row=7&amp;col=15&amp;number=27010000&amp;sourceID=32","27010000")</f>
        <v>27010000</v>
      </c>
      <c r="P7" s="4" t="str">
        <f>HYPERLINK("http://141.218.60.56/~jnz1568/getInfo.php?workbook=06_02.xlsx&amp;sheet=A0&amp;row=7&amp;col=16&amp;number=&amp;sourceID=32","")</f>
        <v/>
      </c>
      <c r="Q7" s="4" t="str">
        <f>HYPERLINK("http://141.218.60.56/~jnz1568/getInfo.php?workbook=06_02.xlsx&amp;sheet=A0&amp;row=7&amp;col=17&amp;number=&amp;sourceID=32","")</f>
        <v/>
      </c>
      <c r="R7" s="4" t="str">
        <f>HYPERLINK("http://141.218.60.56/~jnz1568/getInfo.php?workbook=06_02.xlsx&amp;sheet=A0&amp;row=7&amp;col=18&amp;number=&amp;sourceID=32","")</f>
        <v/>
      </c>
    </row>
    <row r="8" spans="1:18">
      <c r="A8" s="3">
        <v>6</v>
      </c>
      <c r="B8" s="3">
        <v>2</v>
      </c>
      <c r="C8" s="3">
        <v>4</v>
      </c>
      <c r="D8" s="3">
        <v>2</v>
      </c>
      <c r="E8" s="3">
        <f>((1/(INDEX(E0!J$4:J$52,C8,1)-INDEX(E0!J$4:J$52,D8,1))))*100000000</f>
        <v>0</v>
      </c>
      <c r="F8" s="4" t="str">
        <f>HYPERLINK("http://141.218.60.56/~jnz1568/getInfo.php?workbook=06_02.xlsx&amp;sheet=A0&amp;row=8&amp;col=6&amp;number=&amp;sourceID=27","")</f>
        <v/>
      </c>
      <c r="G8" s="4" t="str">
        <f>HYPERLINK("http://141.218.60.56/~jnz1568/getInfo.php?workbook=06_02.xlsx&amp;sheet=A0&amp;row=8&amp;col=7&amp;number=56170000&amp;sourceID=34","56170000")</f>
        <v>56170000</v>
      </c>
      <c r="H8" s="4" t="str">
        <f>HYPERLINK("http://141.218.60.56/~jnz1568/getInfo.php?workbook=06_02.xlsx&amp;sheet=A0&amp;row=8&amp;col=8&amp;number=&amp;sourceID=34","")</f>
        <v/>
      </c>
      <c r="I8" s="4" t="str">
        <f>HYPERLINK("http://141.218.60.56/~jnz1568/getInfo.php?workbook=06_02.xlsx&amp;sheet=A0&amp;row=8&amp;col=9&amp;number=&amp;sourceID=34","")</f>
        <v/>
      </c>
      <c r="J8" s="4" t="str">
        <f>HYPERLINK("http://141.218.60.56/~jnz1568/getInfo.php?workbook=06_02.xlsx&amp;sheet=A0&amp;row=8&amp;col=10&amp;number=&amp;sourceID=34","")</f>
        <v/>
      </c>
      <c r="K8" s="4" t="str">
        <f>HYPERLINK("http://141.218.60.56/~jnz1568/getInfo.php?workbook=06_02.xlsx&amp;sheet=A0&amp;row=8&amp;col=11&amp;number=60180000&amp;sourceID=30","60180000")</f>
        <v>60180000</v>
      </c>
      <c r="L8" s="4" t="str">
        <f>HYPERLINK("http://141.218.60.56/~jnz1568/getInfo.php?workbook=06_02.xlsx&amp;sheet=A0&amp;row=8&amp;col=12&amp;number=&amp;sourceID=30","")</f>
        <v/>
      </c>
      <c r="M8" s="4" t="str">
        <f>HYPERLINK("http://141.218.60.56/~jnz1568/getInfo.php?workbook=06_02.xlsx&amp;sheet=A0&amp;row=8&amp;col=13&amp;number=&amp;sourceID=30","")</f>
        <v/>
      </c>
      <c r="N8" s="4" t="str">
        <f>HYPERLINK("http://141.218.60.56/~jnz1568/getInfo.php?workbook=06_02.xlsx&amp;sheet=A0&amp;row=8&amp;col=14&amp;number=0.0004325&amp;sourceID=30","0.0004325")</f>
        <v>0.0004325</v>
      </c>
      <c r="O8" s="4" t="str">
        <f>HYPERLINK("http://141.218.60.56/~jnz1568/getInfo.php?workbook=06_02.xlsx&amp;sheet=A0&amp;row=8&amp;col=15&amp;number=56650000&amp;sourceID=32","56650000")</f>
        <v>56650000</v>
      </c>
      <c r="P8" s="4" t="str">
        <f>HYPERLINK("http://141.218.60.56/~jnz1568/getInfo.php?workbook=06_02.xlsx&amp;sheet=A0&amp;row=8&amp;col=16&amp;number=&amp;sourceID=32","")</f>
        <v/>
      </c>
      <c r="Q8" s="4" t="str">
        <f>HYPERLINK("http://141.218.60.56/~jnz1568/getInfo.php?workbook=06_02.xlsx&amp;sheet=A0&amp;row=8&amp;col=17&amp;number=&amp;sourceID=32","")</f>
        <v/>
      </c>
      <c r="R8" s="4" t="str">
        <f>HYPERLINK("http://141.218.60.56/~jnz1568/getInfo.php?workbook=06_02.xlsx&amp;sheet=A0&amp;row=8&amp;col=18&amp;number=0.0003962&amp;sourceID=32","0.0003962")</f>
        <v>0.0003962</v>
      </c>
    </row>
    <row r="9" spans="1:18">
      <c r="A9" s="3">
        <v>6</v>
      </c>
      <c r="B9" s="3">
        <v>2</v>
      </c>
      <c r="C9" s="3">
        <v>5</v>
      </c>
      <c r="D9" s="3">
        <v>2</v>
      </c>
      <c r="E9" s="3">
        <f>((1/(INDEX(E0!J$4:J$52,C9,1)-INDEX(E0!J$4:J$52,D9,1))))*100000000</f>
        <v>0</v>
      </c>
      <c r="F9" s="4" t="str">
        <f>HYPERLINK("http://141.218.60.56/~jnz1568/getInfo.php?workbook=06_02.xlsx&amp;sheet=A0&amp;row=9&amp;col=6&amp;number=&amp;sourceID=27","")</f>
        <v/>
      </c>
      <c r="G9" s="4" t="str">
        <f>HYPERLINK("http://141.218.60.56/~jnz1568/getInfo.php?workbook=06_02.xlsx&amp;sheet=A0&amp;row=9&amp;col=7&amp;number=56210000&amp;sourceID=34","56210000")</f>
        <v>56210000</v>
      </c>
      <c r="H9" s="4" t="str">
        <f>HYPERLINK("http://141.218.60.56/~jnz1568/getInfo.php?workbook=06_02.xlsx&amp;sheet=A0&amp;row=9&amp;col=8&amp;number=&amp;sourceID=34","")</f>
        <v/>
      </c>
      <c r="I9" s="4" t="str">
        <f>HYPERLINK("http://141.218.60.56/~jnz1568/getInfo.php?workbook=06_02.xlsx&amp;sheet=A0&amp;row=9&amp;col=9&amp;number=&amp;sourceID=34","")</f>
        <v/>
      </c>
      <c r="J9" s="4" t="str">
        <f>HYPERLINK("http://141.218.60.56/~jnz1568/getInfo.php?workbook=06_02.xlsx&amp;sheet=A0&amp;row=9&amp;col=10&amp;number=&amp;sourceID=34","")</f>
        <v/>
      </c>
      <c r="K9" s="4" t="str">
        <f>HYPERLINK("http://141.218.60.56/~jnz1568/getInfo.php?workbook=06_02.xlsx&amp;sheet=A0&amp;row=9&amp;col=11&amp;number=60230000&amp;sourceID=30","60230000")</f>
        <v>60230000</v>
      </c>
      <c r="L9" s="4" t="str">
        <f>HYPERLINK("http://141.218.60.56/~jnz1568/getInfo.php?workbook=06_02.xlsx&amp;sheet=A0&amp;row=9&amp;col=12&amp;number=&amp;sourceID=30","")</f>
        <v/>
      </c>
      <c r="M9" s="4" t="str">
        <f>HYPERLINK("http://141.218.60.56/~jnz1568/getInfo.php?workbook=06_02.xlsx&amp;sheet=A0&amp;row=9&amp;col=13&amp;number=&amp;sourceID=30","")</f>
        <v/>
      </c>
      <c r="N9" s="4" t="str">
        <f>HYPERLINK("http://141.218.60.56/~jnz1568/getInfo.php?workbook=06_02.xlsx&amp;sheet=A0&amp;row=9&amp;col=14&amp;number=&amp;sourceID=30","")</f>
        <v/>
      </c>
      <c r="O9" s="4" t="str">
        <f>HYPERLINK("http://141.218.60.56/~jnz1568/getInfo.php?workbook=06_02.xlsx&amp;sheet=A0&amp;row=9&amp;col=15&amp;number=56700000&amp;sourceID=32","56700000")</f>
        <v>56700000</v>
      </c>
      <c r="P9" s="4" t="str">
        <f>HYPERLINK("http://141.218.60.56/~jnz1568/getInfo.php?workbook=06_02.xlsx&amp;sheet=A0&amp;row=9&amp;col=16&amp;number=&amp;sourceID=32","")</f>
        <v/>
      </c>
      <c r="Q9" s="4" t="str">
        <f>HYPERLINK("http://141.218.60.56/~jnz1568/getInfo.php?workbook=06_02.xlsx&amp;sheet=A0&amp;row=9&amp;col=17&amp;number=&amp;sourceID=32","")</f>
        <v/>
      </c>
      <c r="R9" s="4" t="str">
        <f>HYPERLINK("http://141.218.60.56/~jnz1568/getInfo.php?workbook=06_02.xlsx&amp;sheet=A0&amp;row=9&amp;col=18&amp;number=&amp;sourceID=32","")</f>
        <v/>
      </c>
    </row>
    <row r="10" spans="1:18">
      <c r="A10" s="3">
        <v>6</v>
      </c>
      <c r="B10" s="3">
        <v>2</v>
      </c>
      <c r="C10" s="3">
        <v>6</v>
      </c>
      <c r="D10" s="3">
        <v>1</v>
      </c>
      <c r="E10" s="3">
        <f>((1/(INDEX(E0!J$4:J$52,C10,1)-INDEX(E0!J$4:J$52,D10,1))))*100000000</f>
        <v>0</v>
      </c>
      <c r="F10" s="4" t="str">
        <f>HYPERLINK("http://141.218.60.56/~jnz1568/getInfo.php?workbook=06_02.xlsx&amp;sheet=A0&amp;row=10&amp;col=6&amp;number=&amp;sourceID=27","")</f>
        <v/>
      </c>
      <c r="G10" s="4" t="str">
        <f>HYPERLINK("http://141.218.60.56/~jnz1568/getInfo.php?workbook=06_02.xlsx&amp;sheet=A0&amp;row=10&amp;col=7&amp;number=&amp;sourceID=34","")</f>
        <v/>
      </c>
      <c r="H10" s="4" t="str">
        <f>HYPERLINK("http://141.218.60.56/~jnz1568/getInfo.php?workbook=06_02.xlsx&amp;sheet=A0&amp;row=10&amp;col=8&amp;number=&amp;sourceID=34","")</f>
        <v/>
      </c>
      <c r="I10" s="4" t="str">
        <f>HYPERLINK("http://141.218.60.56/~jnz1568/getInfo.php?workbook=06_02.xlsx&amp;sheet=A0&amp;row=10&amp;col=9&amp;number=&amp;sourceID=34","")</f>
        <v/>
      </c>
      <c r="J10" s="4" t="str">
        <f>HYPERLINK("http://141.218.60.56/~jnz1568/getInfo.php?workbook=06_02.xlsx&amp;sheet=A0&amp;row=10&amp;col=10&amp;number==131000/5&amp;sourceID=34","=131000/5")</f>
        <v>=131000/5</v>
      </c>
      <c r="K10" s="4" t="str">
        <f>HYPERLINK("http://141.218.60.56/~jnz1568/getInfo.php?workbook=06_02.xlsx&amp;sheet=A0&amp;row=10&amp;col=11&amp;number=&amp;sourceID=30","")</f>
        <v/>
      </c>
      <c r="L10" s="4" t="str">
        <f>HYPERLINK("http://141.218.60.56/~jnz1568/getInfo.php?workbook=06_02.xlsx&amp;sheet=A0&amp;row=10&amp;col=12&amp;number=&amp;sourceID=30","")</f>
        <v/>
      </c>
      <c r="M10" s="4" t="str">
        <f>HYPERLINK("http://141.218.60.56/~jnz1568/getInfo.php?workbook=06_02.xlsx&amp;sheet=A0&amp;row=10&amp;col=13&amp;number=&amp;sourceID=30","")</f>
        <v/>
      </c>
      <c r="N10" s="4" t="str">
        <f>HYPERLINK("http://141.218.60.56/~jnz1568/getInfo.php?workbook=06_02.xlsx&amp;sheet=A0&amp;row=10&amp;col=14&amp;number=25460&amp;sourceID=30","25460")</f>
        <v>25460</v>
      </c>
      <c r="O10" s="4" t="str">
        <f>HYPERLINK("http://141.218.60.56/~jnz1568/getInfo.php?workbook=06_02.xlsx&amp;sheet=A0&amp;row=10&amp;col=15&amp;number=&amp;sourceID=32","")</f>
        <v/>
      </c>
      <c r="P10" s="4" t="str">
        <f>HYPERLINK("http://141.218.60.56/~jnz1568/getInfo.php?workbook=06_02.xlsx&amp;sheet=A0&amp;row=10&amp;col=16&amp;number=&amp;sourceID=32","")</f>
        <v/>
      </c>
      <c r="Q10" s="4" t="str">
        <f>HYPERLINK("http://141.218.60.56/~jnz1568/getInfo.php?workbook=06_02.xlsx&amp;sheet=A0&amp;row=10&amp;col=17&amp;number=&amp;sourceID=32","")</f>
        <v/>
      </c>
      <c r="R10" s="4" t="str">
        <f>HYPERLINK("http://141.218.60.56/~jnz1568/getInfo.php?workbook=06_02.xlsx&amp;sheet=A0&amp;row=10&amp;col=18&amp;number=26240&amp;sourceID=32","26240")</f>
        <v>26240</v>
      </c>
    </row>
    <row r="11" spans="1:18">
      <c r="A11" s="3">
        <v>6</v>
      </c>
      <c r="B11" s="3">
        <v>2</v>
      </c>
      <c r="C11" s="3">
        <v>6</v>
      </c>
      <c r="D11" s="3">
        <v>2</v>
      </c>
      <c r="E11" s="3">
        <f>((1/(INDEX(E0!J$4:J$52,C11,1)-INDEX(E0!J$4:J$52,D11,1))))*100000000</f>
        <v>0</v>
      </c>
      <c r="F11" s="4" t="str">
        <f>HYPERLINK("http://141.218.60.56/~jnz1568/getInfo.php?workbook=06_02.xlsx&amp;sheet=A0&amp;row=11&amp;col=6&amp;number=&amp;sourceID=27","")</f>
        <v/>
      </c>
      <c r="G11" s="4" t="str">
        <f>HYPERLINK("http://141.218.60.56/~jnz1568/getInfo.php?workbook=06_02.xlsx&amp;sheet=A0&amp;row=11&amp;col=7&amp;number=56680000&amp;sourceID=34","56680000")</f>
        <v>56680000</v>
      </c>
      <c r="H11" s="4" t="str">
        <f>HYPERLINK("http://141.218.60.56/~jnz1568/getInfo.php?workbook=06_02.xlsx&amp;sheet=A0&amp;row=11&amp;col=8&amp;number=&amp;sourceID=34","")</f>
        <v/>
      </c>
      <c r="I11" s="4" t="str">
        <f>HYPERLINK("http://141.218.60.56/~jnz1568/getInfo.php?workbook=06_02.xlsx&amp;sheet=A0&amp;row=11&amp;col=9&amp;number=&amp;sourceID=34","")</f>
        <v/>
      </c>
      <c r="J11" s="4" t="str">
        <f>HYPERLINK("http://141.218.60.56/~jnz1568/getInfo.php?workbook=06_02.xlsx&amp;sheet=A0&amp;row=11&amp;col=10&amp;number=&amp;sourceID=34","")</f>
        <v/>
      </c>
      <c r="K11" s="4" t="str">
        <f>HYPERLINK("http://141.218.60.56/~jnz1568/getInfo.php?workbook=06_02.xlsx&amp;sheet=A0&amp;row=11&amp;col=11&amp;number=60750000&amp;sourceID=30","60750000")</f>
        <v>60750000</v>
      </c>
      <c r="L11" s="4" t="str">
        <f>HYPERLINK("http://141.218.60.56/~jnz1568/getInfo.php?workbook=06_02.xlsx&amp;sheet=A0&amp;row=11&amp;col=12&amp;number=&amp;sourceID=30","")</f>
        <v/>
      </c>
      <c r="M11" s="4" t="str">
        <f>HYPERLINK("http://141.218.60.56/~jnz1568/getInfo.php?workbook=06_02.xlsx&amp;sheet=A0&amp;row=11&amp;col=13&amp;number=&amp;sourceID=30","")</f>
        <v/>
      </c>
      <c r="N11" s="4" t="str">
        <f>HYPERLINK("http://141.218.60.56/~jnz1568/getInfo.php?workbook=06_02.xlsx&amp;sheet=A0&amp;row=11&amp;col=14&amp;number=0.0008023&amp;sourceID=30","0.0008023")</f>
        <v>0.0008023</v>
      </c>
      <c r="O11" s="4" t="str">
        <f>HYPERLINK("http://141.218.60.56/~jnz1568/getInfo.php?workbook=06_02.xlsx&amp;sheet=A0&amp;row=11&amp;col=15&amp;number=57200000&amp;sourceID=32","57200000")</f>
        <v>57200000</v>
      </c>
      <c r="P11" s="4" t="str">
        <f>HYPERLINK("http://141.218.60.56/~jnz1568/getInfo.php?workbook=06_02.xlsx&amp;sheet=A0&amp;row=11&amp;col=16&amp;number=&amp;sourceID=32","")</f>
        <v/>
      </c>
      <c r="Q11" s="4" t="str">
        <f>HYPERLINK("http://141.218.60.56/~jnz1568/getInfo.php?workbook=06_02.xlsx&amp;sheet=A0&amp;row=11&amp;col=17&amp;number=&amp;sourceID=32","")</f>
        <v/>
      </c>
      <c r="R11" s="4" t="str">
        <f>HYPERLINK("http://141.218.60.56/~jnz1568/getInfo.php?workbook=06_02.xlsx&amp;sheet=A0&amp;row=11&amp;col=18&amp;number=0.0007356&amp;sourceID=32","0.0007356")</f>
        <v>0.0007356</v>
      </c>
    </row>
    <row r="12" spans="1:18">
      <c r="A12" s="3">
        <v>6</v>
      </c>
      <c r="B12" s="3">
        <v>2</v>
      </c>
      <c r="C12" s="3">
        <v>6</v>
      </c>
      <c r="D12" s="3">
        <v>4</v>
      </c>
      <c r="E12" s="3">
        <f>((1/(INDEX(E0!J$4:J$52,C12,1)-INDEX(E0!J$4:J$52,D12,1))))*100000000</f>
        <v>0</v>
      </c>
      <c r="F12" s="4" t="str">
        <f>HYPERLINK("http://141.218.60.56/~jnz1568/getInfo.php?workbook=06_02.xlsx&amp;sheet=A0&amp;row=12&amp;col=6&amp;number=&amp;sourceID=27","")</f>
        <v/>
      </c>
      <c r="G12" s="4" t="str">
        <f>HYPERLINK("http://141.218.60.56/~jnz1568/getInfo.php?workbook=06_02.xlsx&amp;sheet=A0&amp;row=12&amp;col=7&amp;number=&amp;sourceID=34","")</f>
        <v/>
      </c>
      <c r="H12" s="4" t="str">
        <f>HYPERLINK("http://141.218.60.56/~jnz1568/getInfo.php?workbook=06_02.xlsx&amp;sheet=A0&amp;row=12&amp;col=8&amp;number=&amp;sourceID=34","")</f>
        <v/>
      </c>
      <c r="I12" s="4" t="str">
        <f>HYPERLINK("http://141.218.60.56/~jnz1568/getInfo.php?workbook=06_02.xlsx&amp;sheet=A0&amp;row=12&amp;col=9&amp;number=&amp;sourceID=34","")</f>
        <v/>
      </c>
      <c r="J12" s="4" t="str">
        <f>HYPERLINK("http://141.218.60.56/~jnz1568/getInfo.php?workbook=06_02.xlsx&amp;sheet=A0&amp;row=12&amp;col=10&amp;number=&amp;sourceID=34","")</f>
        <v/>
      </c>
      <c r="K12" s="4" t="str">
        <f>HYPERLINK("http://141.218.60.56/~jnz1568/getInfo.php?workbook=06_02.xlsx&amp;sheet=A0&amp;row=12&amp;col=11&amp;number=&amp;sourceID=30","")</f>
        <v/>
      </c>
      <c r="L12" s="4" t="str">
        <f>HYPERLINK("http://141.218.60.56/~jnz1568/getInfo.php?workbook=06_02.xlsx&amp;sheet=A0&amp;row=12&amp;col=12&amp;number=1.082e-12&amp;sourceID=30","1.082e-12")</f>
        <v>1.082e-12</v>
      </c>
      <c r="M12" s="4" t="str">
        <f>HYPERLINK("http://141.218.60.56/~jnz1568/getInfo.php?workbook=06_02.xlsx&amp;sheet=A0&amp;row=12&amp;col=13&amp;number=3.202e-05&amp;sourceID=30","3.202e-05")</f>
        <v>3.202e-05</v>
      </c>
      <c r="N12" s="4" t="str">
        <f>HYPERLINK("http://141.218.60.56/~jnz1568/getInfo.php?workbook=06_02.xlsx&amp;sheet=A0&amp;row=12&amp;col=14&amp;number=&amp;sourceID=30","")</f>
        <v/>
      </c>
      <c r="O12" s="4" t="str">
        <f>HYPERLINK("http://141.218.60.56/~jnz1568/getInfo.php?workbook=06_02.xlsx&amp;sheet=A0&amp;row=12&amp;col=15&amp;number=&amp;sourceID=32","")</f>
        <v/>
      </c>
      <c r="P12" s="4" t="str">
        <f>HYPERLINK("http://141.218.60.56/~jnz1568/getInfo.php?workbook=06_02.xlsx&amp;sheet=A0&amp;row=12&amp;col=16&amp;number=1.147e-12&amp;sourceID=32","1.147e-12")</f>
        <v>1.147e-12</v>
      </c>
      <c r="Q12" s="4" t="str">
        <f>HYPERLINK("http://141.218.60.56/~jnz1568/getInfo.php?workbook=06_02.xlsx&amp;sheet=A0&amp;row=12&amp;col=17&amp;number=3.346e-05&amp;sourceID=32","3.346e-05")</f>
        <v>3.346e-05</v>
      </c>
      <c r="R12" s="4" t="str">
        <f>HYPERLINK("http://141.218.60.56/~jnz1568/getInfo.php?workbook=06_02.xlsx&amp;sheet=A0&amp;row=12&amp;col=18&amp;number=&amp;sourceID=32","")</f>
        <v/>
      </c>
    </row>
    <row r="13" spans="1:18">
      <c r="A13" s="3">
        <v>6</v>
      </c>
      <c r="B13" s="3">
        <v>2</v>
      </c>
      <c r="C13" s="3">
        <v>6</v>
      </c>
      <c r="D13" s="3">
        <v>5</v>
      </c>
      <c r="E13" s="3">
        <f>((1/(INDEX(E0!J$4:J$52,C13,1)-INDEX(E0!J$4:J$52,D13,1))))*100000000</f>
        <v>0</v>
      </c>
      <c r="F13" s="4" t="str">
        <f>HYPERLINK("http://141.218.60.56/~jnz1568/getInfo.php?workbook=06_02.xlsx&amp;sheet=A0&amp;row=13&amp;col=6&amp;number=&amp;sourceID=27","")</f>
        <v/>
      </c>
      <c r="G13" s="4" t="str">
        <f>HYPERLINK("http://141.218.60.56/~jnz1568/getInfo.php?workbook=06_02.xlsx&amp;sheet=A0&amp;row=13&amp;col=7&amp;number=&amp;sourceID=34","")</f>
        <v/>
      </c>
      <c r="H13" s="4" t="str">
        <f>HYPERLINK("http://141.218.60.56/~jnz1568/getInfo.php?workbook=06_02.xlsx&amp;sheet=A0&amp;row=13&amp;col=8&amp;number=&amp;sourceID=34","")</f>
        <v/>
      </c>
      <c r="I13" s="4" t="str">
        <f>HYPERLINK("http://141.218.60.56/~jnz1568/getInfo.php?workbook=06_02.xlsx&amp;sheet=A0&amp;row=13&amp;col=9&amp;number=&amp;sourceID=34","")</f>
        <v/>
      </c>
      <c r="J13" s="4" t="str">
        <f>HYPERLINK("http://141.218.60.56/~jnz1568/getInfo.php?workbook=06_02.xlsx&amp;sheet=A0&amp;row=13&amp;col=10&amp;number=&amp;sourceID=34","")</f>
        <v/>
      </c>
      <c r="K13" s="4" t="str">
        <f>HYPERLINK("http://141.218.60.56/~jnz1568/getInfo.php?workbook=06_02.xlsx&amp;sheet=A0&amp;row=13&amp;col=11&amp;number=&amp;sourceID=30","")</f>
        <v/>
      </c>
      <c r="L13" s="4" t="str">
        <f>HYPERLINK("http://141.218.60.56/~jnz1568/getInfo.php?workbook=06_02.xlsx&amp;sheet=A0&amp;row=13&amp;col=12&amp;number=2.72e-13&amp;sourceID=30","2.72e-13")</f>
        <v>2.72e-13</v>
      </c>
      <c r="M13" s="4" t="str">
        <f>HYPERLINK("http://141.218.60.56/~jnz1568/getInfo.php?workbook=06_02.xlsx&amp;sheet=A0&amp;row=13&amp;col=13&amp;number=&amp;sourceID=30","")</f>
        <v/>
      </c>
      <c r="N13" s="4" t="str">
        <f>HYPERLINK("http://141.218.60.56/~jnz1568/getInfo.php?workbook=06_02.xlsx&amp;sheet=A0&amp;row=13&amp;col=14&amp;number=&amp;sourceID=30","")</f>
        <v/>
      </c>
      <c r="O13" s="4" t="str">
        <f>HYPERLINK("http://141.218.60.56/~jnz1568/getInfo.php?workbook=06_02.xlsx&amp;sheet=A0&amp;row=13&amp;col=15&amp;number=&amp;sourceID=32","")</f>
        <v/>
      </c>
      <c r="P13" s="4" t="str">
        <f>HYPERLINK("http://141.218.60.56/~jnz1568/getInfo.php?workbook=06_02.xlsx&amp;sheet=A0&amp;row=13&amp;col=16&amp;number=3.11e-13&amp;sourceID=32","3.11e-13")</f>
        <v>3.11e-13</v>
      </c>
      <c r="Q13" s="4" t="str">
        <f>HYPERLINK("http://141.218.60.56/~jnz1568/getInfo.php?workbook=06_02.xlsx&amp;sheet=A0&amp;row=13&amp;col=17&amp;number=&amp;sourceID=32","")</f>
        <v/>
      </c>
      <c r="R13" s="4" t="str">
        <f>HYPERLINK("http://141.218.60.56/~jnz1568/getInfo.php?workbook=06_02.xlsx&amp;sheet=A0&amp;row=13&amp;col=18&amp;number=&amp;sourceID=32","")</f>
        <v/>
      </c>
    </row>
    <row r="14" spans="1:18">
      <c r="A14" s="3">
        <v>6</v>
      </c>
      <c r="B14" s="3">
        <v>2</v>
      </c>
      <c r="C14" s="3">
        <v>7</v>
      </c>
      <c r="D14" s="3">
        <v>1</v>
      </c>
      <c r="E14" s="3">
        <f>((1/(INDEX(E0!J$4:J$52,C14,1)-INDEX(E0!J$4:J$52,D14,1))))*100000000</f>
        <v>0</v>
      </c>
      <c r="F14" s="4" t="str">
        <f>HYPERLINK("http://141.218.60.56/~jnz1568/getInfo.php?workbook=06_02.xlsx&amp;sheet=A0&amp;row=14&amp;col=6&amp;number=&amp;sourceID=27","")</f>
        <v/>
      </c>
      <c r="G14" s="4" t="str">
        <f>HYPERLINK("http://141.218.60.56/~jnz1568/getInfo.php?workbook=06_02.xlsx&amp;sheet=A0&amp;row=14&amp;col=7&amp;number=887300000000&amp;sourceID=34","887300000000")</f>
        <v>887300000000</v>
      </c>
      <c r="H14" s="4" t="str">
        <f>HYPERLINK("http://141.218.60.56/~jnz1568/getInfo.php?workbook=06_02.xlsx&amp;sheet=A0&amp;row=14&amp;col=8&amp;number=&amp;sourceID=34","")</f>
        <v/>
      </c>
      <c r="I14" s="4" t="str">
        <f>HYPERLINK("http://141.218.60.56/~jnz1568/getInfo.php?workbook=06_02.xlsx&amp;sheet=A0&amp;row=14&amp;col=9&amp;number=&amp;sourceID=34","")</f>
        <v/>
      </c>
      <c r="J14" s="4" t="str">
        <f>HYPERLINK("http://141.218.60.56/~jnz1568/getInfo.php?workbook=06_02.xlsx&amp;sheet=A0&amp;row=14&amp;col=10&amp;number=&amp;sourceID=34","")</f>
        <v/>
      </c>
      <c r="K14" s="4" t="str">
        <f>HYPERLINK("http://141.218.60.56/~jnz1568/getInfo.php?workbook=06_02.xlsx&amp;sheet=A0&amp;row=14&amp;col=11&amp;number=955000000000&amp;sourceID=30","955000000000")</f>
        <v>955000000000</v>
      </c>
      <c r="L14" s="4" t="str">
        <f>HYPERLINK("http://141.218.60.56/~jnz1568/getInfo.php?workbook=06_02.xlsx&amp;sheet=A0&amp;row=14&amp;col=12&amp;number=&amp;sourceID=30","")</f>
        <v/>
      </c>
      <c r="M14" s="4" t="str">
        <f>HYPERLINK("http://141.218.60.56/~jnz1568/getInfo.php?workbook=06_02.xlsx&amp;sheet=A0&amp;row=14&amp;col=13&amp;number=&amp;sourceID=30","")</f>
        <v/>
      </c>
      <c r="N14" s="4" t="str">
        <f>HYPERLINK("http://141.218.60.56/~jnz1568/getInfo.php?workbook=06_02.xlsx&amp;sheet=A0&amp;row=14&amp;col=14&amp;number=&amp;sourceID=30","")</f>
        <v/>
      </c>
      <c r="O14" s="4" t="str">
        <f>HYPERLINK("http://141.218.60.56/~jnz1568/getInfo.php?workbook=06_02.xlsx&amp;sheet=A0&amp;row=14&amp;col=15&amp;number=886200000000&amp;sourceID=32","886200000000")</f>
        <v>886200000000</v>
      </c>
      <c r="P14" s="4" t="str">
        <f>HYPERLINK("http://141.218.60.56/~jnz1568/getInfo.php?workbook=06_02.xlsx&amp;sheet=A0&amp;row=14&amp;col=16&amp;number=&amp;sourceID=32","")</f>
        <v/>
      </c>
      <c r="Q14" s="4" t="str">
        <f>HYPERLINK("http://141.218.60.56/~jnz1568/getInfo.php?workbook=06_02.xlsx&amp;sheet=A0&amp;row=14&amp;col=17&amp;number=&amp;sourceID=32","")</f>
        <v/>
      </c>
      <c r="R14" s="4" t="str">
        <f>HYPERLINK("http://141.218.60.56/~jnz1568/getInfo.php?workbook=06_02.xlsx&amp;sheet=A0&amp;row=14&amp;col=18&amp;number=&amp;sourceID=32","")</f>
        <v/>
      </c>
    </row>
    <row r="15" spans="1:18">
      <c r="A15" s="3">
        <v>6</v>
      </c>
      <c r="B15" s="3">
        <v>2</v>
      </c>
      <c r="C15" s="3">
        <v>7</v>
      </c>
      <c r="D15" s="3">
        <v>2</v>
      </c>
      <c r="E15" s="3">
        <f>((1/(INDEX(E0!J$4:J$52,C15,1)-INDEX(E0!J$4:J$52,D15,1))))*100000000</f>
        <v>0</v>
      </c>
      <c r="F15" s="4" t="str">
        <f>HYPERLINK("http://141.218.60.56/~jnz1568/getInfo.php?workbook=06_02.xlsx&amp;sheet=A0&amp;row=15&amp;col=6&amp;number=&amp;sourceID=27","")</f>
        <v/>
      </c>
      <c r="G15" s="4" t="str">
        <f>HYPERLINK("http://141.218.60.56/~jnz1568/getInfo.php?workbook=06_02.xlsx&amp;sheet=A0&amp;row=15&amp;col=7&amp;number=&amp;sourceID=34","")</f>
        <v/>
      </c>
      <c r="H15" s="4" t="str">
        <f>HYPERLINK("http://141.218.60.56/~jnz1568/getInfo.php?workbook=06_02.xlsx&amp;sheet=A0&amp;row=15&amp;col=8&amp;number=&amp;sourceID=34","")</f>
        <v/>
      </c>
      <c r="I15" s="4" t="str">
        <f>HYPERLINK("http://141.218.60.56/~jnz1568/getInfo.php?workbook=06_02.xlsx&amp;sheet=A0&amp;row=15&amp;col=9&amp;number=&amp;sourceID=34","")</f>
        <v/>
      </c>
      <c r="J15" s="4" t="str">
        <f>HYPERLINK("http://141.218.60.56/~jnz1568/getInfo.php?workbook=06_02.xlsx&amp;sheet=A0&amp;row=15&amp;col=10&amp;number=&amp;sourceID=34","")</f>
        <v/>
      </c>
      <c r="K15" s="4" t="str">
        <f>HYPERLINK("http://141.218.60.56/~jnz1568/getInfo.php?workbook=06_02.xlsx&amp;sheet=A0&amp;row=15&amp;col=11&amp;number=8011&amp;sourceID=30","8011")</f>
        <v>8011</v>
      </c>
      <c r="L15" s="4" t="str">
        <f>HYPERLINK("http://141.218.60.56/~jnz1568/getInfo.php?workbook=06_02.xlsx&amp;sheet=A0&amp;row=15&amp;col=12&amp;number=&amp;sourceID=30","")</f>
        <v/>
      </c>
      <c r="M15" s="4" t="str">
        <f>HYPERLINK("http://141.218.60.56/~jnz1568/getInfo.php?workbook=06_02.xlsx&amp;sheet=A0&amp;row=15&amp;col=13&amp;number=&amp;sourceID=30","")</f>
        <v/>
      </c>
      <c r="N15" s="4" t="str">
        <f>HYPERLINK("http://141.218.60.56/~jnz1568/getInfo.php?workbook=06_02.xlsx&amp;sheet=A0&amp;row=15&amp;col=14&amp;number=0.01171&amp;sourceID=30","0.01171")</f>
        <v>0.01171</v>
      </c>
      <c r="O15" s="4" t="str">
        <f>HYPERLINK("http://141.218.60.56/~jnz1568/getInfo.php?workbook=06_02.xlsx&amp;sheet=A0&amp;row=15&amp;col=15&amp;number=7611&amp;sourceID=32","7611")</f>
        <v>7611</v>
      </c>
      <c r="P15" s="4" t="str">
        <f>HYPERLINK("http://141.218.60.56/~jnz1568/getInfo.php?workbook=06_02.xlsx&amp;sheet=A0&amp;row=15&amp;col=16&amp;number=&amp;sourceID=32","")</f>
        <v/>
      </c>
      <c r="Q15" s="4" t="str">
        <f>HYPERLINK("http://141.218.60.56/~jnz1568/getInfo.php?workbook=06_02.xlsx&amp;sheet=A0&amp;row=15&amp;col=17&amp;number=&amp;sourceID=32","")</f>
        <v/>
      </c>
      <c r="R15" s="4" t="str">
        <f>HYPERLINK("http://141.218.60.56/~jnz1568/getInfo.php?workbook=06_02.xlsx&amp;sheet=A0&amp;row=15&amp;col=18&amp;number=0.01052&amp;sourceID=32","0.01052")</f>
        <v>0.01052</v>
      </c>
    </row>
    <row r="16" spans="1:18">
      <c r="A16" s="3">
        <v>6</v>
      </c>
      <c r="B16" s="3">
        <v>2</v>
      </c>
      <c r="C16" s="3">
        <v>7</v>
      </c>
      <c r="D16" s="3">
        <v>3</v>
      </c>
      <c r="E16" s="3">
        <f>((1/(INDEX(E0!J$4:J$52,C16,1)-INDEX(E0!J$4:J$52,D16,1))))*100000000</f>
        <v>0</v>
      </c>
      <c r="F16" s="4" t="str">
        <f>HYPERLINK("http://141.218.60.56/~jnz1568/getInfo.php?workbook=06_02.xlsx&amp;sheet=A0&amp;row=16&amp;col=6&amp;number=&amp;sourceID=27","")</f>
        <v/>
      </c>
      <c r="G16" s="4" t="str">
        <f>HYPERLINK("http://141.218.60.56/~jnz1568/getInfo.php?workbook=06_02.xlsx&amp;sheet=A0&amp;row=16&amp;col=7&amp;number=16630000&amp;sourceID=34","16630000")</f>
        <v>16630000</v>
      </c>
      <c r="H16" s="4" t="str">
        <f>HYPERLINK("http://141.218.60.56/~jnz1568/getInfo.php?workbook=06_02.xlsx&amp;sheet=A0&amp;row=16&amp;col=8&amp;number=&amp;sourceID=34","")</f>
        <v/>
      </c>
      <c r="I16" s="4" t="str">
        <f>HYPERLINK("http://141.218.60.56/~jnz1568/getInfo.php?workbook=06_02.xlsx&amp;sheet=A0&amp;row=16&amp;col=9&amp;number=&amp;sourceID=34","")</f>
        <v/>
      </c>
      <c r="J16" s="4" t="str">
        <f>HYPERLINK("http://141.218.60.56/~jnz1568/getInfo.php?workbook=06_02.xlsx&amp;sheet=A0&amp;row=16&amp;col=10&amp;number=&amp;sourceID=34","")</f>
        <v/>
      </c>
      <c r="K16" s="4" t="str">
        <f>HYPERLINK("http://141.218.60.56/~jnz1568/getInfo.php?workbook=06_02.xlsx&amp;sheet=A0&amp;row=16&amp;col=11&amp;number=13080000&amp;sourceID=30","13080000")</f>
        <v>13080000</v>
      </c>
      <c r="L16" s="4" t="str">
        <f>HYPERLINK("http://141.218.60.56/~jnz1568/getInfo.php?workbook=06_02.xlsx&amp;sheet=A0&amp;row=16&amp;col=12&amp;number=&amp;sourceID=30","")</f>
        <v/>
      </c>
      <c r="M16" s="4" t="str">
        <f>HYPERLINK("http://141.218.60.56/~jnz1568/getInfo.php?workbook=06_02.xlsx&amp;sheet=A0&amp;row=16&amp;col=13&amp;number=&amp;sourceID=30","")</f>
        <v/>
      </c>
      <c r="N16" s="4" t="str">
        <f>HYPERLINK("http://141.218.60.56/~jnz1568/getInfo.php?workbook=06_02.xlsx&amp;sheet=A0&amp;row=16&amp;col=14&amp;number=&amp;sourceID=30","")</f>
        <v/>
      </c>
      <c r="O16" s="4" t="str">
        <f>HYPERLINK("http://141.218.60.56/~jnz1568/getInfo.php?workbook=06_02.xlsx&amp;sheet=A0&amp;row=16&amp;col=15&amp;number=16730000&amp;sourceID=32","16730000")</f>
        <v>16730000</v>
      </c>
      <c r="P16" s="4" t="str">
        <f>HYPERLINK("http://141.218.60.56/~jnz1568/getInfo.php?workbook=06_02.xlsx&amp;sheet=A0&amp;row=16&amp;col=16&amp;number=&amp;sourceID=32","")</f>
        <v/>
      </c>
      <c r="Q16" s="4" t="str">
        <f>HYPERLINK("http://141.218.60.56/~jnz1568/getInfo.php?workbook=06_02.xlsx&amp;sheet=A0&amp;row=16&amp;col=17&amp;number=&amp;sourceID=32","")</f>
        <v/>
      </c>
      <c r="R16" s="4" t="str">
        <f>HYPERLINK("http://141.218.60.56/~jnz1568/getInfo.php?workbook=06_02.xlsx&amp;sheet=A0&amp;row=16&amp;col=18&amp;number=&amp;sourceID=32","")</f>
        <v/>
      </c>
    </row>
    <row r="17" spans="1:18">
      <c r="A17" s="3">
        <v>6</v>
      </c>
      <c r="B17" s="3">
        <v>2</v>
      </c>
      <c r="C17" s="3">
        <v>7</v>
      </c>
      <c r="D17" s="3">
        <v>4</v>
      </c>
      <c r="E17" s="3">
        <f>((1/(INDEX(E0!J$4:J$52,C17,1)-INDEX(E0!J$4:J$52,D17,1))))*100000000</f>
        <v>0</v>
      </c>
      <c r="F17" s="4" t="str">
        <f>HYPERLINK("http://141.218.60.56/~jnz1568/getInfo.php?workbook=06_02.xlsx&amp;sheet=A0&amp;row=17&amp;col=6&amp;number=&amp;sourceID=27","")</f>
        <v/>
      </c>
      <c r="G17" s="4" t="str">
        <f>HYPERLINK("http://141.218.60.56/~jnz1568/getInfo.php?workbook=06_02.xlsx&amp;sheet=A0&amp;row=17&amp;col=7&amp;number=&amp;sourceID=34","")</f>
        <v/>
      </c>
      <c r="H17" s="4" t="str">
        <f>HYPERLINK("http://141.218.60.56/~jnz1568/getInfo.php?workbook=06_02.xlsx&amp;sheet=A0&amp;row=17&amp;col=8&amp;number=&amp;sourceID=34","")</f>
        <v/>
      </c>
      <c r="I17" s="4" t="str">
        <f>HYPERLINK("http://141.218.60.56/~jnz1568/getInfo.php?workbook=06_02.xlsx&amp;sheet=A0&amp;row=17&amp;col=9&amp;number=&amp;sourceID=34","")</f>
        <v/>
      </c>
      <c r="J17" s="4" t="str">
        <f>HYPERLINK("http://141.218.60.56/~jnz1568/getInfo.php?workbook=06_02.xlsx&amp;sheet=A0&amp;row=17&amp;col=10&amp;number=&amp;sourceID=34","")</f>
        <v/>
      </c>
      <c r="K17" s="4" t="str">
        <f>HYPERLINK("http://141.218.60.56/~jnz1568/getInfo.php?workbook=06_02.xlsx&amp;sheet=A0&amp;row=17&amp;col=11&amp;number=&amp;sourceID=30","")</f>
        <v/>
      </c>
      <c r="L17" s="4" t="str">
        <f>HYPERLINK("http://141.218.60.56/~jnz1568/getInfo.php?workbook=06_02.xlsx&amp;sheet=A0&amp;row=17&amp;col=12&amp;number=8.246e-05&amp;sourceID=30","8.246e-05")</f>
        <v>8.246e-05</v>
      </c>
      <c r="M17" s="4" t="str">
        <f>HYPERLINK("http://141.218.60.56/~jnz1568/getInfo.php?workbook=06_02.xlsx&amp;sheet=A0&amp;row=17&amp;col=13&amp;number=0.01231&amp;sourceID=30","0.01231")</f>
        <v>0.01231</v>
      </c>
      <c r="N17" s="4" t="str">
        <f>HYPERLINK("http://141.218.60.56/~jnz1568/getInfo.php?workbook=06_02.xlsx&amp;sheet=A0&amp;row=17&amp;col=14&amp;number=&amp;sourceID=30","")</f>
        <v/>
      </c>
      <c r="O17" s="4" t="str">
        <f>HYPERLINK("http://141.218.60.56/~jnz1568/getInfo.php?workbook=06_02.xlsx&amp;sheet=A0&amp;row=17&amp;col=15&amp;number=&amp;sourceID=32","")</f>
        <v/>
      </c>
      <c r="P17" s="4" t="str">
        <f>HYPERLINK("http://141.218.60.56/~jnz1568/getInfo.php?workbook=06_02.xlsx&amp;sheet=A0&amp;row=17&amp;col=16&amp;number=6.974e-05&amp;sourceID=32","6.974e-05")</f>
        <v>6.974e-05</v>
      </c>
      <c r="Q17" s="4" t="str">
        <f>HYPERLINK("http://141.218.60.56/~jnz1568/getInfo.php?workbook=06_02.xlsx&amp;sheet=A0&amp;row=17&amp;col=17&amp;number=0.01142&amp;sourceID=32","0.01142")</f>
        <v>0.01142</v>
      </c>
      <c r="R17" s="4" t="str">
        <f>HYPERLINK("http://141.218.60.56/~jnz1568/getInfo.php?workbook=06_02.xlsx&amp;sheet=A0&amp;row=17&amp;col=18&amp;number=&amp;sourceID=32","")</f>
        <v/>
      </c>
    </row>
    <row r="18" spans="1:18">
      <c r="A18" s="3">
        <v>6</v>
      </c>
      <c r="B18" s="3">
        <v>2</v>
      </c>
      <c r="C18" s="3">
        <v>7</v>
      </c>
      <c r="D18" s="3">
        <v>5</v>
      </c>
      <c r="E18" s="3">
        <f>((1/(INDEX(E0!J$4:J$52,C18,1)-INDEX(E0!J$4:J$52,D18,1))))*100000000</f>
        <v>0</v>
      </c>
      <c r="F18" s="4" t="str">
        <f>HYPERLINK("http://141.218.60.56/~jnz1568/getInfo.php?workbook=06_02.xlsx&amp;sheet=A0&amp;row=18&amp;col=6&amp;number=&amp;sourceID=27","")</f>
        <v/>
      </c>
      <c r="G18" s="4" t="str">
        <f>HYPERLINK("http://141.218.60.56/~jnz1568/getInfo.php?workbook=06_02.xlsx&amp;sheet=A0&amp;row=18&amp;col=7&amp;number=&amp;sourceID=34","")</f>
        <v/>
      </c>
      <c r="H18" s="4" t="str">
        <f>HYPERLINK("http://141.218.60.56/~jnz1568/getInfo.php?workbook=06_02.xlsx&amp;sheet=A0&amp;row=18&amp;col=8&amp;number=&amp;sourceID=34","")</f>
        <v/>
      </c>
      <c r="I18" s="4" t="str">
        <f>HYPERLINK("http://141.218.60.56/~jnz1568/getInfo.php?workbook=06_02.xlsx&amp;sheet=A0&amp;row=18&amp;col=9&amp;number=&amp;sourceID=34","")</f>
        <v/>
      </c>
      <c r="J18" s="4" t="str">
        <f>HYPERLINK("http://141.218.60.56/~jnz1568/getInfo.php?workbook=06_02.xlsx&amp;sheet=A0&amp;row=18&amp;col=10&amp;number=&amp;sourceID=34","")</f>
        <v/>
      </c>
      <c r="K18" s="4" t="str">
        <f>HYPERLINK("http://141.218.60.56/~jnz1568/getInfo.php?workbook=06_02.xlsx&amp;sheet=A0&amp;row=18&amp;col=11&amp;number=&amp;sourceID=30","")</f>
        <v/>
      </c>
      <c r="L18" s="4" t="str">
        <f>HYPERLINK("http://141.218.60.56/~jnz1568/getInfo.php?workbook=06_02.xlsx&amp;sheet=A0&amp;row=18&amp;col=12&amp;number=&amp;sourceID=30","")</f>
        <v/>
      </c>
      <c r="M18" s="4" t="str">
        <f>HYPERLINK("http://141.218.60.56/~jnz1568/getInfo.php?workbook=06_02.xlsx&amp;sheet=A0&amp;row=18&amp;col=13&amp;number=0.01403&amp;sourceID=30","0.01403")</f>
        <v>0.01403</v>
      </c>
      <c r="N18" s="4" t="str">
        <f>HYPERLINK("http://141.218.60.56/~jnz1568/getInfo.php?workbook=06_02.xlsx&amp;sheet=A0&amp;row=18&amp;col=14&amp;number=&amp;sourceID=30","")</f>
        <v/>
      </c>
      <c r="O18" s="4" t="str">
        <f>HYPERLINK("http://141.218.60.56/~jnz1568/getInfo.php?workbook=06_02.xlsx&amp;sheet=A0&amp;row=18&amp;col=15&amp;number=&amp;sourceID=32","")</f>
        <v/>
      </c>
      <c r="P18" s="4" t="str">
        <f>HYPERLINK("http://141.218.60.56/~jnz1568/getInfo.php?workbook=06_02.xlsx&amp;sheet=A0&amp;row=18&amp;col=16&amp;number=&amp;sourceID=32","")</f>
        <v/>
      </c>
      <c r="Q18" s="4" t="str">
        <f>HYPERLINK("http://141.218.60.56/~jnz1568/getInfo.php?workbook=06_02.xlsx&amp;sheet=A0&amp;row=18&amp;col=17&amp;number=0.01286&amp;sourceID=32","0.01286")</f>
        <v>0.01286</v>
      </c>
      <c r="R18" s="4" t="str">
        <f>HYPERLINK("http://141.218.60.56/~jnz1568/getInfo.php?workbook=06_02.xlsx&amp;sheet=A0&amp;row=18&amp;col=18&amp;number=&amp;sourceID=32","")</f>
        <v/>
      </c>
    </row>
    <row r="19" spans="1:18">
      <c r="A19" s="3">
        <v>6</v>
      </c>
      <c r="B19" s="3">
        <v>2</v>
      </c>
      <c r="C19" s="3">
        <v>7</v>
      </c>
      <c r="D19" s="3">
        <v>6</v>
      </c>
      <c r="E19" s="3">
        <f>((1/(INDEX(E0!J$4:J$52,C19,1)-INDEX(E0!J$4:J$52,D19,1))))*100000000</f>
        <v>0</v>
      </c>
      <c r="F19" s="4" t="str">
        <f>HYPERLINK("http://141.218.60.56/~jnz1568/getInfo.php?workbook=06_02.xlsx&amp;sheet=A0&amp;row=19&amp;col=6&amp;number=&amp;sourceID=27","")</f>
        <v/>
      </c>
      <c r="G19" s="4" t="str">
        <f>HYPERLINK("http://141.218.60.56/~jnz1568/getInfo.php?workbook=06_02.xlsx&amp;sheet=A0&amp;row=19&amp;col=7&amp;number=&amp;sourceID=34","")</f>
        <v/>
      </c>
      <c r="H19" s="4" t="str">
        <f>HYPERLINK("http://141.218.60.56/~jnz1568/getInfo.php?workbook=06_02.xlsx&amp;sheet=A0&amp;row=19&amp;col=8&amp;number=&amp;sourceID=34","")</f>
        <v/>
      </c>
      <c r="I19" s="4" t="str">
        <f>HYPERLINK("http://141.218.60.56/~jnz1568/getInfo.php?workbook=06_02.xlsx&amp;sheet=A0&amp;row=19&amp;col=9&amp;number=&amp;sourceID=34","")</f>
        <v/>
      </c>
      <c r="J19" s="4" t="str">
        <f>HYPERLINK("http://141.218.60.56/~jnz1568/getInfo.php?workbook=06_02.xlsx&amp;sheet=A0&amp;row=19&amp;col=10&amp;number=&amp;sourceID=34","")</f>
        <v/>
      </c>
      <c r="K19" s="4" t="str">
        <f>HYPERLINK("http://141.218.60.56/~jnz1568/getInfo.php?workbook=06_02.xlsx&amp;sheet=A0&amp;row=19&amp;col=11&amp;number=&amp;sourceID=30","")</f>
        <v/>
      </c>
      <c r="L19" s="4" t="str">
        <f>HYPERLINK("http://141.218.60.56/~jnz1568/getInfo.php?workbook=06_02.xlsx&amp;sheet=A0&amp;row=19&amp;col=12&amp;number=2.762e-05&amp;sourceID=30","2.762e-05")</f>
        <v>2.762e-05</v>
      </c>
      <c r="M19" s="4" t="str">
        <f>HYPERLINK("http://141.218.60.56/~jnz1568/getInfo.php?workbook=06_02.xlsx&amp;sheet=A0&amp;row=19&amp;col=13&amp;number=0.01135&amp;sourceID=30","0.01135")</f>
        <v>0.01135</v>
      </c>
      <c r="N19" s="4" t="str">
        <f>HYPERLINK("http://141.218.60.56/~jnz1568/getInfo.php?workbook=06_02.xlsx&amp;sheet=A0&amp;row=19&amp;col=14&amp;number=&amp;sourceID=30","")</f>
        <v/>
      </c>
      <c r="O19" s="4" t="str">
        <f>HYPERLINK("http://141.218.60.56/~jnz1568/getInfo.php?workbook=06_02.xlsx&amp;sheet=A0&amp;row=19&amp;col=15&amp;number=&amp;sourceID=32","")</f>
        <v/>
      </c>
      <c r="P19" s="4" t="str">
        <f>HYPERLINK("http://141.218.60.56/~jnz1568/getInfo.php?workbook=06_02.xlsx&amp;sheet=A0&amp;row=19&amp;col=16&amp;number=2.31e-05&amp;sourceID=32","2.31e-05")</f>
        <v>2.31e-05</v>
      </c>
      <c r="Q19" s="4" t="str">
        <f>HYPERLINK("http://141.218.60.56/~jnz1568/getInfo.php?workbook=06_02.xlsx&amp;sheet=A0&amp;row=19&amp;col=17&amp;number=0.01037&amp;sourceID=32","0.01037")</f>
        <v>0.01037</v>
      </c>
      <c r="R19" s="4" t="str">
        <f>HYPERLINK("http://141.218.60.56/~jnz1568/getInfo.php?workbook=06_02.xlsx&amp;sheet=A0&amp;row=19&amp;col=18&amp;number=&amp;sourceID=32","")</f>
        <v/>
      </c>
    </row>
    <row r="20" spans="1:18">
      <c r="A20" s="3">
        <v>6</v>
      </c>
      <c r="B20" s="3">
        <v>2</v>
      </c>
      <c r="C20" s="3">
        <v>8</v>
      </c>
      <c r="D20" s="3">
        <v>1</v>
      </c>
      <c r="E20" s="3">
        <f>((1/(INDEX(E0!J$4:J$52,C20,1)-INDEX(E0!J$4:J$52,D20,1))))*100000000</f>
        <v>0</v>
      </c>
      <c r="F20" s="4" t="str">
        <f>HYPERLINK("http://141.218.60.56/~jnz1568/getInfo.php?workbook=06_02.xlsx&amp;sheet=A0&amp;row=20&amp;col=6&amp;number=&amp;sourceID=27","")</f>
        <v/>
      </c>
      <c r="G20" s="4" t="str">
        <f>HYPERLINK("http://141.218.60.56/~jnz1568/getInfo.php?workbook=06_02.xlsx&amp;sheet=A0&amp;row=20&amp;col=7&amp;number=&amp;sourceID=34","")</f>
        <v/>
      </c>
      <c r="H20" s="4" t="str">
        <f>HYPERLINK("http://141.218.60.56/~jnz1568/getInfo.php?workbook=06_02.xlsx&amp;sheet=A0&amp;row=20&amp;col=8&amp;number=&amp;sourceID=34","")</f>
        <v/>
      </c>
      <c r="I20" s="4" t="str">
        <f>HYPERLINK("http://141.218.60.56/~jnz1568/getInfo.php?workbook=06_02.xlsx&amp;sheet=A0&amp;row=20&amp;col=9&amp;number=&amp;sourceID=34","")</f>
        <v/>
      </c>
      <c r="J20" s="4" t="str">
        <f>HYPERLINK("http://141.218.60.56/~jnz1568/getInfo.php?workbook=06_02.xlsx&amp;sheet=A0&amp;row=20&amp;col=10&amp;number=&amp;sourceID=34","")</f>
        <v/>
      </c>
      <c r="K20" s="4" t="str">
        <f>HYPERLINK("http://141.218.60.56/~jnz1568/getInfo.php?workbook=06_02.xlsx&amp;sheet=A0&amp;row=20&amp;col=11&amp;number=&amp;sourceID=30","")</f>
        <v/>
      </c>
      <c r="L20" s="4" t="str">
        <f>HYPERLINK("http://141.218.60.56/~jnz1568/getInfo.php?workbook=06_02.xlsx&amp;sheet=A0&amp;row=20&amp;col=12&amp;number=&amp;sourceID=30","")</f>
        <v/>
      </c>
      <c r="M20" s="4" t="str">
        <f>HYPERLINK("http://141.218.60.56/~jnz1568/getInfo.php?workbook=06_02.xlsx&amp;sheet=A0&amp;row=20&amp;col=13&amp;number=8.823&amp;sourceID=30","8.823")</f>
        <v>8.823</v>
      </c>
      <c r="N20" s="4" t="str">
        <f>HYPERLINK("http://141.218.60.56/~jnz1568/getInfo.php?workbook=06_02.xlsx&amp;sheet=A0&amp;row=20&amp;col=14&amp;number=&amp;sourceID=30","")</f>
        <v/>
      </c>
      <c r="O20" s="4" t="str">
        <f>HYPERLINK("http://141.218.60.56/~jnz1568/getInfo.php?workbook=06_02.xlsx&amp;sheet=A0&amp;row=20&amp;col=15&amp;number=&amp;sourceID=32","")</f>
        <v/>
      </c>
      <c r="P20" s="4" t="str">
        <f>HYPERLINK("http://141.218.60.56/~jnz1568/getInfo.php?workbook=06_02.xlsx&amp;sheet=A0&amp;row=20&amp;col=16&amp;number=&amp;sourceID=32","")</f>
        <v/>
      </c>
      <c r="Q20" s="4" t="str">
        <f>HYPERLINK("http://141.218.60.56/~jnz1568/getInfo.php?workbook=06_02.xlsx&amp;sheet=A0&amp;row=20&amp;col=17&amp;number=19.79&amp;sourceID=32","19.79")</f>
        <v>19.79</v>
      </c>
      <c r="R20" s="4" t="str">
        <f>HYPERLINK("http://141.218.60.56/~jnz1568/getInfo.php?workbook=06_02.xlsx&amp;sheet=A0&amp;row=20&amp;col=18&amp;number=&amp;sourceID=32","")</f>
        <v/>
      </c>
    </row>
    <row r="21" spans="1:18">
      <c r="A21" s="3">
        <v>6</v>
      </c>
      <c r="B21" s="3">
        <v>2</v>
      </c>
      <c r="C21" s="3">
        <v>8</v>
      </c>
      <c r="D21" s="3">
        <v>2</v>
      </c>
      <c r="E21" s="3">
        <f>((1/(INDEX(E0!J$4:J$52,C21,1)-INDEX(E0!J$4:J$52,D21,1))))*100000000</f>
        <v>0</v>
      </c>
      <c r="F21" s="4" t="str">
        <f>HYPERLINK("http://141.218.60.56/~jnz1568/getInfo.php?workbook=06_02.xlsx&amp;sheet=A0&amp;row=21&amp;col=6&amp;number=&amp;sourceID=27","")</f>
        <v/>
      </c>
      <c r="G21" s="4" t="str">
        <f>HYPERLINK("http://141.218.60.56/~jnz1568/getInfo.php?workbook=06_02.xlsx&amp;sheet=A0&amp;row=21&amp;col=7&amp;number=&amp;sourceID=34","")</f>
        <v/>
      </c>
      <c r="H21" s="4" t="str">
        <f>HYPERLINK("http://141.218.60.56/~jnz1568/getInfo.php?workbook=06_02.xlsx&amp;sheet=A0&amp;row=21&amp;col=8&amp;number=&amp;sourceID=34","")</f>
        <v/>
      </c>
      <c r="I21" s="4" t="str">
        <f>HYPERLINK("http://141.218.60.56/~jnz1568/getInfo.php?workbook=06_02.xlsx&amp;sheet=A0&amp;row=21&amp;col=9&amp;number=&amp;sourceID=34","")</f>
        <v/>
      </c>
      <c r="J21" s="4" t="str">
        <f>HYPERLINK("http://141.218.60.56/~jnz1568/getInfo.php?workbook=06_02.xlsx&amp;sheet=A0&amp;row=21&amp;col=10&amp;number=&amp;sourceID=34","")</f>
        <v/>
      </c>
      <c r="K21" s="4" t="str">
        <f>HYPERLINK("http://141.218.60.56/~jnz1568/getInfo.php?workbook=06_02.xlsx&amp;sheet=A0&amp;row=21&amp;col=11&amp;number=&amp;sourceID=30","")</f>
        <v/>
      </c>
      <c r="L21" s="4" t="str">
        <f>HYPERLINK("http://141.218.60.56/~jnz1568/getInfo.php?workbook=06_02.xlsx&amp;sheet=A0&amp;row=21&amp;col=12&amp;number=0.004212&amp;sourceID=30","0.004212")</f>
        <v>0.004212</v>
      </c>
      <c r="M21" s="4" t="str">
        <f>HYPERLINK("http://141.218.60.56/~jnz1568/getInfo.php?workbook=06_02.xlsx&amp;sheet=A0&amp;row=21&amp;col=13&amp;number=0.01706&amp;sourceID=30","0.01706")</f>
        <v>0.01706</v>
      </c>
      <c r="N21" s="4" t="str">
        <f>HYPERLINK("http://141.218.60.56/~jnz1568/getInfo.php?workbook=06_02.xlsx&amp;sheet=A0&amp;row=21&amp;col=14&amp;number=&amp;sourceID=30","")</f>
        <v/>
      </c>
      <c r="O21" s="4" t="str">
        <f>HYPERLINK("http://141.218.60.56/~jnz1568/getInfo.php?workbook=06_02.xlsx&amp;sheet=A0&amp;row=21&amp;col=15&amp;number=&amp;sourceID=32","")</f>
        <v/>
      </c>
      <c r="P21" s="4" t="str">
        <f>HYPERLINK("http://141.218.60.56/~jnz1568/getInfo.php?workbook=06_02.xlsx&amp;sheet=A0&amp;row=21&amp;col=16&amp;number=0.004853&amp;sourceID=32","0.004853")</f>
        <v>0.004853</v>
      </c>
      <c r="Q21" s="4" t="str">
        <f>HYPERLINK("http://141.218.60.56/~jnz1568/getInfo.php?workbook=06_02.xlsx&amp;sheet=A0&amp;row=21&amp;col=17&amp;number=0.01806&amp;sourceID=32","0.01806")</f>
        <v>0.01806</v>
      </c>
      <c r="R21" s="4" t="str">
        <f>HYPERLINK("http://141.218.60.56/~jnz1568/getInfo.php?workbook=06_02.xlsx&amp;sheet=A0&amp;row=21&amp;col=18&amp;number=&amp;sourceID=32","")</f>
        <v/>
      </c>
    </row>
    <row r="22" spans="1:18">
      <c r="A22" s="3">
        <v>6</v>
      </c>
      <c r="B22" s="3">
        <v>2</v>
      </c>
      <c r="C22" s="3">
        <v>8</v>
      </c>
      <c r="D22" s="3">
        <v>3</v>
      </c>
      <c r="E22" s="3">
        <f>((1/(INDEX(E0!J$4:J$52,C22,1)-INDEX(E0!J$4:J$52,D22,1))))*100000000</f>
        <v>0</v>
      </c>
      <c r="F22" s="4" t="str">
        <f>HYPERLINK("http://141.218.60.56/~jnz1568/getInfo.php?workbook=06_02.xlsx&amp;sheet=A0&amp;row=22&amp;col=6&amp;number=&amp;sourceID=27","")</f>
        <v/>
      </c>
      <c r="G22" s="4" t="str">
        <f>HYPERLINK("http://141.218.60.56/~jnz1568/getInfo.php?workbook=06_02.xlsx&amp;sheet=A0&amp;row=22&amp;col=7&amp;number=&amp;sourceID=34","")</f>
        <v/>
      </c>
      <c r="H22" s="4" t="str">
        <f>HYPERLINK("http://141.218.60.56/~jnz1568/getInfo.php?workbook=06_02.xlsx&amp;sheet=A0&amp;row=22&amp;col=8&amp;number=&amp;sourceID=34","")</f>
        <v/>
      </c>
      <c r="I22" s="4" t="str">
        <f>HYPERLINK("http://141.218.60.56/~jnz1568/getInfo.php?workbook=06_02.xlsx&amp;sheet=A0&amp;row=22&amp;col=9&amp;number=&amp;sourceID=34","")</f>
        <v/>
      </c>
      <c r="J22" s="4" t="str">
        <f>HYPERLINK("http://141.218.60.56/~jnz1568/getInfo.php?workbook=06_02.xlsx&amp;sheet=A0&amp;row=22&amp;col=10&amp;number=&amp;sourceID=34","")</f>
        <v/>
      </c>
      <c r="K22" s="4" t="str">
        <f>HYPERLINK("http://141.218.60.56/~jnz1568/getInfo.php?workbook=06_02.xlsx&amp;sheet=A0&amp;row=22&amp;col=11&amp;number=&amp;sourceID=30","")</f>
        <v/>
      </c>
      <c r="L22" s="4" t="str">
        <f>HYPERLINK("http://141.218.60.56/~jnz1568/getInfo.php?workbook=06_02.xlsx&amp;sheet=A0&amp;row=22&amp;col=12&amp;number=&amp;sourceID=30","")</f>
        <v/>
      </c>
      <c r="M22" s="4" t="str">
        <f>HYPERLINK("http://141.218.60.56/~jnz1568/getInfo.php?workbook=06_02.xlsx&amp;sheet=A0&amp;row=22&amp;col=13&amp;number=0.01805&amp;sourceID=30","0.01805")</f>
        <v>0.01805</v>
      </c>
      <c r="N22" s="4" t="str">
        <f>HYPERLINK("http://141.218.60.56/~jnz1568/getInfo.php?workbook=06_02.xlsx&amp;sheet=A0&amp;row=22&amp;col=14&amp;number=&amp;sourceID=30","")</f>
        <v/>
      </c>
      <c r="O22" s="4" t="str">
        <f>HYPERLINK("http://141.218.60.56/~jnz1568/getInfo.php?workbook=06_02.xlsx&amp;sheet=A0&amp;row=22&amp;col=15&amp;number=&amp;sourceID=32","")</f>
        <v/>
      </c>
      <c r="P22" s="4" t="str">
        <f>HYPERLINK("http://141.218.60.56/~jnz1568/getInfo.php?workbook=06_02.xlsx&amp;sheet=A0&amp;row=22&amp;col=16&amp;number=&amp;sourceID=32","")</f>
        <v/>
      </c>
      <c r="Q22" s="4" t="str">
        <f>HYPERLINK("http://141.218.60.56/~jnz1568/getInfo.php?workbook=06_02.xlsx&amp;sheet=A0&amp;row=22&amp;col=17&amp;number=0.01673&amp;sourceID=32","0.01673")</f>
        <v>0.01673</v>
      </c>
      <c r="R22" s="4" t="str">
        <f>HYPERLINK("http://141.218.60.56/~jnz1568/getInfo.php?workbook=06_02.xlsx&amp;sheet=A0&amp;row=22&amp;col=18&amp;number=&amp;sourceID=32","")</f>
        <v/>
      </c>
    </row>
    <row r="23" spans="1:18">
      <c r="A23" s="3">
        <v>6</v>
      </c>
      <c r="B23" s="3">
        <v>2</v>
      </c>
      <c r="C23" s="3">
        <v>8</v>
      </c>
      <c r="D23" s="3">
        <v>4</v>
      </c>
      <c r="E23" s="3">
        <f>((1/(INDEX(E0!J$4:J$52,C23,1)-INDEX(E0!J$4:J$52,D23,1))))*100000000</f>
        <v>0</v>
      </c>
      <c r="F23" s="4" t="str">
        <f>HYPERLINK("http://141.218.60.56/~jnz1568/getInfo.php?workbook=06_02.xlsx&amp;sheet=A0&amp;row=23&amp;col=6&amp;number=&amp;sourceID=27","")</f>
        <v/>
      </c>
      <c r="G23" s="4" t="str">
        <f>HYPERLINK("http://141.218.60.56/~jnz1568/getInfo.php?workbook=06_02.xlsx&amp;sheet=A0&amp;row=23&amp;col=7&amp;number=2228000000&amp;sourceID=34","2228000000")</f>
        <v>2228000000</v>
      </c>
      <c r="H23" s="4" t="str">
        <f>HYPERLINK("http://141.218.60.56/~jnz1568/getInfo.php?workbook=06_02.xlsx&amp;sheet=A0&amp;row=23&amp;col=8&amp;number=&amp;sourceID=34","")</f>
        <v/>
      </c>
      <c r="I23" s="4" t="str">
        <f>HYPERLINK("http://141.218.60.56/~jnz1568/getInfo.php?workbook=06_02.xlsx&amp;sheet=A0&amp;row=23&amp;col=9&amp;number=&amp;sourceID=34","")</f>
        <v/>
      </c>
      <c r="J23" s="4" t="str">
        <f>HYPERLINK("http://141.218.60.56/~jnz1568/getInfo.php?workbook=06_02.xlsx&amp;sheet=A0&amp;row=23&amp;col=10&amp;number=&amp;sourceID=34","")</f>
        <v/>
      </c>
      <c r="K23" s="4" t="str">
        <f>HYPERLINK("http://141.218.60.56/~jnz1568/getInfo.php?workbook=06_02.xlsx&amp;sheet=A0&amp;row=23&amp;col=11&amp;number=2109000000&amp;sourceID=30","2109000000")</f>
        <v>2109000000</v>
      </c>
      <c r="L23" s="4" t="str">
        <f>HYPERLINK("http://141.218.60.56/~jnz1568/getInfo.php?workbook=06_02.xlsx&amp;sheet=A0&amp;row=23&amp;col=12&amp;number=&amp;sourceID=30","")</f>
        <v/>
      </c>
      <c r="M23" s="4" t="str">
        <f>HYPERLINK("http://141.218.60.56/~jnz1568/getInfo.php?workbook=06_02.xlsx&amp;sheet=A0&amp;row=23&amp;col=13&amp;number=&amp;sourceID=30","")</f>
        <v/>
      </c>
      <c r="N23" s="4" t="str">
        <f>HYPERLINK("http://141.218.60.56/~jnz1568/getInfo.php?workbook=06_02.xlsx&amp;sheet=A0&amp;row=23&amp;col=14&amp;number=1.123&amp;sourceID=30","1.123")</f>
        <v>1.123</v>
      </c>
      <c r="O23" s="4" t="str">
        <f>HYPERLINK("http://141.218.60.56/~jnz1568/getInfo.php?workbook=06_02.xlsx&amp;sheet=A0&amp;row=23&amp;col=15&amp;number=2234000000&amp;sourceID=32","2234000000")</f>
        <v>2234000000</v>
      </c>
      <c r="P23" s="4" t="str">
        <f>HYPERLINK("http://141.218.60.56/~jnz1568/getInfo.php?workbook=06_02.xlsx&amp;sheet=A0&amp;row=23&amp;col=16&amp;number=&amp;sourceID=32","")</f>
        <v/>
      </c>
      <c r="Q23" s="4" t="str">
        <f>HYPERLINK("http://141.218.60.56/~jnz1568/getInfo.php?workbook=06_02.xlsx&amp;sheet=A0&amp;row=23&amp;col=17&amp;number=&amp;sourceID=32","")</f>
        <v/>
      </c>
      <c r="R23" s="4" t="str">
        <f>HYPERLINK("http://141.218.60.56/~jnz1568/getInfo.php?workbook=06_02.xlsx&amp;sheet=A0&amp;row=23&amp;col=18&amp;number=1.197&amp;sourceID=32","1.197")</f>
        <v>1.197</v>
      </c>
    </row>
    <row r="24" spans="1:18">
      <c r="A24" s="3">
        <v>6</v>
      </c>
      <c r="B24" s="3">
        <v>2</v>
      </c>
      <c r="C24" s="3">
        <v>8</v>
      </c>
      <c r="D24" s="3">
        <v>5</v>
      </c>
      <c r="E24" s="3">
        <f>((1/(INDEX(E0!J$4:J$52,C24,1)-INDEX(E0!J$4:J$52,D24,1))))*100000000</f>
        <v>0</v>
      </c>
      <c r="F24" s="4" t="str">
        <f>HYPERLINK("http://141.218.60.56/~jnz1568/getInfo.php?workbook=06_02.xlsx&amp;sheet=A0&amp;row=24&amp;col=6&amp;number=&amp;sourceID=27","")</f>
        <v/>
      </c>
      <c r="G24" s="4" t="str">
        <f>HYPERLINK("http://141.218.60.56/~jnz1568/getInfo.php?workbook=06_02.xlsx&amp;sheet=A0&amp;row=24&amp;col=7&amp;number=742700000&amp;sourceID=34","742700000")</f>
        <v>742700000</v>
      </c>
      <c r="H24" s="4" t="str">
        <f>HYPERLINK("http://141.218.60.56/~jnz1568/getInfo.php?workbook=06_02.xlsx&amp;sheet=A0&amp;row=24&amp;col=8&amp;number=&amp;sourceID=34","")</f>
        <v/>
      </c>
      <c r="I24" s="4" t="str">
        <f>HYPERLINK("http://141.218.60.56/~jnz1568/getInfo.php?workbook=06_02.xlsx&amp;sheet=A0&amp;row=24&amp;col=9&amp;number=&amp;sourceID=34","")</f>
        <v/>
      </c>
      <c r="J24" s="4" t="str">
        <f>HYPERLINK("http://141.218.60.56/~jnz1568/getInfo.php?workbook=06_02.xlsx&amp;sheet=A0&amp;row=24&amp;col=10&amp;number=&amp;sourceID=34","")</f>
        <v/>
      </c>
      <c r="K24" s="4" t="str">
        <f>HYPERLINK("http://141.218.60.56/~jnz1568/getInfo.php?workbook=06_02.xlsx&amp;sheet=A0&amp;row=24&amp;col=11&amp;number=704400000&amp;sourceID=30","704400000")</f>
        <v>704400000</v>
      </c>
      <c r="L24" s="4" t="str">
        <f>HYPERLINK("http://141.218.60.56/~jnz1568/getInfo.php?workbook=06_02.xlsx&amp;sheet=A0&amp;row=24&amp;col=12&amp;number=&amp;sourceID=30","")</f>
        <v/>
      </c>
      <c r="M24" s="4" t="str">
        <f>HYPERLINK("http://141.218.60.56/~jnz1568/getInfo.php?workbook=06_02.xlsx&amp;sheet=A0&amp;row=24&amp;col=13&amp;number=&amp;sourceID=30","")</f>
        <v/>
      </c>
      <c r="N24" s="4" t="str">
        <f>HYPERLINK("http://141.218.60.56/~jnz1568/getInfo.php?workbook=06_02.xlsx&amp;sheet=A0&amp;row=24&amp;col=14&amp;number=&amp;sourceID=30","")</f>
        <v/>
      </c>
      <c r="O24" s="4" t="str">
        <f>HYPERLINK("http://141.218.60.56/~jnz1568/getInfo.php?workbook=06_02.xlsx&amp;sheet=A0&amp;row=24&amp;col=15&amp;number=745900000&amp;sourceID=32","745900000")</f>
        <v>745900000</v>
      </c>
      <c r="P24" s="4" t="str">
        <f>HYPERLINK("http://141.218.60.56/~jnz1568/getInfo.php?workbook=06_02.xlsx&amp;sheet=A0&amp;row=24&amp;col=16&amp;number=&amp;sourceID=32","")</f>
        <v/>
      </c>
      <c r="Q24" s="4" t="str">
        <f>HYPERLINK("http://141.218.60.56/~jnz1568/getInfo.php?workbook=06_02.xlsx&amp;sheet=A0&amp;row=24&amp;col=17&amp;number=&amp;sourceID=32","")</f>
        <v/>
      </c>
      <c r="R24" s="4" t="str">
        <f>HYPERLINK("http://141.218.60.56/~jnz1568/getInfo.php?workbook=06_02.xlsx&amp;sheet=A0&amp;row=24&amp;col=18&amp;number=&amp;sourceID=32","")</f>
        <v/>
      </c>
    </row>
    <row r="25" spans="1:18">
      <c r="A25" s="3">
        <v>6</v>
      </c>
      <c r="B25" s="3">
        <v>2</v>
      </c>
      <c r="C25" s="3">
        <v>8</v>
      </c>
      <c r="D25" s="3">
        <v>6</v>
      </c>
      <c r="E25" s="3">
        <f>((1/(INDEX(E0!J$4:J$52,C25,1)-INDEX(E0!J$4:J$52,D25,1))))*100000000</f>
        <v>0</v>
      </c>
      <c r="F25" s="4" t="str">
        <f>HYPERLINK("http://141.218.60.56/~jnz1568/getInfo.php?workbook=06_02.xlsx&amp;sheet=A0&amp;row=25&amp;col=6&amp;number=&amp;sourceID=27","")</f>
        <v/>
      </c>
      <c r="G25" s="4" t="str">
        <f>HYPERLINK("http://141.218.60.56/~jnz1568/getInfo.php?workbook=06_02.xlsx&amp;sheet=A0&amp;row=25&amp;col=7&amp;number=3710000000&amp;sourceID=34","3710000000")</f>
        <v>3710000000</v>
      </c>
      <c r="H25" s="4" t="str">
        <f>HYPERLINK("http://141.218.60.56/~jnz1568/getInfo.php?workbook=06_02.xlsx&amp;sheet=A0&amp;row=25&amp;col=8&amp;number=&amp;sourceID=34","")</f>
        <v/>
      </c>
      <c r="I25" s="4" t="str">
        <f>HYPERLINK("http://141.218.60.56/~jnz1568/getInfo.php?workbook=06_02.xlsx&amp;sheet=A0&amp;row=25&amp;col=9&amp;number=&amp;sourceID=34","")</f>
        <v/>
      </c>
      <c r="J25" s="4" t="str">
        <f>HYPERLINK("http://141.218.60.56/~jnz1568/getInfo.php?workbook=06_02.xlsx&amp;sheet=A0&amp;row=25&amp;col=10&amp;number=&amp;sourceID=34","")</f>
        <v/>
      </c>
      <c r="K25" s="4" t="str">
        <f>HYPERLINK("http://141.218.60.56/~jnz1568/getInfo.php?workbook=06_02.xlsx&amp;sheet=A0&amp;row=25&amp;col=11&amp;number=3520000000&amp;sourceID=30","3520000000")</f>
        <v>3520000000</v>
      </c>
      <c r="L25" s="4" t="str">
        <f>HYPERLINK("http://141.218.60.56/~jnz1568/getInfo.php?workbook=06_02.xlsx&amp;sheet=A0&amp;row=25&amp;col=12&amp;number=&amp;sourceID=30","")</f>
        <v/>
      </c>
      <c r="M25" s="4" t="str">
        <f>HYPERLINK("http://141.218.60.56/~jnz1568/getInfo.php?workbook=06_02.xlsx&amp;sheet=A0&amp;row=25&amp;col=13&amp;number=&amp;sourceID=30","")</f>
        <v/>
      </c>
      <c r="N25" s="4" t="str">
        <f>HYPERLINK("http://141.218.60.56/~jnz1568/getInfo.php?workbook=06_02.xlsx&amp;sheet=A0&amp;row=25&amp;col=14&amp;number=3.424&amp;sourceID=30","3.424")</f>
        <v>3.424</v>
      </c>
      <c r="O25" s="4" t="str">
        <f>HYPERLINK("http://141.218.60.56/~jnz1568/getInfo.php?workbook=06_02.xlsx&amp;sheet=A0&amp;row=25&amp;col=15&amp;number=3730000000&amp;sourceID=32","3730000000")</f>
        <v>3730000000</v>
      </c>
      <c r="P25" s="4" t="str">
        <f>HYPERLINK("http://141.218.60.56/~jnz1568/getInfo.php?workbook=06_02.xlsx&amp;sheet=A0&amp;row=25&amp;col=16&amp;number=&amp;sourceID=32","")</f>
        <v/>
      </c>
      <c r="Q25" s="4" t="str">
        <f>HYPERLINK("http://141.218.60.56/~jnz1568/getInfo.php?workbook=06_02.xlsx&amp;sheet=A0&amp;row=25&amp;col=17&amp;number=&amp;sourceID=32","")</f>
        <v/>
      </c>
      <c r="R25" s="4" t="str">
        <f>HYPERLINK("http://141.218.60.56/~jnz1568/getInfo.php?workbook=06_02.xlsx&amp;sheet=A0&amp;row=25&amp;col=18&amp;number=3.648&amp;sourceID=32","3.648")</f>
        <v>3.648</v>
      </c>
    </row>
    <row r="26" spans="1:18">
      <c r="A26" s="3">
        <v>6</v>
      </c>
      <c r="B26" s="3">
        <v>2</v>
      </c>
      <c r="C26" s="3">
        <v>8</v>
      </c>
      <c r="D26" s="3">
        <v>7</v>
      </c>
      <c r="E26" s="3">
        <f>((1/(INDEX(E0!J$4:J$52,C26,1)-INDEX(E0!J$4:J$52,D26,1))))*100000000</f>
        <v>0</v>
      </c>
      <c r="F26" s="4" t="str">
        <f>HYPERLINK("http://141.218.60.56/~jnz1568/getInfo.php?workbook=06_02.xlsx&amp;sheet=A0&amp;row=26&amp;col=6&amp;number=&amp;sourceID=27","")</f>
        <v/>
      </c>
      <c r="G26" s="4" t="str">
        <f>HYPERLINK("http://141.218.60.56/~jnz1568/getInfo.php?workbook=06_02.xlsx&amp;sheet=A0&amp;row=26&amp;col=7&amp;number=&amp;sourceID=34","")</f>
        <v/>
      </c>
      <c r="H26" s="4" t="str">
        <f>HYPERLINK("http://141.218.60.56/~jnz1568/getInfo.php?workbook=06_02.xlsx&amp;sheet=A0&amp;row=26&amp;col=8&amp;number=&amp;sourceID=34","")</f>
        <v/>
      </c>
      <c r="I26" s="4" t="str">
        <f>HYPERLINK("http://141.218.60.56/~jnz1568/getInfo.php?workbook=06_02.xlsx&amp;sheet=A0&amp;row=26&amp;col=9&amp;number=&amp;sourceID=34","")</f>
        <v/>
      </c>
      <c r="J26" s="4" t="str">
        <f>HYPERLINK("http://141.218.60.56/~jnz1568/getInfo.php?workbook=06_02.xlsx&amp;sheet=A0&amp;row=26&amp;col=10&amp;number=&amp;sourceID=34","")</f>
        <v/>
      </c>
      <c r="K26" s="4" t="str">
        <f>HYPERLINK("http://141.218.60.56/~jnz1568/getInfo.php?workbook=06_02.xlsx&amp;sheet=A0&amp;row=26&amp;col=11&amp;number=72970&amp;sourceID=30","72970")</f>
        <v>72970</v>
      </c>
      <c r="L26" s="4" t="str">
        <f>HYPERLINK("http://141.218.60.56/~jnz1568/getInfo.php?workbook=06_02.xlsx&amp;sheet=A0&amp;row=26&amp;col=12&amp;number=&amp;sourceID=30","")</f>
        <v/>
      </c>
      <c r="M26" s="4" t="str">
        <f>HYPERLINK("http://141.218.60.56/~jnz1568/getInfo.php?workbook=06_02.xlsx&amp;sheet=A0&amp;row=26&amp;col=13&amp;number=&amp;sourceID=30","")</f>
        <v/>
      </c>
      <c r="N26" s="4" t="str">
        <f>HYPERLINK("http://141.218.60.56/~jnz1568/getInfo.php?workbook=06_02.xlsx&amp;sheet=A0&amp;row=26&amp;col=14&amp;number=2.808&amp;sourceID=30","2.808")</f>
        <v>2.808</v>
      </c>
      <c r="O26" s="4" t="str">
        <f>HYPERLINK("http://141.218.60.56/~jnz1568/getInfo.php?workbook=06_02.xlsx&amp;sheet=A0&amp;row=26&amp;col=15&amp;number=77380&amp;sourceID=32","77380")</f>
        <v>77380</v>
      </c>
      <c r="P26" s="4" t="str">
        <f>HYPERLINK("http://141.218.60.56/~jnz1568/getInfo.php?workbook=06_02.xlsx&amp;sheet=A0&amp;row=26&amp;col=16&amp;number=&amp;sourceID=32","")</f>
        <v/>
      </c>
      <c r="Q26" s="4" t="str">
        <f>HYPERLINK("http://141.218.60.56/~jnz1568/getInfo.php?workbook=06_02.xlsx&amp;sheet=A0&amp;row=26&amp;col=17&amp;number=&amp;sourceID=32","")</f>
        <v/>
      </c>
      <c r="R26" s="4" t="str">
        <f>HYPERLINK("http://141.218.60.56/~jnz1568/getInfo.php?workbook=06_02.xlsx&amp;sheet=A0&amp;row=26&amp;col=18&amp;number=2.592&amp;sourceID=32","2.592")</f>
        <v>2.592</v>
      </c>
    </row>
    <row r="27" spans="1:18">
      <c r="A27" s="3">
        <v>6</v>
      </c>
      <c r="B27" s="3">
        <v>2</v>
      </c>
      <c r="C27" s="3">
        <v>9</v>
      </c>
      <c r="D27" s="3">
        <v>2</v>
      </c>
      <c r="E27" s="3">
        <f>((1/(INDEX(E0!J$4:J$52,C27,1)-INDEX(E0!J$4:J$52,D27,1))))*100000000</f>
        <v>0</v>
      </c>
      <c r="F27" s="4" t="str">
        <f>HYPERLINK("http://141.218.60.56/~jnz1568/getInfo.php?workbook=06_02.xlsx&amp;sheet=A0&amp;row=27&amp;col=6&amp;number=&amp;sourceID=27","")</f>
        <v/>
      </c>
      <c r="G27" s="4" t="str">
        <f>HYPERLINK("http://141.218.60.56/~jnz1568/getInfo.php?workbook=06_02.xlsx&amp;sheet=A0&amp;row=27&amp;col=7&amp;number=&amp;sourceID=34","")</f>
        <v/>
      </c>
      <c r="H27" s="4" t="str">
        <f>HYPERLINK("http://141.218.60.56/~jnz1568/getInfo.php?workbook=06_02.xlsx&amp;sheet=A0&amp;row=27&amp;col=8&amp;number=&amp;sourceID=34","")</f>
        <v/>
      </c>
      <c r="I27" s="4" t="str">
        <f>HYPERLINK("http://141.218.60.56/~jnz1568/getInfo.php?workbook=06_02.xlsx&amp;sheet=A0&amp;row=27&amp;col=9&amp;number=&amp;sourceID=34","")</f>
        <v/>
      </c>
      <c r="J27" s="4" t="str">
        <f>HYPERLINK("http://141.218.60.56/~jnz1568/getInfo.php?workbook=06_02.xlsx&amp;sheet=A0&amp;row=27&amp;col=10&amp;number=&amp;sourceID=34","")</f>
        <v/>
      </c>
      <c r="K27" s="4" t="str">
        <f>HYPERLINK("http://141.218.60.56/~jnz1568/getInfo.php?workbook=06_02.xlsx&amp;sheet=A0&amp;row=27&amp;col=11&amp;number=&amp;sourceID=30","")</f>
        <v/>
      </c>
      <c r="L27" s="4" t="str">
        <f>HYPERLINK("http://141.218.60.56/~jnz1568/getInfo.php?workbook=06_02.xlsx&amp;sheet=A0&amp;row=27&amp;col=12&amp;number=&amp;sourceID=30","")</f>
        <v/>
      </c>
      <c r="M27" s="4" t="str">
        <f>HYPERLINK("http://141.218.60.56/~jnz1568/getInfo.php?workbook=06_02.xlsx&amp;sheet=A0&amp;row=27&amp;col=13&amp;number=0.01192&amp;sourceID=30","0.01192")</f>
        <v>0.01192</v>
      </c>
      <c r="N27" s="4" t="str">
        <f>HYPERLINK("http://141.218.60.56/~jnz1568/getInfo.php?workbook=06_02.xlsx&amp;sheet=A0&amp;row=27&amp;col=14&amp;number=&amp;sourceID=30","")</f>
        <v/>
      </c>
      <c r="O27" s="4" t="str">
        <f>HYPERLINK("http://141.218.60.56/~jnz1568/getInfo.php?workbook=06_02.xlsx&amp;sheet=A0&amp;row=27&amp;col=15&amp;number=&amp;sourceID=32","")</f>
        <v/>
      </c>
      <c r="P27" s="4" t="str">
        <f>HYPERLINK("http://141.218.60.56/~jnz1568/getInfo.php?workbook=06_02.xlsx&amp;sheet=A0&amp;row=27&amp;col=16&amp;number=&amp;sourceID=32","")</f>
        <v/>
      </c>
      <c r="Q27" s="4" t="str">
        <f>HYPERLINK("http://141.218.60.56/~jnz1568/getInfo.php?workbook=06_02.xlsx&amp;sheet=A0&amp;row=27&amp;col=17&amp;number=0.01025&amp;sourceID=32","0.01025")</f>
        <v>0.01025</v>
      </c>
      <c r="R27" s="4" t="str">
        <f>HYPERLINK("http://141.218.60.56/~jnz1568/getInfo.php?workbook=06_02.xlsx&amp;sheet=A0&amp;row=27&amp;col=18&amp;number=&amp;sourceID=32","")</f>
        <v/>
      </c>
    </row>
    <row r="28" spans="1:18">
      <c r="A28" s="3">
        <v>6</v>
      </c>
      <c r="B28" s="3">
        <v>2</v>
      </c>
      <c r="C28" s="3">
        <v>9</v>
      </c>
      <c r="D28" s="3">
        <v>4</v>
      </c>
      <c r="E28" s="3">
        <f>((1/(INDEX(E0!J$4:J$52,C28,1)-INDEX(E0!J$4:J$52,D28,1))))*100000000</f>
        <v>0</v>
      </c>
      <c r="F28" s="4" t="str">
        <f>HYPERLINK("http://141.218.60.56/~jnz1568/getInfo.php?workbook=06_02.xlsx&amp;sheet=A0&amp;row=28&amp;col=6&amp;number=&amp;sourceID=27","")</f>
        <v/>
      </c>
      <c r="G28" s="4" t="str">
        <f>HYPERLINK("http://141.218.60.56/~jnz1568/getInfo.php?workbook=06_02.xlsx&amp;sheet=A0&amp;row=28&amp;col=7&amp;number=&amp;sourceID=34","")</f>
        <v/>
      </c>
      <c r="H28" s="4" t="str">
        <f>HYPERLINK("http://141.218.60.56/~jnz1568/getInfo.php?workbook=06_02.xlsx&amp;sheet=A0&amp;row=28&amp;col=8&amp;number=&amp;sourceID=34","")</f>
        <v/>
      </c>
      <c r="I28" s="4" t="str">
        <f>HYPERLINK("http://141.218.60.56/~jnz1568/getInfo.php?workbook=06_02.xlsx&amp;sheet=A0&amp;row=28&amp;col=9&amp;number=&amp;sourceID=34","")</f>
        <v/>
      </c>
      <c r="J28" s="4" t="str">
        <f>HYPERLINK("http://141.218.60.56/~jnz1568/getInfo.php?workbook=06_02.xlsx&amp;sheet=A0&amp;row=28&amp;col=10&amp;number=&amp;sourceID=34","")</f>
        <v/>
      </c>
      <c r="K28" s="4" t="str">
        <f>HYPERLINK("http://141.218.60.56/~jnz1568/getInfo.php?workbook=06_02.xlsx&amp;sheet=A0&amp;row=28&amp;col=11&amp;number=127100&amp;sourceID=30","127100")</f>
        <v>127100</v>
      </c>
      <c r="L28" s="4" t="str">
        <f>HYPERLINK("http://141.218.60.56/~jnz1568/getInfo.php?workbook=06_02.xlsx&amp;sheet=A0&amp;row=28&amp;col=12&amp;number=&amp;sourceID=30","")</f>
        <v/>
      </c>
      <c r="M28" s="4" t="str">
        <f>HYPERLINK("http://141.218.60.56/~jnz1568/getInfo.php?workbook=06_02.xlsx&amp;sheet=A0&amp;row=28&amp;col=13&amp;number=&amp;sourceID=30","")</f>
        <v/>
      </c>
      <c r="N28" s="4" t="str">
        <f>HYPERLINK("http://141.218.60.56/~jnz1568/getInfo.php?workbook=06_02.xlsx&amp;sheet=A0&amp;row=28&amp;col=14&amp;number=&amp;sourceID=30","")</f>
        <v/>
      </c>
      <c r="O28" s="4" t="str">
        <f>HYPERLINK("http://141.218.60.56/~jnz1568/getInfo.php?workbook=06_02.xlsx&amp;sheet=A0&amp;row=28&amp;col=15&amp;number=120900&amp;sourceID=32","120900")</f>
        <v>120900</v>
      </c>
      <c r="P28" s="4" t="str">
        <f>HYPERLINK("http://141.218.60.56/~jnz1568/getInfo.php?workbook=06_02.xlsx&amp;sheet=A0&amp;row=28&amp;col=16&amp;number=&amp;sourceID=32","")</f>
        <v/>
      </c>
      <c r="Q28" s="4" t="str">
        <f>HYPERLINK("http://141.218.60.56/~jnz1568/getInfo.php?workbook=06_02.xlsx&amp;sheet=A0&amp;row=28&amp;col=17&amp;number=&amp;sourceID=32","")</f>
        <v/>
      </c>
      <c r="R28" s="4" t="str">
        <f>HYPERLINK("http://141.218.60.56/~jnz1568/getInfo.php?workbook=06_02.xlsx&amp;sheet=A0&amp;row=28&amp;col=18&amp;number=&amp;sourceID=32","")</f>
        <v/>
      </c>
    </row>
    <row r="29" spans="1:18">
      <c r="A29" s="3">
        <v>6</v>
      </c>
      <c r="B29" s="3">
        <v>2</v>
      </c>
      <c r="C29" s="3">
        <v>9</v>
      </c>
      <c r="D29" s="3">
        <v>6</v>
      </c>
      <c r="E29" s="3">
        <f>((1/(INDEX(E0!J$4:J$52,C29,1)-INDEX(E0!J$4:J$52,D29,1))))*100000000</f>
        <v>0</v>
      </c>
      <c r="F29" s="4" t="str">
        <f>HYPERLINK("http://141.218.60.56/~jnz1568/getInfo.php?workbook=06_02.xlsx&amp;sheet=A0&amp;row=29&amp;col=6&amp;number=&amp;sourceID=27","")</f>
        <v/>
      </c>
      <c r="G29" s="4" t="str">
        <f>HYPERLINK("http://141.218.60.56/~jnz1568/getInfo.php?workbook=06_02.xlsx&amp;sheet=A0&amp;row=29&amp;col=7&amp;number=&amp;sourceID=34","")</f>
        <v/>
      </c>
      <c r="H29" s="4" t="str">
        <f>HYPERLINK("http://141.218.60.56/~jnz1568/getInfo.php?workbook=06_02.xlsx&amp;sheet=A0&amp;row=29&amp;col=8&amp;number=&amp;sourceID=34","")</f>
        <v/>
      </c>
      <c r="I29" s="4" t="str">
        <f>HYPERLINK("http://141.218.60.56/~jnz1568/getInfo.php?workbook=06_02.xlsx&amp;sheet=A0&amp;row=29&amp;col=9&amp;number=&amp;sourceID=34","")</f>
        <v/>
      </c>
      <c r="J29" s="4" t="str">
        <f>HYPERLINK("http://141.218.60.56/~jnz1568/getInfo.php?workbook=06_02.xlsx&amp;sheet=A0&amp;row=29&amp;col=10&amp;number=&amp;sourceID=34","")</f>
        <v/>
      </c>
      <c r="K29" s="4" t="str">
        <f>HYPERLINK("http://141.218.60.56/~jnz1568/getInfo.php?workbook=06_02.xlsx&amp;sheet=A0&amp;row=29&amp;col=11&amp;number=&amp;sourceID=30","")</f>
        <v/>
      </c>
      <c r="L29" s="4" t="str">
        <f>HYPERLINK("http://141.218.60.56/~jnz1568/getInfo.php?workbook=06_02.xlsx&amp;sheet=A0&amp;row=29&amp;col=12&amp;number=&amp;sourceID=30","")</f>
        <v/>
      </c>
      <c r="M29" s="4" t="str">
        <f>HYPERLINK("http://141.218.60.56/~jnz1568/getInfo.php?workbook=06_02.xlsx&amp;sheet=A0&amp;row=29&amp;col=13&amp;number=&amp;sourceID=30","")</f>
        <v/>
      </c>
      <c r="N29" s="4" t="str">
        <f>HYPERLINK("http://141.218.60.56/~jnz1568/getInfo.php?workbook=06_02.xlsx&amp;sheet=A0&amp;row=29&amp;col=14&amp;number=4.515&amp;sourceID=30","4.515")</f>
        <v>4.515</v>
      </c>
      <c r="O29" s="4" t="str">
        <f>HYPERLINK("http://141.218.60.56/~jnz1568/getInfo.php?workbook=06_02.xlsx&amp;sheet=A0&amp;row=29&amp;col=15&amp;number=&amp;sourceID=32","")</f>
        <v/>
      </c>
      <c r="P29" s="4" t="str">
        <f>HYPERLINK("http://141.218.60.56/~jnz1568/getInfo.php?workbook=06_02.xlsx&amp;sheet=A0&amp;row=29&amp;col=16&amp;number=&amp;sourceID=32","")</f>
        <v/>
      </c>
      <c r="Q29" s="4" t="str">
        <f>HYPERLINK("http://141.218.60.56/~jnz1568/getInfo.php?workbook=06_02.xlsx&amp;sheet=A0&amp;row=29&amp;col=17&amp;number=&amp;sourceID=32","")</f>
        <v/>
      </c>
      <c r="R29" s="4" t="str">
        <f>HYPERLINK("http://141.218.60.56/~jnz1568/getInfo.php?workbook=06_02.xlsx&amp;sheet=A0&amp;row=29&amp;col=18&amp;number=4.654&amp;sourceID=32","4.654")</f>
        <v>4.654</v>
      </c>
    </row>
    <row r="30" spans="1:18">
      <c r="A30" s="3">
        <v>6</v>
      </c>
      <c r="B30" s="3">
        <v>2</v>
      </c>
      <c r="C30" s="3">
        <v>9</v>
      </c>
      <c r="D30" s="3">
        <v>7</v>
      </c>
      <c r="E30" s="3">
        <f>((1/(INDEX(E0!J$4:J$52,C30,1)-INDEX(E0!J$4:J$52,D30,1))))*100000000</f>
        <v>0</v>
      </c>
      <c r="F30" s="4" t="str">
        <f>HYPERLINK("http://141.218.60.56/~jnz1568/getInfo.php?workbook=06_02.xlsx&amp;sheet=A0&amp;row=30&amp;col=6&amp;number=&amp;sourceID=27","")</f>
        <v/>
      </c>
      <c r="G30" s="4" t="str">
        <f>HYPERLINK("http://141.218.60.56/~jnz1568/getInfo.php?workbook=06_02.xlsx&amp;sheet=A0&amp;row=30&amp;col=7&amp;number=5699000000&amp;sourceID=34","5699000000")</f>
        <v>5699000000</v>
      </c>
      <c r="H30" s="4" t="str">
        <f>HYPERLINK("http://141.218.60.56/~jnz1568/getInfo.php?workbook=06_02.xlsx&amp;sheet=A0&amp;row=30&amp;col=8&amp;number=&amp;sourceID=34","")</f>
        <v/>
      </c>
      <c r="I30" s="4" t="str">
        <f>HYPERLINK("http://141.218.60.56/~jnz1568/getInfo.php?workbook=06_02.xlsx&amp;sheet=A0&amp;row=30&amp;col=9&amp;number=&amp;sourceID=34","")</f>
        <v/>
      </c>
      <c r="J30" s="4" t="str">
        <f>HYPERLINK("http://141.218.60.56/~jnz1568/getInfo.php?workbook=06_02.xlsx&amp;sheet=A0&amp;row=30&amp;col=10&amp;number=&amp;sourceID=34","")</f>
        <v/>
      </c>
      <c r="K30" s="4" t="str">
        <f>HYPERLINK("http://141.218.60.56/~jnz1568/getInfo.php?workbook=06_02.xlsx&amp;sheet=A0&amp;row=30&amp;col=11&amp;number=6342000000&amp;sourceID=30","6342000000")</f>
        <v>6342000000</v>
      </c>
      <c r="L30" s="4" t="str">
        <f>HYPERLINK("http://141.218.60.56/~jnz1568/getInfo.php?workbook=06_02.xlsx&amp;sheet=A0&amp;row=30&amp;col=12&amp;number=&amp;sourceID=30","")</f>
        <v/>
      </c>
      <c r="M30" s="4" t="str">
        <f>HYPERLINK("http://141.218.60.56/~jnz1568/getInfo.php?workbook=06_02.xlsx&amp;sheet=A0&amp;row=30&amp;col=13&amp;number=&amp;sourceID=30","")</f>
        <v/>
      </c>
      <c r="N30" s="4" t="str">
        <f>HYPERLINK("http://141.218.60.56/~jnz1568/getInfo.php?workbook=06_02.xlsx&amp;sheet=A0&amp;row=30&amp;col=14&amp;number=&amp;sourceID=30","")</f>
        <v/>
      </c>
      <c r="O30" s="4" t="str">
        <f>HYPERLINK("http://141.218.60.56/~jnz1568/getInfo.php?workbook=06_02.xlsx&amp;sheet=A0&amp;row=30&amp;col=15&amp;number=5711000000&amp;sourceID=32","5711000000")</f>
        <v>5711000000</v>
      </c>
      <c r="P30" s="4" t="str">
        <f>HYPERLINK("http://141.218.60.56/~jnz1568/getInfo.php?workbook=06_02.xlsx&amp;sheet=A0&amp;row=30&amp;col=16&amp;number=&amp;sourceID=32","")</f>
        <v/>
      </c>
      <c r="Q30" s="4" t="str">
        <f>HYPERLINK("http://141.218.60.56/~jnz1568/getInfo.php?workbook=06_02.xlsx&amp;sheet=A0&amp;row=30&amp;col=17&amp;number=&amp;sourceID=32","")</f>
        <v/>
      </c>
      <c r="R30" s="4" t="str">
        <f>HYPERLINK("http://141.218.60.56/~jnz1568/getInfo.php?workbook=06_02.xlsx&amp;sheet=A0&amp;row=30&amp;col=18&amp;number=&amp;sourceID=32","")</f>
        <v/>
      </c>
    </row>
    <row r="31" spans="1:18">
      <c r="A31" s="3">
        <v>6</v>
      </c>
      <c r="B31" s="3">
        <v>2</v>
      </c>
      <c r="C31" s="3">
        <v>9</v>
      </c>
      <c r="D31" s="3">
        <v>8</v>
      </c>
      <c r="E31" s="3">
        <f>((1/(INDEX(E0!J$4:J$52,C31,1)-INDEX(E0!J$4:J$52,D31,1))))*100000000</f>
        <v>0</v>
      </c>
      <c r="F31" s="4" t="str">
        <f>HYPERLINK("http://141.218.60.56/~jnz1568/getInfo.php?workbook=06_02.xlsx&amp;sheet=A0&amp;row=31&amp;col=6&amp;number=&amp;sourceID=27","")</f>
        <v/>
      </c>
      <c r="G31" s="4" t="str">
        <f>HYPERLINK("http://141.218.60.56/~jnz1568/getInfo.php?workbook=06_02.xlsx&amp;sheet=A0&amp;row=31&amp;col=7&amp;number=&amp;sourceID=34","")</f>
        <v/>
      </c>
      <c r="H31" s="4" t="str">
        <f>HYPERLINK("http://141.218.60.56/~jnz1568/getInfo.php?workbook=06_02.xlsx&amp;sheet=A0&amp;row=31&amp;col=8&amp;number=&amp;sourceID=34","")</f>
        <v/>
      </c>
      <c r="I31" s="4" t="str">
        <f>HYPERLINK("http://141.218.60.56/~jnz1568/getInfo.php?workbook=06_02.xlsx&amp;sheet=A0&amp;row=31&amp;col=9&amp;number=&amp;sourceID=34","")</f>
        <v/>
      </c>
      <c r="J31" s="4" t="str">
        <f>HYPERLINK("http://141.218.60.56/~jnz1568/getInfo.php?workbook=06_02.xlsx&amp;sheet=A0&amp;row=31&amp;col=10&amp;number=&amp;sourceID=34","")</f>
        <v/>
      </c>
      <c r="K31" s="4" t="str">
        <f>HYPERLINK("http://141.218.60.56/~jnz1568/getInfo.php?workbook=06_02.xlsx&amp;sheet=A0&amp;row=31&amp;col=11&amp;number=&amp;sourceID=30","")</f>
        <v/>
      </c>
      <c r="L31" s="4" t="str">
        <f>HYPERLINK("http://141.218.60.56/~jnz1568/getInfo.php?workbook=06_02.xlsx&amp;sheet=A0&amp;row=31&amp;col=12&amp;number=&amp;sourceID=30","")</f>
        <v/>
      </c>
      <c r="M31" s="4" t="str">
        <f>HYPERLINK("http://141.218.60.56/~jnz1568/getInfo.php?workbook=06_02.xlsx&amp;sheet=A0&amp;row=31&amp;col=13&amp;number=6.101e-05&amp;sourceID=30","6.101e-05")</f>
        <v>6.101e-05</v>
      </c>
      <c r="N31" s="4" t="str">
        <f>HYPERLINK("http://141.218.60.56/~jnz1568/getInfo.php?workbook=06_02.xlsx&amp;sheet=A0&amp;row=31&amp;col=14&amp;number=&amp;sourceID=30","")</f>
        <v/>
      </c>
      <c r="O31" s="4" t="str">
        <f>HYPERLINK("http://141.218.60.56/~jnz1568/getInfo.php?workbook=06_02.xlsx&amp;sheet=A0&amp;row=31&amp;col=15&amp;number=&amp;sourceID=32","")</f>
        <v/>
      </c>
      <c r="P31" s="4" t="str">
        <f>HYPERLINK("http://141.218.60.56/~jnz1568/getInfo.php?workbook=06_02.xlsx&amp;sheet=A0&amp;row=31&amp;col=16&amp;number=&amp;sourceID=32","")</f>
        <v/>
      </c>
      <c r="Q31" s="4" t="str">
        <f>HYPERLINK("http://141.218.60.56/~jnz1568/getInfo.php?workbook=06_02.xlsx&amp;sheet=A0&amp;row=31&amp;col=17&amp;number=4.398e-05&amp;sourceID=32","4.398e-05")</f>
        <v>4.398e-05</v>
      </c>
      <c r="R31" s="4" t="str">
        <f>HYPERLINK("http://141.218.60.56/~jnz1568/getInfo.php?workbook=06_02.xlsx&amp;sheet=A0&amp;row=31&amp;col=18&amp;number=&amp;sourceID=32","")</f>
        <v/>
      </c>
    </row>
    <row r="32" spans="1:18">
      <c r="A32" s="3">
        <v>6</v>
      </c>
      <c r="B32" s="3">
        <v>2</v>
      </c>
      <c r="C32" s="3">
        <v>10</v>
      </c>
      <c r="D32" s="3">
        <v>1</v>
      </c>
      <c r="E32" s="3">
        <f>((1/(INDEX(E0!J$4:J$52,C32,1)-INDEX(E0!J$4:J$52,D32,1))))*100000000</f>
        <v>0</v>
      </c>
      <c r="F32" s="4" t="str">
        <f>HYPERLINK("http://141.218.60.56/~jnz1568/getInfo.php?workbook=06_02.xlsx&amp;sheet=A0&amp;row=32&amp;col=6&amp;number=&amp;sourceID=27","")</f>
        <v/>
      </c>
      <c r="G32" s="4" t="str">
        <f>HYPERLINK("http://141.218.60.56/~jnz1568/getInfo.php?workbook=06_02.xlsx&amp;sheet=A0&amp;row=32&amp;col=7&amp;number=&amp;sourceID=34","")</f>
        <v/>
      </c>
      <c r="H32" s="4" t="str">
        <f>HYPERLINK("http://141.218.60.56/~jnz1568/getInfo.php?workbook=06_02.xlsx&amp;sheet=A0&amp;row=32&amp;col=8&amp;number=&amp;sourceID=34","")</f>
        <v/>
      </c>
      <c r="I32" s="4" t="str">
        <f>HYPERLINK("http://141.218.60.56/~jnz1568/getInfo.php?workbook=06_02.xlsx&amp;sheet=A0&amp;row=32&amp;col=9&amp;number=&amp;sourceID=34","")</f>
        <v/>
      </c>
      <c r="J32" s="4" t="str">
        <f>HYPERLINK("http://141.218.60.56/~jnz1568/getInfo.php?workbook=06_02.xlsx&amp;sheet=A0&amp;row=32&amp;col=10&amp;number=&amp;sourceID=34","")</f>
        <v/>
      </c>
      <c r="K32" s="4" t="str">
        <f>HYPERLINK("http://141.218.60.56/~jnz1568/getInfo.php?workbook=06_02.xlsx&amp;sheet=A0&amp;row=32&amp;col=11&amp;number=8978000&amp;sourceID=30","8978000")</f>
        <v>8978000</v>
      </c>
      <c r="L32" s="4" t="str">
        <f>HYPERLINK("http://141.218.60.56/~jnz1568/getInfo.php?workbook=06_02.xlsx&amp;sheet=A0&amp;row=32&amp;col=12&amp;number=&amp;sourceID=30","")</f>
        <v/>
      </c>
      <c r="M32" s="4" t="str">
        <f>HYPERLINK("http://141.218.60.56/~jnz1568/getInfo.php?workbook=06_02.xlsx&amp;sheet=A0&amp;row=32&amp;col=13&amp;number=&amp;sourceID=30","")</f>
        <v/>
      </c>
      <c r="N32" s="4" t="str">
        <f>HYPERLINK("http://141.218.60.56/~jnz1568/getInfo.php?workbook=06_02.xlsx&amp;sheet=A0&amp;row=32&amp;col=14&amp;number=&amp;sourceID=30","")</f>
        <v/>
      </c>
      <c r="O32" s="4" t="str">
        <f>HYPERLINK("http://141.218.60.56/~jnz1568/getInfo.php?workbook=06_02.xlsx&amp;sheet=A0&amp;row=32&amp;col=15&amp;number=7841000&amp;sourceID=32","7841000")</f>
        <v>7841000</v>
      </c>
      <c r="P32" s="4" t="str">
        <f>HYPERLINK("http://141.218.60.56/~jnz1568/getInfo.php?workbook=06_02.xlsx&amp;sheet=A0&amp;row=32&amp;col=16&amp;number=&amp;sourceID=32","")</f>
        <v/>
      </c>
      <c r="Q32" s="4" t="str">
        <f>HYPERLINK("http://141.218.60.56/~jnz1568/getInfo.php?workbook=06_02.xlsx&amp;sheet=A0&amp;row=32&amp;col=17&amp;number=&amp;sourceID=32","")</f>
        <v/>
      </c>
      <c r="R32" s="4" t="str">
        <f>HYPERLINK("http://141.218.60.56/~jnz1568/getInfo.php?workbook=06_02.xlsx&amp;sheet=A0&amp;row=32&amp;col=18&amp;number=&amp;sourceID=32","")</f>
        <v/>
      </c>
    </row>
    <row r="33" spans="1:18">
      <c r="A33" s="3">
        <v>6</v>
      </c>
      <c r="B33" s="3">
        <v>2</v>
      </c>
      <c r="C33" s="3">
        <v>10</v>
      </c>
      <c r="D33" s="3">
        <v>2</v>
      </c>
      <c r="E33" s="3">
        <f>((1/(INDEX(E0!J$4:J$52,C33,1)-INDEX(E0!J$4:J$52,D33,1))))*100000000</f>
        <v>0</v>
      </c>
      <c r="F33" s="4" t="str">
        <f>HYPERLINK("http://141.218.60.56/~jnz1568/getInfo.php?workbook=06_02.xlsx&amp;sheet=A0&amp;row=33&amp;col=6&amp;number=&amp;sourceID=27","")</f>
        <v/>
      </c>
      <c r="G33" s="4" t="str">
        <f>HYPERLINK("http://141.218.60.56/~jnz1568/getInfo.php?workbook=06_02.xlsx&amp;sheet=A0&amp;row=33&amp;col=7&amp;number=13630000000&amp;sourceID=34","13630000000")</f>
        <v>13630000000</v>
      </c>
      <c r="H33" s="4" t="str">
        <f>HYPERLINK("http://141.218.60.56/~jnz1568/getInfo.php?workbook=06_02.xlsx&amp;sheet=A0&amp;row=33&amp;col=8&amp;number=&amp;sourceID=34","")</f>
        <v/>
      </c>
      <c r="I33" s="4" t="str">
        <f>HYPERLINK("http://141.218.60.56/~jnz1568/getInfo.php?workbook=06_02.xlsx&amp;sheet=A0&amp;row=33&amp;col=9&amp;number=&amp;sourceID=34","")</f>
        <v/>
      </c>
      <c r="J33" s="4" t="str">
        <f>HYPERLINK("http://141.218.60.56/~jnz1568/getInfo.php?workbook=06_02.xlsx&amp;sheet=A0&amp;row=33&amp;col=10&amp;number=&amp;sourceID=34","")</f>
        <v/>
      </c>
      <c r="K33" s="4" t="str">
        <f>HYPERLINK("http://141.218.60.56/~jnz1568/getInfo.php?workbook=06_02.xlsx&amp;sheet=A0&amp;row=33&amp;col=11&amp;number=13140000000&amp;sourceID=30","13140000000")</f>
        <v>13140000000</v>
      </c>
      <c r="L33" s="4" t="str">
        <f>HYPERLINK("http://141.218.60.56/~jnz1568/getInfo.php?workbook=06_02.xlsx&amp;sheet=A0&amp;row=33&amp;col=12&amp;number=&amp;sourceID=30","")</f>
        <v/>
      </c>
      <c r="M33" s="4" t="str">
        <f>HYPERLINK("http://141.218.60.56/~jnz1568/getInfo.php?workbook=06_02.xlsx&amp;sheet=A0&amp;row=33&amp;col=13&amp;number=&amp;sourceID=30","")</f>
        <v/>
      </c>
      <c r="N33" s="4" t="str">
        <f>HYPERLINK("http://141.218.60.56/~jnz1568/getInfo.php?workbook=06_02.xlsx&amp;sheet=A0&amp;row=33&amp;col=14&amp;number=9.211&amp;sourceID=30","9.211")</f>
        <v>9.211</v>
      </c>
      <c r="O33" s="4" t="str">
        <f>HYPERLINK("http://141.218.60.56/~jnz1568/getInfo.php?workbook=06_02.xlsx&amp;sheet=A0&amp;row=33&amp;col=15&amp;number=13610000000&amp;sourceID=32","13610000000")</f>
        <v>13610000000</v>
      </c>
      <c r="P33" s="4" t="str">
        <f>HYPERLINK("http://141.218.60.56/~jnz1568/getInfo.php?workbook=06_02.xlsx&amp;sheet=A0&amp;row=33&amp;col=16&amp;number=&amp;sourceID=32","")</f>
        <v/>
      </c>
      <c r="Q33" s="4" t="str">
        <f>HYPERLINK("http://141.218.60.56/~jnz1568/getInfo.php?workbook=06_02.xlsx&amp;sheet=A0&amp;row=33&amp;col=17&amp;number=&amp;sourceID=32","")</f>
        <v/>
      </c>
      <c r="R33" s="4" t="str">
        <f>HYPERLINK("http://141.218.60.56/~jnz1568/getInfo.php?workbook=06_02.xlsx&amp;sheet=A0&amp;row=33&amp;col=18&amp;number=9.552&amp;sourceID=32","9.552")</f>
        <v>9.552</v>
      </c>
    </row>
    <row r="34" spans="1:18">
      <c r="A34" s="3">
        <v>6</v>
      </c>
      <c r="B34" s="3">
        <v>2</v>
      </c>
      <c r="C34" s="3">
        <v>10</v>
      </c>
      <c r="D34" s="3">
        <v>3</v>
      </c>
      <c r="E34" s="3">
        <f>((1/(INDEX(E0!J$4:J$52,C34,1)-INDEX(E0!J$4:J$52,D34,1))))*100000000</f>
        <v>0</v>
      </c>
      <c r="F34" s="4" t="str">
        <f>HYPERLINK("http://141.218.60.56/~jnz1568/getInfo.php?workbook=06_02.xlsx&amp;sheet=A0&amp;row=34&amp;col=6&amp;number=&amp;sourceID=27","")</f>
        <v/>
      </c>
      <c r="G34" s="4" t="str">
        <f>HYPERLINK("http://141.218.60.56/~jnz1568/getInfo.php?workbook=06_02.xlsx&amp;sheet=A0&amp;row=34&amp;col=7&amp;number=&amp;sourceID=34","")</f>
        <v/>
      </c>
      <c r="H34" s="4" t="str">
        <f>HYPERLINK("http://141.218.60.56/~jnz1568/getInfo.php?workbook=06_02.xlsx&amp;sheet=A0&amp;row=34&amp;col=8&amp;number=&amp;sourceID=34","")</f>
        <v/>
      </c>
      <c r="I34" s="4" t="str">
        <f>HYPERLINK("http://141.218.60.56/~jnz1568/getInfo.php?workbook=06_02.xlsx&amp;sheet=A0&amp;row=34&amp;col=9&amp;number=&amp;sourceID=34","")</f>
        <v/>
      </c>
      <c r="J34" s="4" t="str">
        <f>HYPERLINK("http://141.218.60.56/~jnz1568/getInfo.php?workbook=06_02.xlsx&amp;sheet=A0&amp;row=34&amp;col=10&amp;number=&amp;sourceID=34","")</f>
        <v/>
      </c>
      <c r="K34" s="4" t="str">
        <f>HYPERLINK("http://141.218.60.56/~jnz1568/getInfo.php?workbook=06_02.xlsx&amp;sheet=A0&amp;row=34&amp;col=11&amp;number=447300&amp;sourceID=30","447300")</f>
        <v>447300</v>
      </c>
      <c r="L34" s="4" t="str">
        <f>HYPERLINK("http://141.218.60.56/~jnz1568/getInfo.php?workbook=06_02.xlsx&amp;sheet=A0&amp;row=34&amp;col=12&amp;number=&amp;sourceID=30","")</f>
        <v/>
      </c>
      <c r="M34" s="4" t="str">
        <f>HYPERLINK("http://141.218.60.56/~jnz1568/getInfo.php?workbook=06_02.xlsx&amp;sheet=A0&amp;row=34&amp;col=13&amp;number=&amp;sourceID=30","")</f>
        <v/>
      </c>
      <c r="N34" s="4" t="str">
        <f>HYPERLINK("http://141.218.60.56/~jnz1568/getInfo.php?workbook=06_02.xlsx&amp;sheet=A0&amp;row=34&amp;col=14&amp;number=&amp;sourceID=30","")</f>
        <v/>
      </c>
      <c r="O34" s="4" t="str">
        <f>HYPERLINK("http://141.218.60.56/~jnz1568/getInfo.php?workbook=06_02.xlsx&amp;sheet=A0&amp;row=34&amp;col=15&amp;number=453000&amp;sourceID=32","453000")</f>
        <v>453000</v>
      </c>
      <c r="P34" s="4" t="str">
        <f>HYPERLINK("http://141.218.60.56/~jnz1568/getInfo.php?workbook=06_02.xlsx&amp;sheet=A0&amp;row=34&amp;col=16&amp;number=&amp;sourceID=32","")</f>
        <v/>
      </c>
      <c r="Q34" s="4" t="str">
        <f>HYPERLINK("http://141.218.60.56/~jnz1568/getInfo.php?workbook=06_02.xlsx&amp;sheet=A0&amp;row=34&amp;col=17&amp;number=&amp;sourceID=32","")</f>
        <v/>
      </c>
      <c r="R34" s="4" t="str">
        <f>HYPERLINK("http://141.218.60.56/~jnz1568/getInfo.php?workbook=06_02.xlsx&amp;sheet=A0&amp;row=34&amp;col=18&amp;number=&amp;sourceID=32","")</f>
        <v/>
      </c>
    </row>
    <row r="35" spans="1:18">
      <c r="A35" s="3">
        <v>6</v>
      </c>
      <c r="B35" s="3">
        <v>2</v>
      </c>
      <c r="C35" s="3">
        <v>10</v>
      </c>
      <c r="D35" s="3">
        <v>4</v>
      </c>
      <c r="E35" s="3">
        <f>((1/(INDEX(E0!J$4:J$52,C35,1)-INDEX(E0!J$4:J$52,D35,1))))*100000000</f>
        <v>0</v>
      </c>
      <c r="F35" s="4" t="str">
        <f>HYPERLINK("http://141.218.60.56/~jnz1568/getInfo.php?workbook=06_02.xlsx&amp;sheet=A0&amp;row=35&amp;col=6&amp;number=&amp;sourceID=27","")</f>
        <v/>
      </c>
      <c r="G35" s="4" t="str">
        <f>HYPERLINK("http://141.218.60.56/~jnz1568/getInfo.php?workbook=06_02.xlsx&amp;sheet=A0&amp;row=35&amp;col=7&amp;number=&amp;sourceID=34","")</f>
        <v/>
      </c>
      <c r="H35" s="4" t="str">
        <f>HYPERLINK("http://141.218.60.56/~jnz1568/getInfo.php?workbook=06_02.xlsx&amp;sheet=A0&amp;row=35&amp;col=8&amp;number=&amp;sourceID=34","")</f>
        <v/>
      </c>
      <c r="I35" s="4" t="str">
        <f>HYPERLINK("http://141.218.60.56/~jnz1568/getInfo.php?workbook=06_02.xlsx&amp;sheet=A0&amp;row=35&amp;col=9&amp;number=&amp;sourceID=34","")</f>
        <v/>
      </c>
      <c r="J35" s="4" t="str">
        <f>HYPERLINK("http://141.218.60.56/~jnz1568/getInfo.php?workbook=06_02.xlsx&amp;sheet=A0&amp;row=35&amp;col=10&amp;number=&amp;sourceID=34","")</f>
        <v/>
      </c>
      <c r="K35" s="4" t="str">
        <f>HYPERLINK("http://141.218.60.56/~jnz1568/getInfo.php?workbook=06_02.xlsx&amp;sheet=A0&amp;row=35&amp;col=11&amp;number=&amp;sourceID=30","")</f>
        <v/>
      </c>
      <c r="L35" s="4" t="str">
        <f>HYPERLINK("http://141.218.60.56/~jnz1568/getInfo.php?workbook=06_02.xlsx&amp;sheet=A0&amp;row=35&amp;col=12&amp;number=98560&amp;sourceID=30","98560")</f>
        <v>98560</v>
      </c>
      <c r="M35" s="4" t="str">
        <f>HYPERLINK("http://141.218.60.56/~jnz1568/getInfo.php?workbook=06_02.xlsx&amp;sheet=A0&amp;row=35&amp;col=13&amp;number=0.01584&amp;sourceID=30","0.01584")</f>
        <v>0.01584</v>
      </c>
      <c r="N35" s="4" t="str">
        <f>HYPERLINK("http://141.218.60.56/~jnz1568/getInfo.php?workbook=06_02.xlsx&amp;sheet=A0&amp;row=35&amp;col=14&amp;number=&amp;sourceID=30","")</f>
        <v/>
      </c>
      <c r="O35" s="4" t="str">
        <f>HYPERLINK("http://141.218.60.56/~jnz1568/getInfo.php?workbook=06_02.xlsx&amp;sheet=A0&amp;row=35&amp;col=15&amp;number=&amp;sourceID=32","")</f>
        <v/>
      </c>
      <c r="P35" s="4" t="str">
        <f>HYPERLINK("http://141.218.60.56/~jnz1568/getInfo.php?workbook=06_02.xlsx&amp;sheet=A0&amp;row=35&amp;col=16&amp;number=101200&amp;sourceID=32","101200")</f>
        <v>101200</v>
      </c>
      <c r="Q35" s="4" t="str">
        <f>HYPERLINK("http://141.218.60.56/~jnz1568/getInfo.php?workbook=06_02.xlsx&amp;sheet=A0&amp;row=35&amp;col=17&amp;number=0.01629&amp;sourceID=32","0.01629")</f>
        <v>0.01629</v>
      </c>
      <c r="R35" s="4" t="str">
        <f>HYPERLINK("http://141.218.60.56/~jnz1568/getInfo.php?workbook=06_02.xlsx&amp;sheet=A0&amp;row=35&amp;col=18&amp;number=&amp;sourceID=32","")</f>
        <v/>
      </c>
    </row>
    <row r="36" spans="1:18">
      <c r="A36" s="3">
        <v>6</v>
      </c>
      <c r="B36" s="3">
        <v>2</v>
      </c>
      <c r="C36" s="3">
        <v>10</v>
      </c>
      <c r="D36" s="3">
        <v>5</v>
      </c>
      <c r="E36" s="3">
        <f>((1/(INDEX(E0!J$4:J$52,C36,1)-INDEX(E0!J$4:J$52,D36,1))))*100000000</f>
        <v>0</v>
      </c>
      <c r="F36" s="4" t="str">
        <f>HYPERLINK("http://141.218.60.56/~jnz1568/getInfo.php?workbook=06_02.xlsx&amp;sheet=A0&amp;row=36&amp;col=6&amp;number=&amp;sourceID=27","")</f>
        <v/>
      </c>
      <c r="G36" s="4" t="str">
        <f>HYPERLINK("http://141.218.60.56/~jnz1568/getInfo.php?workbook=06_02.xlsx&amp;sheet=A0&amp;row=36&amp;col=7&amp;number=&amp;sourceID=34","")</f>
        <v/>
      </c>
      <c r="H36" s="4" t="str">
        <f>HYPERLINK("http://141.218.60.56/~jnz1568/getInfo.php?workbook=06_02.xlsx&amp;sheet=A0&amp;row=36&amp;col=8&amp;number=&amp;sourceID=34","")</f>
        <v/>
      </c>
      <c r="I36" s="4" t="str">
        <f>HYPERLINK("http://141.218.60.56/~jnz1568/getInfo.php?workbook=06_02.xlsx&amp;sheet=A0&amp;row=36&amp;col=9&amp;number=&amp;sourceID=34","")</f>
        <v/>
      </c>
      <c r="J36" s="4" t="str">
        <f>HYPERLINK("http://141.218.60.56/~jnz1568/getInfo.php?workbook=06_02.xlsx&amp;sheet=A0&amp;row=36&amp;col=10&amp;number=&amp;sourceID=34","")</f>
        <v/>
      </c>
      <c r="K36" s="4" t="str">
        <f>HYPERLINK("http://141.218.60.56/~jnz1568/getInfo.php?workbook=06_02.xlsx&amp;sheet=A0&amp;row=36&amp;col=11&amp;number=&amp;sourceID=30","")</f>
        <v/>
      </c>
      <c r="L36" s="4" t="str">
        <f>HYPERLINK("http://141.218.60.56/~jnz1568/getInfo.php?workbook=06_02.xlsx&amp;sheet=A0&amp;row=36&amp;col=12&amp;number=&amp;sourceID=30","")</f>
        <v/>
      </c>
      <c r="M36" s="4" t="str">
        <f>HYPERLINK("http://141.218.60.56/~jnz1568/getInfo.php?workbook=06_02.xlsx&amp;sheet=A0&amp;row=36&amp;col=13&amp;number=4.866e-05&amp;sourceID=30","4.866e-05")</f>
        <v>4.866e-05</v>
      </c>
      <c r="N36" s="4" t="str">
        <f>HYPERLINK("http://141.218.60.56/~jnz1568/getInfo.php?workbook=06_02.xlsx&amp;sheet=A0&amp;row=36&amp;col=14&amp;number=&amp;sourceID=30","")</f>
        <v/>
      </c>
      <c r="O36" s="4" t="str">
        <f>HYPERLINK("http://141.218.60.56/~jnz1568/getInfo.php?workbook=06_02.xlsx&amp;sheet=A0&amp;row=36&amp;col=15&amp;number=&amp;sourceID=32","")</f>
        <v/>
      </c>
      <c r="P36" s="4" t="str">
        <f>HYPERLINK("http://141.218.60.56/~jnz1568/getInfo.php?workbook=06_02.xlsx&amp;sheet=A0&amp;row=36&amp;col=16&amp;number=&amp;sourceID=32","")</f>
        <v/>
      </c>
      <c r="Q36" s="4" t="str">
        <f>HYPERLINK("http://141.218.60.56/~jnz1568/getInfo.php?workbook=06_02.xlsx&amp;sheet=A0&amp;row=36&amp;col=17&amp;number=0.0004495&amp;sourceID=32","0.0004495")</f>
        <v>0.0004495</v>
      </c>
      <c r="R36" s="4" t="str">
        <f>HYPERLINK("http://141.218.60.56/~jnz1568/getInfo.php?workbook=06_02.xlsx&amp;sheet=A0&amp;row=36&amp;col=18&amp;number=&amp;sourceID=32","")</f>
        <v/>
      </c>
    </row>
    <row r="37" spans="1:18">
      <c r="A37" s="3">
        <v>6</v>
      </c>
      <c r="B37" s="3">
        <v>2</v>
      </c>
      <c r="C37" s="3">
        <v>10</v>
      </c>
      <c r="D37" s="3">
        <v>6</v>
      </c>
      <c r="E37" s="3">
        <f>((1/(INDEX(E0!J$4:J$52,C37,1)-INDEX(E0!J$4:J$52,D37,1))))*100000000</f>
        <v>0</v>
      </c>
      <c r="F37" s="4" t="str">
        <f>HYPERLINK("http://141.218.60.56/~jnz1568/getInfo.php?workbook=06_02.xlsx&amp;sheet=A0&amp;row=37&amp;col=6&amp;number=&amp;sourceID=27","")</f>
        <v/>
      </c>
      <c r="G37" s="4" t="str">
        <f>HYPERLINK("http://141.218.60.56/~jnz1568/getInfo.php?workbook=06_02.xlsx&amp;sheet=A0&amp;row=37&amp;col=7&amp;number=&amp;sourceID=34","")</f>
        <v/>
      </c>
      <c r="H37" s="4" t="str">
        <f>HYPERLINK("http://141.218.60.56/~jnz1568/getInfo.php?workbook=06_02.xlsx&amp;sheet=A0&amp;row=37&amp;col=8&amp;number=&amp;sourceID=34","")</f>
        <v/>
      </c>
      <c r="I37" s="4" t="str">
        <f>HYPERLINK("http://141.218.60.56/~jnz1568/getInfo.php?workbook=06_02.xlsx&amp;sheet=A0&amp;row=37&amp;col=9&amp;number=&amp;sourceID=34","")</f>
        <v/>
      </c>
      <c r="J37" s="4" t="str">
        <f>HYPERLINK("http://141.218.60.56/~jnz1568/getInfo.php?workbook=06_02.xlsx&amp;sheet=A0&amp;row=37&amp;col=10&amp;number=&amp;sourceID=34","")</f>
        <v/>
      </c>
      <c r="K37" s="4" t="str">
        <f>HYPERLINK("http://141.218.60.56/~jnz1568/getInfo.php?workbook=06_02.xlsx&amp;sheet=A0&amp;row=37&amp;col=11&amp;number=&amp;sourceID=30","")</f>
        <v/>
      </c>
      <c r="L37" s="4" t="str">
        <f>HYPERLINK("http://141.218.60.56/~jnz1568/getInfo.php?workbook=06_02.xlsx&amp;sheet=A0&amp;row=37&amp;col=12&amp;number=295600&amp;sourceID=30","295600")</f>
        <v>295600</v>
      </c>
      <c r="M37" s="4" t="str">
        <f>HYPERLINK("http://141.218.60.56/~jnz1568/getInfo.php?workbook=06_02.xlsx&amp;sheet=A0&amp;row=37&amp;col=13&amp;number=0.03829&amp;sourceID=30","0.03829")</f>
        <v>0.03829</v>
      </c>
      <c r="N37" s="4" t="str">
        <f>HYPERLINK("http://141.218.60.56/~jnz1568/getInfo.php?workbook=06_02.xlsx&amp;sheet=A0&amp;row=37&amp;col=14&amp;number=&amp;sourceID=30","")</f>
        <v/>
      </c>
      <c r="O37" s="4" t="str">
        <f>HYPERLINK("http://141.218.60.56/~jnz1568/getInfo.php?workbook=06_02.xlsx&amp;sheet=A0&amp;row=37&amp;col=15&amp;number=&amp;sourceID=32","")</f>
        <v/>
      </c>
      <c r="P37" s="4" t="str">
        <f>HYPERLINK("http://141.218.60.56/~jnz1568/getInfo.php?workbook=06_02.xlsx&amp;sheet=A0&amp;row=37&amp;col=16&amp;number=303500&amp;sourceID=32","303500")</f>
        <v>303500</v>
      </c>
      <c r="Q37" s="4" t="str">
        <f>HYPERLINK("http://141.218.60.56/~jnz1568/getInfo.php?workbook=06_02.xlsx&amp;sheet=A0&amp;row=37&amp;col=17&amp;number=0.03457&amp;sourceID=32","0.03457")</f>
        <v>0.03457</v>
      </c>
      <c r="R37" s="4" t="str">
        <f>HYPERLINK("http://141.218.60.56/~jnz1568/getInfo.php?workbook=06_02.xlsx&amp;sheet=A0&amp;row=37&amp;col=18&amp;number=&amp;sourceID=32","")</f>
        <v/>
      </c>
    </row>
    <row r="38" spans="1:18">
      <c r="A38" s="3">
        <v>6</v>
      </c>
      <c r="B38" s="3">
        <v>2</v>
      </c>
      <c r="C38" s="3">
        <v>10</v>
      </c>
      <c r="D38" s="3">
        <v>7</v>
      </c>
      <c r="E38" s="3">
        <f>((1/(INDEX(E0!J$4:J$52,C38,1)-INDEX(E0!J$4:J$52,D38,1))))*100000000</f>
        <v>0</v>
      </c>
      <c r="F38" s="4" t="str">
        <f>HYPERLINK("http://141.218.60.56/~jnz1568/getInfo.php?workbook=06_02.xlsx&amp;sheet=A0&amp;row=38&amp;col=6&amp;number=&amp;sourceID=27","")</f>
        <v/>
      </c>
      <c r="G38" s="4" t="str">
        <f>HYPERLINK("http://141.218.60.56/~jnz1568/getInfo.php?workbook=06_02.xlsx&amp;sheet=A0&amp;row=38&amp;col=7&amp;number=&amp;sourceID=34","")</f>
        <v/>
      </c>
      <c r="H38" s="4" t="str">
        <f>HYPERLINK("http://141.218.60.56/~jnz1568/getInfo.php?workbook=06_02.xlsx&amp;sheet=A0&amp;row=38&amp;col=8&amp;number=&amp;sourceID=34","")</f>
        <v/>
      </c>
      <c r="I38" s="4" t="str">
        <f>HYPERLINK("http://141.218.60.56/~jnz1568/getInfo.php?workbook=06_02.xlsx&amp;sheet=A0&amp;row=38&amp;col=9&amp;number=&amp;sourceID=34","")</f>
        <v/>
      </c>
      <c r="J38" s="4" t="str">
        <f>HYPERLINK("http://141.218.60.56/~jnz1568/getInfo.php?workbook=06_02.xlsx&amp;sheet=A0&amp;row=38&amp;col=10&amp;number=&amp;sourceID=34","")</f>
        <v/>
      </c>
      <c r="K38" s="4" t="str">
        <f>HYPERLINK("http://141.218.60.56/~jnz1568/getInfo.php?workbook=06_02.xlsx&amp;sheet=A0&amp;row=38&amp;col=11&amp;number=&amp;sourceID=30","")</f>
        <v/>
      </c>
      <c r="L38" s="4" t="str">
        <f>HYPERLINK("http://141.218.60.56/~jnz1568/getInfo.php?workbook=06_02.xlsx&amp;sheet=A0&amp;row=38&amp;col=12&amp;number=23.71&amp;sourceID=30","23.71")</f>
        <v>23.71</v>
      </c>
      <c r="M38" s="4" t="str">
        <f>HYPERLINK("http://141.218.60.56/~jnz1568/getInfo.php?workbook=06_02.xlsx&amp;sheet=A0&amp;row=38&amp;col=13&amp;number=0.06316&amp;sourceID=30","0.06316")</f>
        <v>0.06316</v>
      </c>
      <c r="N38" s="4" t="str">
        <f>HYPERLINK("http://141.218.60.56/~jnz1568/getInfo.php?workbook=06_02.xlsx&amp;sheet=A0&amp;row=38&amp;col=14&amp;number=&amp;sourceID=30","")</f>
        <v/>
      </c>
      <c r="O38" s="4" t="str">
        <f>HYPERLINK("http://141.218.60.56/~jnz1568/getInfo.php?workbook=06_02.xlsx&amp;sheet=A0&amp;row=38&amp;col=15&amp;number=&amp;sourceID=32","")</f>
        <v/>
      </c>
      <c r="P38" s="4" t="str">
        <f>HYPERLINK("http://141.218.60.56/~jnz1568/getInfo.php?workbook=06_02.xlsx&amp;sheet=A0&amp;row=38&amp;col=16&amp;number=24.75&amp;sourceID=32","24.75")</f>
        <v>24.75</v>
      </c>
      <c r="Q38" s="4" t="str">
        <f>HYPERLINK("http://141.218.60.56/~jnz1568/getInfo.php?workbook=06_02.xlsx&amp;sheet=A0&amp;row=38&amp;col=17&amp;number=0.06133&amp;sourceID=32","0.06133")</f>
        <v>0.06133</v>
      </c>
      <c r="R38" s="4" t="str">
        <f>HYPERLINK("http://141.218.60.56/~jnz1568/getInfo.php?workbook=06_02.xlsx&amp;sheet=A0&amp;row=38&amp;col=18&amp;number=&amp;sourceID=32","")</f>
        <v/>
      </c>
    </row>
    <row r="39" spans="1:18">
      <c r="A39" s="3">
        <v>6</v>
      </c>
      <c r="B39" s="3">
        <v>2</v>
      </c>
      <c r="C39" s="3">
        <v>10</v>
      </c>
      <c r="D39" s="3">
        <v>8</v>
      </c>
      <c r="E39" s="3">
        <f>((1/(INDEX(E0!J$4:J$52,C39,1)-INDEX(E0!J$4:J$52,D39,1))))*100000000</f>
        <v>0</v>
      </c>
      <c r="F39" s="4" t="str">
        <f>HYPERLINK("http://141.218.60.56/~jnz1568/getInfo.php?workbook=06_02.xlsx&amp;sheet=A0&amp;row=39&amp;col=6&amp;number=&amp;sourceID=27","")</f>
        <v/>
      </c>
      <c r="G39" s="4" t="str">
        <f>HYPERLINK("http://141.218.60.56/~jnz1568/getInfo.php?workbook=06_02.xlsx&amp;sheet=A0&amp;row=39&amp;col=7&amp;number=6830000&amp;sourceID=34","6830000")</f>
        <v>6830000</v>
      </c>
      <c r="H39" s="4" t="str">
        <f>HYPERLINK("http://141.218.60.56/~jnz1568/getInfo.php?workbook=06_02.xlsx&amp;sheet=A0&amp;row=39&amp;col=8&amp;number=&amp;sourceID=34","")</f>
        <v/>
      </c>
      <c r="I39" s="4" t="str">
        <f>HYPERLINK("http://141.218.60.56/~jnz1568/getInfo.php?workbook=06_02.xlsx&amp;sheet=A0&amp;row=39&amp;col=9&amp;number=&amp;sourceID=34","")</f>
        <v/>
      </c>
      <c r="J39" s="4" t="str">
        <f>HYPERLINK("http://141.218.60.56/~jnz1568/getInfo.php?workbook=06_02.xlsx&amp;sheet=A0&amp;row=39&amp;col=10&amp;number=&amp;sourceID=34","")</f>
        <v/>
      </c>
      <c r="K39" s="4" t="str">
        <f>HYPERLINK("http://141.218.60.56/~jnz1568/getInfo.php?workbook=06_02.xlsx&amp;sheet=A0&amp;row=39&amp;col=11&amp;number=7187000&amp;sourceID=30","7187000")</f>
        <v>7187000</v>
      </c>
      <c r="L39" s="4" t="str">
        <f>HYPERLINK("http://141.218.60.56/~jnz1568/getInfo.php?workbook=06_02.xlsx&amp;sheet=A0&amp;row=39&amp;col=12&amp;number=&amp;sourceID=30","")</f>
        <v/>
      </c>
      <c r="M39" s="4" t="str">
        <f>HYPERLINK("http://141.218.60.56/~jnz1568/getInfo.php?workbook=06_02.xlsx&amp;sheet=A0&amp;row=39&amp;col=13&amp;number=&amp;sourceID=30","")</f>
        <v/>
      </c>
      <c r="N39" s="4" t="str">
        <f>HYPERLINK("http://141.218.60.56/~jnz1568/getInfo.php?workbook=06_02.xlsx&amp;sheet=A0&amp;row=39&amp;col=14&amp;number=3.738e-06&amp;sourceID=30","3.738e-06")</f>
        <v>3.738e-06</v>
      </c>
      <c r="O39" s="4" t="str">
        <f>HYPERLINK("http://141.218.60.56/~jnz1568/getInfo.php?workbook=06_02.xlsx&amp;sheet=A0&amp;row=39&amp;col=15&amp;number=6888000&amp;sourceID=32","6888000")</f>
        <v>6888000</v>
      </c>
      <c r="P39" s="4" t="str">
        <f>HYPERLINK("http://141.218.60.56/~jnz1568/getInfo.php?workbook=06_02.xlsx&amp;sheet=A0&amp;row=39&amp;col=16&amp;number=&amp;sourceID=32","")</f>
        <v/>
      </c>
      <c r="Q39" s="4" t="str">
        <f>HYPERLINK("http://141.218.60.56/~jnz1568/getInfo.php?workbook=06_02.xlsx&amp;sheet=A0&amp;row=39&amp;col=17&amp;number=&amp;sourceID=32","")</f>
        <v/>
      </c>
      <c r="R39" s="4" t="str">
        <f>HYPERLINK("http://141.218.60.56/~jnz1568/getInfo.php?workbook=06_02.xlsx&amp;sheet=A0&amp;row=39&amp;col=18&amp;number=3.501e-06&amp;sourceID=32","3.501e-06")</f>
        <v>3.501e-06</v>
      </c>
    </row>
    <row r="40" spans="1:18">
      <c r="A40" s="3">
        <v>6</v>
      </c>
      <c r="B40" s="3">
        <v>2</v>
      </c>
      <c r="C40" s="3">
        <v>11</v>
      </c>
      <c r="D40" s="3">
        <v>2</v>
      </c>
      <c r="E40" s="3">
        <f>((1/(INDEX(E0!J$4:J$52,C40,1)-INDEX(E0!J$4:J$52,D40,1))))*100000000</f>
        <v>0</v>
      </c>
      <c r="F40" s="4" t="str">
        <f>HYPERLINK("http://141.218.60.56/~jnz1568/getInfo.php?workbook=06_02.xlsx&amp;sheet=A0&amp;row=40&amp;col=6&amp;number=&amp;sourceID=27","")</f>
        <v/>
      </c>
      <c r="G40" s="4" t="str">
        <f>HYPERLINK("http://141.218.60.56/~jnz1568/getInfo.php?workbook=06_02.xlsx&amp;sheet=A0&amp;row=40&amp;col=7&amp;number=13630000000&amp;sourceID=34","13630000000")</f>
        <v>13630000000</v>
      </c>
      <c r="H40" s="4" t="str">
        <f>HYPERLINK("http://141.218.60.56/~jnz1568/getInfo.php?workbook=06_02.xlsx&amp;sheet=A0&amp;row=40&amp;col=8&amp;number=&amp;sourceID=34","")</f>
        <v/>
      </c>
      <c r="I40" s="4" t="str">
        <f>HYPERLINK("http://141.218.60.56/~jnz1568/getInfo.php?workbook=06_02.xlsx&amp;sheet=A0&amp;row=40&amp;col=9&amp;number=&amp;sourceID=34","")</f>
        <v/>
      </c>
      <c r="J40" s="4" t="str">
        <f>HYPERLINK("http://141.218.60.56/~jnz1568/getInfo.php?workbook=06_02.xlsx&amp;sheet=A0&amp;row=40&amp;col=10&amp;number=&amp;sourceID=34","")</f>
        <v/>
      </c>
      <c r="K40" s="4" t="str">
        <f>HYPERLINK("http://141.218.60.56/~jnz1568/getInfo.php?workbook=06_02.xlsx&amp;sheet=A0&amp;row=40&amp;col=11&amp;number=13140000000&amp;sourceID=30","13140000000")</f>
        <v>13140000000</v>
      </c>
      <c r="L40" s="4" t="str">
        <f>HYPERLINK("http://141.218.60.56/~jnz1568/getInfo.php?workbook=06_02.xlsx&amp;sheet=A0&amp;row=40&amp;col=12&amp;number=&amp;sourceID=30","")</f>
        <v/>
      </c>
      <c r="M40" s="4" t="str">
        <f>HYPERLINK("http://141.218.60.56/~jnz1568/getInfo.php?workbook=06_02.xlsx&amp;sheet=A0&amp;row=40&amp;col=13&amp;number=&amp;sourceID=30","")</f>
        <v/>
      </c>
      <c r="N40" s="4" t="str">
        <f>HYPERLINK("http://141.218.60.56/~jnz1568/getInfo.php?workbook=06_02.xlsx&amp;sheet=A0&amp;row=40&amp;col=14&amp;number=&amp;sourceID=30","")</f>
        <v/>
      </c>
      <c r="O40" s="4" t="str">
        <f>HYPERLINK("http://141.218.60.56/~jnz1568/getInfo.php?workbook=06_02.xlsx&amp;sheet=A0&amp;row=40&amp;col=15&amp;number=13610000000&amp;sourceID=32","13610000000")</f>
        <v>13610000000</v>
      </c>
      <c r="P40" s="4" t="str">
        <f>HYPERLINK("http://141.218.60.56/~jnz1568/getInfo.php?workbook=06_02.xlsx&amp;sheet=A0&amp;row=40&amp;col=16&amp;number=&amp;sourceID=32","")</f>
        <v/>
      </c>
      <c r="Q40" s="4" t="str">
        <f>HYPERLINK("http://141.218.60.56/~jnz1568/getInfo.php?workbook=06_02.xlsx&amp;sheet=A0&amp;row=40&amp;col=17&amp;number=&amp;sourceID=32","")</f>
        <v/>
      </c>
      <c r="R40" s="4" t="str">
        <f>HYPERLINK("http://141.218.60.56/~jnz1568/getInfo.php?workbook=06_02.xlsx&amp;sheet=A0&amp;row=40&amp;col=18&amp;number=&amp;sourceID=32","")</f>
        <v/>
      </c>
    </row>
    <row r="41" spans="1:18">
      <c r="A41" s="3">
        <v>6</v>
      </c>
      <c r="B41" s="3">
        <v>2</v>
      </c>
      <c r="C41" s="3">
        <v>11</v>
      </c>
      <c r="D41" s="3">
        <v>4</v>
      </c>
      <c r="E41" s="3">
        <f>((1/(INDEX(E0!J$4:J$52,C41,1)-INDEX(E0!J$4:J$52,D41,1))))*100000000</f>
        <v>0</v>
      </c>
      <c r="F41" s="4" t="str">
        <f>HYPERLINK("http://141.218.60.56/~jnz1568/getInfo.php?workbook=06_02.xlsx&amp;sheet=A0&amp;row=41&amp;col=6&amp;number=&amp;sourceID=27","")</f>
        <v/>
      </c>
      <c r="G41" s="4" t="str">
        <f>HYPERLINK("http://141.218.60.56/~jnz1568/getInfo.php?workbook=06_02.xlsx&amp;sheet=A0&amp;row=41&amp;col=7&amp;number=&amp;sourceID=34","")</f>
        <v/>
      </c>
      <c r="H41" s="4" t="str">
        <f>HYPERLINK("http://141.218.60.56/~jnz1568/getInfo.php?workbook=06_02.xlsx&amp;sheet=A0&amp;row=41&amp;col=8&amp;number=&amp;sourceID=34","")</f>
        <v/>
      </c>
      <c r="I41" s="4" t="str">
        <f>HYPERLINK("http://141.218.60.56/~jnz1568/getInfo.php?workbook=06_02.xlsx&amp;sheet=A0&amp;row=41&amp;col=9&amp;number=&amp;sourceID=34","")</f>
        <v/>
      </c>
      <c r="J41" s="4" t="str">
        <f>HYPERLINK("http://141.218.60.56/~jnz1568/getInfo.php?workbook=06_02.xlsx&amp;sheet=A0&amp;row=41&amp;col=10&amp;number=&amp;sourceID=34","")</f>
        <v/>
      </c>
      <c r="K41" s="4" t="str">
        <f>HYPERLINK("http://141.218.60.56/~jnz1568/getInfo.php?workbook=06_02.xlsx&amp;sheet=A0&amp;row=41&amp;col=11&amp;number=&amp;sourceID=30","")</f>
        <v/>
      </c>
      <c r="L41" s="4" t="str">
        <f>HYPERLINK("http://141.218.60.56/~jnz1568/getInfo.php?workbook=06_02.xlsx&amp;sheet=A0&amp;row=41&amp;col=12&amp;number=&amp;sourceID=30","")</f>
        <v/>
      </c>
      <c r="M41" s="4" t="str">
        <f>HYPERLINK("http://141.218.60.56/~jnz1568/getInfo.php?workbook=06_02.xlsx&amp;sheet=A0&amp;row=41&amp;col=13&amp;number=0.002239&amp;sourceID=30","0.002239")</f>
        <v>0.002239</v>
      </c>
      <c r="N41" s="4" t="str">
        <f>HYPERLINK("http://141.218.60.56/~jnz1568/getInfo.php?workbook=06_02.xlsx&amp;sheet=A0&amp;row=41&amp;col=14&amp;number=&amp;sourceID=30","")</f>
        <v/>
      </c>
      <c r="O41" s="4" t="str">
        <f>HYPERLINK("http://141.218.60.56/~jnz1568/getInfo.php?workbook=06_02.xlsx&amp;sheet=A0&amp;row=41&amp;col=15&amp;number=&amp;sourceID=32","")</f>
        <v/>
      </c>
      <c r="P41" s="4" t="str">
        <f>HYPERLINK("http://141.218.60.56/~jnz1568/getInfo.php?workbook=06_02.xlsx&amp;sheet=A0&amp;row=41&amp;col=16&amp;number=&amp;sourceID=32","")</f>
        <v/>
      </c>
      <c r="Q41" s="4" t="str">
        <f>HYPERLINK("http://141.218.60.56/~jnz1568/getInfo.php?workbook=06_02.xlsx&amp;sheet=A0&amp;row=41&amp;col=17&amp;number=0.005323&amp;sourceID=32","0.005323")</f>
        <v>0.005323</v>
      </c>
      <c r="R41" s="4" t="str">
        <f>HYPERLINK("http://141.218.60.56/~jnz1568/getInfo.php?workbook=06_02.xlsx&amp;sheet=A0&amp;row=41&amp;col=18&amp;number=&amp;sourceID=32","")</f>
        <v/>
      </c>
    </row>
    <row r="42" spans="1:18">
      <c r="A42" s="3">
        <v>6</v>
      </c>
      <c r="B42" s="3">
        <v>2</v>
      </c>
      <c r="C42" s="3">
        <v>11</v>
      </c>
      <c r="D42" s="3">
        <v>6</v>
      </c>
      <c r="E42" s="3">
        <f>((1/(INDEX(E0!J$4:J$52,C42,1)-INDEX(E0!J$4:J$52,D42,1))))*100000000</f>
        <v>0</v>
      </c>
      <c r="F42" s="4" t="str">
        <f>HYPERLINK("http://141.218.60.56/~jnz1568/getInfo.php?workbook=06_02.xlsx&amp;sheet=A0&amp;row=42&amp;col=6&amp;number=&amp;sourceID=27","")</f>
        <v/>
      </c>
      <c r="G42" s="4" t="str">
        <f>HYPERLINK("http://141.218.60.56/~jnz1568/getInfo.php?workbook=06_02.xlsx&amp;sheet=A0&amp;row=42&amp;col=7&amp;number=&amp;sourceID=34","")</f>
        <v/>
      </c>
      <c r="H42" s="4" t="str">
        <f>HYPERLINK("http://141.218.60.56/~jnz1568/getInfo.php?workbook=06_02.xlsx&amp;sheet=A0&amp;row=42&amp;col=8&amp;number=&amp;sourceID=34","")</f>
        <v/>
      </c>
      <c r="I42" s="4" t="str">
        <f>HYPERLINK("http://141.218.60.56/~jnz1568/getInfo.php?workbook=06_02.xlsx&amp;sheet=A0&amp;row=42&amp;col=9&amp;number=&amp;sourceID=34","")</f>
        <v/>
      </c>
      <c r="J42" s="4" t="str">
        <f>HYPERLINK("http://141.218.60.56/~jnz1568/getInfo.php?workbook=06_02.xlsx&amp;sheet=A0&amp;row=42&amp;col=10&amp;number=&amp;sourceID=34","")</f>
        <v/>
      </c>
      <c r="K42" s="4" t="str">
        <f>HYPERLINK("http://141.218.60.56/~jnz1568/getInfo.php?workbook=06_02.xlsx&amp;sheet=A0&amp;row=42&amp;col=11&amp;number=&amp;sourceID=30","")</f>
        <v/>
      </c>
      <c r="L42" s="4" t="str">
        <f>HYPERLINK("http://141.218.60.56/~jnz1568/getInfo.php?workbook=06_02.xlsx&amp;sheet=A0&amp;row=42&amp;col=12&amp;number=394100&amp;sourceID=30","394100")</f>
        <v>394100</v>
      </c>
      <c r="M42" s="4" t="str">
        <f>HYPERLINK("http://141.218.60.56/~jnz1568/getInfo.php?workbook=06_02.xlsx&amp;sheet=A0&amp;row=42&amp;col=13&amp;number=&amp;sourceID=30","")</f>
        <v/>
      </c>
      <c r="N42" s="4" t="str">
        <f>HYPERLINK("http://141.218.60.56/~jnz1568/getInfo.php?workbook=06_02.xlsx&amp;sheet=A0&amp;row=42&amp;col=14&amp;number=&amp;sourceID=30","")</f>
        <v/>
      </c>
      <c r="O42" s="4" t="str">
        <f>HYPERLINK("http://141.218.60.56/~jnz1568/getInfo.php?workbook=06_02.xlsx&amp;sheet=A0&amp;row=42&amp;col=15&amp;number=&amp;sourceID=32","")</f>
        <v/>
      </c>
      <c r="P42" s="4" t="str">
        <f>HYPERLINK("http://141.218.60.56/~jnz1568/getInfo.php?workbook=06_02.xlsx&amp;sheet=A0&amp;row=42&amp;col=16&amp;number=404700&amp;sourceID=32","404700")</f>
        <v>404700</v>
      </c>
      <c r="Q42" s="4" t="str">
        <f>HYPERLINK("http://141.218.60.56/~jnz1568/getInfo.php?workbook=06_02.xlsx&amp;sheet=A0&amp;row=42&amp;col=17&amp;number=&amp;sourceID=32","")</f>
        <v/>
      </c>
      <c r="R42" s="4" t="str">
        <f>HYPERLINK("http://141.218.60.56/~jnz1568/getInfo.php?workbook=06_02.xlsx&amp;sheet=A0&amp;row=42&amp;col=18&amp;number=&amp;sourceID=32","")</f>
        <v/>
      </c>
    </row>
    <row r="43" spans="1:18">
      <c r="A43" s="3">
        <v>6</v>
      </c>
      <c r="B43" s="3">
        <v>2</v>
      </c>
      <c r="C43" s="3">
        <v>11</v>
      </c>
      <c r="D43" s="3">
        <v>7</v>
      </c>
      <c r="E43" s="3">
        <f>((1/(INDEX(E0!J$4:J$52,C43,1)-INDEX(E0!J$4:J$52,D43,1))))*100000000</f>
        <v>0</v>
      </c>
      <c r="F43" s="4" t="str">
        <f>HYPERLINK("http://141.218.60.56/~jnz1568/getInfo.php?workbook=06_02.xlsx&amp;sheet=A0&amp;row=43&amp;col=6&amp;number=&amp;sourceID=27","")</f>
        <v/>
      </c>
      <c r="G43" s="4" t="str">
        <f>HYPERLINK("http://141.218.60.56/~jnz1568/getInfo.php?workbook=06_02.xlsx&amp;sheet=A0&amp;row=43&amp;col=7&amp;number=&amp;sourceID=34","")</f>
        <v/>
      </c>
      <c r="H43" s="4" t="str">
        <f>HYPERLINK("http://141.218.60.56/~jnz1568/getInfo.php?workbook=06_02.xlsx&amp;sheet=A0&amp;row=43&amp;col=8&amp;number=&amp;sourceID=34","")</f>
        <v/>
      </c>
      <c r="I43" s="4" t="str">
        <f>HYPERLINK("http://141.218.60.56/~jnz1568/getInfo.php?workbook=06_02.xlsx&amp;sheet=A0&amp;row=43&amp;col=9&amp;number=&amp;sourceID=34","")</f>
        <v/>
      </c>
      <c r="J43" s="4" t="str">
        <f>HYPERLINK("http://141.218.60.56/~jnz1568/getInfo.php?workbook=06_02.xlsx&amp;sheet=A0&amp;row=43&amp;col=10&amp;number=&amp;sourceID=34","")</f>
        <v/>
      </c>
      <c r="K43" s="4" t="str">
        <f>HYPERLINK("http://141.218.60.56/~jnz1568/getInfo.php?workbook=06_02.xlsx&amp;sheet=A0&amp;row=43&amp;col=11&amp;number=&amp;sourceID=30","")</f>
        <v/>
      </c>
      <c r="L43" s="4" t="str">
        <f>HYPERLINK("http://141.218.60.56/~jnz1568/getInfo.php?workbook=06_02.xlsx&amp;sheet=A0&amp;row=43&amp;col=12&amp;number=&amp;sourceID=30","")</f>
        <v/>
      </c>
      <c r="M43" s="4" t="str">
        <f>HYPERLINK("http://141.218.60.56/~jnz1568/getInfo.php?workbook=06_02.xlsx&amp;sheet=A0&amp;row=43&amp;col=13&amp;number=0.1869&amp;sourceID=30","0.1869")</f>
        <v>0.1869</v>
      </c>
      <c r="N43" s="4" t="str">
        <f>HYPERLINK("http://141.218.60.56/~jnz1568/getInfo.php?workbook=06_02.xlsx&amp;sheet=A0&amp;row=43&amp;col=14&amp;number=&amp;sourceID=30","")</f>
        <v/>
      </c>
      <c r="O43" s="4" t="str">
        <f>HYPERLINK("http://141.218.60.56/~jnz1568/getInfo.php?workbook=06_02.xlsx&amp;sheet=A0&amp;row=43&amp;col=15&amp;number=&amp;sourceID=32","")</f>
        <v/>
      </c>
      <c r="P43" s="4" t="str">
        <f>HYPERLINK("http://141.218.60.56/~jnz1568/getInfo.php?workbook=06_02.xlsx&amp;sheet=A0&amp;row=43&amp;col=16&amp;number=&amp;sourceID=32","")</f>
        <v/>
      </c>
      <c r="Q43" s="4" t="str">
        <f>HYPERLINK("http://141.218.60.56/~jnz1568/getInfo.php?workbook=06_02.xlsx&amp;sheet=A0&amp;row=43&amp;col=17&amp;number=0.1927&amp;sourceID=32","0.1927")</f>
        <v>0.1927</v>
      </c>
      <c r="R43" s="4" t="str">
        <f>HYPERLINK("http://141.218.60.56/~jnz1568/getInfo.php?workbook=06_02.xlsx&amp;sheet=A0&amp;row=43&amp;col=18&amp;number=&amp;sourceID=32","")</f>
        <v/>
      </c>
    </row>
    <row r="44" spans="1:18">
      <c r="A44" s="3">
        <v>6</v>
      </c>
      <c r="B44" s="3">
        <v>2</v>
      </c>
      <c r="C44" s="3">
        <v>11</v>
      </c>
      <c r="D44" s="3">
        <v>8</v>
      </c>
      <c r="E44" s="3">
        <f>((1/(INDEX(E0!J$4:J$52,C44,1)-INDEX(E0!J$4:J$52,D44,1))))*100000000</f>
        <v>0</v>
      </c>
      <c r="F44" s="4" t="str">
        <f>HYPERLINK("http://141.218.60.56/~jnz1568/getInfo.php?workbook=06_02.xlsx&amp;sheet=A0&amp;row=44&amp;col=6&amp;number=&amp;sourceID=27","")</f>
        <v/>
      </c>
      <c r="G44" s="4" t="str">
        <f>HYPERLINK("http://141.218.60.56/~jnz1568/getInfo.php?workbook=06_02.xlsx&amp;sheet=A0&amp;row=44&amp;col=7&amp;number=6832000&amp;sourceID=34","6832000")</f>
        <v>6832000</v>
      </c>
      <c r="H44" s="4" t="str">
        <f>HYPERLINK("http://141.218.60.56/~jnz1568/getInfo.php?workbook=06_02.xlsx&amp;sheet=A0&amp;row=44&amp;col=8&amp;number=&amp;sourceID=34","")</f>
        <v/>
      </c>
      <c r="I44" s="4" t="str">
        <f>HYPERLINK("http://141.218.60.56/~jnz1568/getInfo.php?workbook=06_02.xlsx&amp;sheet=A0&amp;row=44&amp;col=9&amp;number=&amp;sourceID=34","")</f>
        <v/>
      </c>
      <c r="J44" s="4" t="str">
        <f>HYPERLINK("http://141.218.60.56/~jnz1568/getInfo.php?workbook=06_02.xlsx&amp;sheet=A0&amp;row=44&amp;col=10&amp;number=&amp;sourceID=34","")</f>
        <v/>
      </c>
      <c r="K44" s="4" t="str">
        <f>HYPERLINK("http://141.218.60.56/~jnz1568/getInfo.php?workbook=06_02.xlsx&amp;sheet=A0&amp;row=44&amp;col=11&amp;number=7191000&amp;sourceID=30","7191000")</f>
        <v>7191000</v>
      </c>
      <c r="L44" s="4" t="str">
        <f>HYPERLINK("http://141.218.60.56/~jnz1568/getInfo.php?workbook=06_02.xlsx&amp;sheet=A0&amp;row=44&amp;col=12&amp;number=&amp;sourceID=30","")</f>
        <v/>
      </c>
      <c r="M44" s="4" t="str">
        <f>HYPERLINK("http://141.218.60.56/~jnz1568/getInfo.php?workbook=06_02.xlsx&amp;sheet=A0&amp;row=44&amp;col=13&amp;number=&amp;sourceID=30","")</f>
        <v/>
      </c>
      <c r="N44" s="4" t="str">
        <f>HYPERLINK("http://141.218.60.56/~jnz1568/getInfo.php?workbook=06_02.xlsx&amp;sheet=A0&amp;row=44&amp;col=14&amp;number=&amp;sourceID=30","")</f>
        <v/>
      </c>
      <c r="O44" s="4" t="str">
        <f>HYPERLINK("http://141.218.60.56/~jnz1568/getInfo.php?workbook=06_02.xlsx&amp;sheet=A0&amp;row=44&amp;col=15&amp;number=6893000&amp;sourceID=32","6893000")</f>
        <v>6893000</v>
      </c>
      <c r="P44" s="4" t="str">
        <f>HYPERLINK("http://141.218.60.56/~jnz1568/getInfo.php?workbook=06_02.xlsx&amp;sheet=A0&amp;row=44&amp;col=16&amp;number=&amp;sourceID=32","")</f>
        <v/>
      </c>
      <c r="Q44" s="4" t="str">
        <f>HYPERLINK("http://141.218.60.56/~jnz1568/getInfo.php?workbook=06_02.xlsx&amp;sheet=A0&amp;row=44&amp;col=17&amp;number=&amp;sourceID=32","")</f>
        <v/>
      </c>
      <c r="R44" s="4" t="str">
        <f>HYPERLINK("http://141.218.60.56/~jnz1568/getInfo.php?workbook=06_02.xlsx&amp;sheet=A0&amp;row=44&amp;col=18&amp;number=&amp;sourceID=32","")</f>
        <v/>
      </c>
    </row>
    <row r="45" spans="1:18">
      <c r="A45" s="3">
        <v>6</v>
      </c>
      <c r="B45" s="3">
        <v>2</v>
      </c>
      <c r="C45" s="3">
        <v>12</v>
      </c>
      <c r="D45" s="3">
        <v>1</v>
      </c>
      <c r="E45" s="3">
        <f>((1/(INDEX(E0!J$4:J$52,C45,1)-INDEX(E0!J$4:J$52,D45,1))))*100000000</f>
        <v>0</v>
      </c>
      <c r="F45" s="4" t="str">
        <f>HYPERLINK("http://141.218.60.56/~jnz1568/getInfo.php?workbook=06_02.xlsx&amp;sheet=A0&amp;row=45&amp;col=6&amp;number=&amp;sourceID=27","")</f>
        <v/>
      </c>
      <c r="G45" s="4" t="str">
        <f>HYPERLINK("http://141.218.60.56/~jnz1568/getInfo.php?workbook=06_02.xlsx&amp;sheet=A0&amp;row=45&amp;col=7&amp;number=&amp;sourceID=34","")</f>
        <v/>
      </c>
      <c r="H45" s="4" t="str">
        <f>HYPERLINK("http://141.218.60.56/~jnz1568/getInfo.php?workbook=06_02.xlsx&amp;sheet=A0&amp;row=45&amp;col=8&amp;number=&amp;sourceID=34","")</f>
        <v/>
      </c>
      <c r="I45" s="4" t="str">
        <f>HYPERLINK("http://141.218.60.56/~jnz1568/getInfo.php?workbook=06_02.xlsx&amp;sheet=A0&amp;row=45&amp;col=9&amp;number=&amp;sourceID=34","")</f>
        <v/>
      </c>
      <c r="J45" s="4" t="str">
        <f>HYPERLINK("http://141.218.60.56/~jnz1568/getInfo.php?workbook=06_02.xlsx&amp;sheet=A0&amp;row=45&amp;col=10&amp;number=&amp;sourceID=34","")</f>
        <v/>
      </c>
      <c r="K45" s="4" t="str">
        <f>HYPERLINK("http://141.218.60.56/~jnz1568/getInfo.php?workbook=06_02.xlsx&amp;sheet=A0&amp;row=45&amp;col=11&amp;number=&amp;sourceID=30","")</f>
        <v/>
      </c>
      <c r="L45" s="4" t="str">
        <f>HYPERLINK("http://141.218.60.56/~jnz1568/getInfo.php?workbook=06_02.xlsx&amp;sheet=A0&amp;row=45&amp;col=12&amp;number=&amp;sourceID=30","")</f>
        <v/>
      </c>
      <c r="M45" s="4" t="str">
        <f>HYPERLINK("http://141.218.60.56/~jnz1568/getInfo.php?workbook=06_02.xlsx&amp;sheet=A0&amp;row=45&amp;col=13&amp;number=&amp;sourceID=30","")</f>
        <v/>
      </c>
      <c r="N45" s="4" t="str">
        <f>HYPERLINK("http://141.218.60.56/~jnz1568/getInfo.php?workbook=06_02.xlsx&amp;sheet=A0&amp;row=45&amp;col=14&amp;number=10100&amp;sourceID=30","10100")</f>
        <v>10100</v>
      </c>
      <c r="O45" s="4" t="str">
        <f>HYPERLINK("http://141.218.60.56/~jnz1568/getInfo.php?workbook=06_02.xlsx&amp;sheet=A0&amp;row=45&amp;col=15&amp;number=&amp;sourceID=32","")</f>
        <v/>
      </c>
      <c r="P45" s="4" t="str">
        <f>HYPERLINK("http://141.218.60.56/~jnz1568/getInfo.php?workbook=06_02.xlsx&amp;sheet=A0&amp;row=45&amp;col=16&amp;number=&amp;sourceID=32","")</f>
        <v/>
      </c>
      <c r="Q45" s="4" t="str">
        <f>HYPERLINK("http://141.218.60.56/~jnz1568/getInfo.php?workbook=06_02.xlsx&amp;sheet=A0&amp;row=45&amp;col=17&amp;number=&amp;sourceID=32","")</f>
        <v/>
      </c>
      <c r="R45" s="4" t="str">
        <f>HYPERLINK("http://141.218.60.56/~jnz1568/getInfo.php?workbook=06_02.xlsx&amp;sheet=A0&amp;row=45&amp;col=18&amp;number=9475&amp;sourceID=32","9475")</f>
        <v>9475</v>
      </c>
    </row>
    <row r="46" spans="1:18">
      <c r="A46" s="3">
        <v>6</v>
      </c>
      <c r="B46" s="3">
        <v>2</v>
      </c>
      <c r="C46" s="3">
        <v>12</v>
      </c>
      <c r="D46" s="3">
        <v>2</v>
      </c>
      <c r="E46" s="3">
        <f>((1/(INDEX(E0!J$4:J$52,C46,1)-INDEX(E0!J$4:J$52,D46,1))))*100000000</f>
        <v>0</v>
      </c>
      <c r="F46" s="4" t="str">
        <f>HYPERLINK("http://141.218.60.56/~jnz1568/getInfo.php?workbook=06_02.xlsx&amp;sheet=A0&amp;row=46&amp;col=6&amp;number=&amp;sourceID=27","")</f>
        <v/>
      </c>
      <c r="G46" s="4" t="str">
        <f>HYPERLINK("http://141.218.60.56/~jnz1568/getInfo.php?workbook=06_02.xlsx&amp;sheet=A0&amp;row=46&amp;col=7&amp;number=13630000000&amp;sourceID=34","13630000000")</f>
        <v>13630000000</v>
      </c>
      <c r="H46" s="4" t="str">
        <f>HYPERLINK("http://141.218.60.56/~jnz1568/getInfo.php?workbook=06_02.xlsx&amp;sheet=A0&amp;row=46&amp;col=8&amp;number=&amp;sourceID=34","")</f>
        <v/>
      </c>
      <c r="I46" s="4" t="str">
        <f>HYPERLINK("http://141.218.60.56/~jnz1568/getInfo.php?workbook=06_02.xlsx&amp;sheet=A0&amp;row=46&amp;col=9&amp;number=&amp;sourceID=34","")</f>
        <v/>
      </c>
      <c r="J46" s="4" t="str">
        <f>HYPERLINK("http://141.218.60.56/~jnz1568/getInfo.php?workbook=06_02.xlsx&amp;sheet=A0&amp;row=46&amp;col=10&amp;number=&amp;sourceID=34","")</f>
        <v/>
      </c>
      <c r="K46" s="4" t="str">
        <f>HYPERLINK("http://141.218.60.56/~jnz1568/getInfo.php?workbook=06_02.xlsx&amp;sheet=A0&amp;row=46&amp;col=11&amp;number=13130000000&amp;sourceID=30","13130000000")</f>
        <v>13130000000</v>
      </c>
      <c r="L46" s="4" t="str">
        <f>HYPERLINK("http://141.218.60.56/~jnz1568/getInfo.php?workbook=06_02.xlsx&amp;sheet=A0&amp;row=46&amp;col=12&amp;number=&amp;sourceID=30","")</f>
        <v/>
      </c>
      <c r="M46" s="4" t="str">
        <f>HYPERLINK("http://141.218.60.56/~jnz1568/getInfo.php?workbook=06_02.xlsx&amp;sheet=A0&amp;row=46&amp;col=13&amp;number=&amp;sourceID=30","")</f>
        <v/>
      </c>
      <c r="N46" s="4" t="str">
        <f>HYPERLINK("http://141.218.60.56/~jnz1568/getInfo.php?workbook=06_02.xlsx&amp;sheet=A0&amp;row=46&amp;col=14&amp;number=16.82&amp;sourceID=30","16.82")</f>
        <v>16.82</v>
      </c>
      <c r="O46" s="4" t="str">
        <f>HYPERLINK("http://141.218.60.56/~jnz1568/getInfo.php?workbook=06_02.xlsx&amp;sheet=A0&amp;row=46&amp;col=15&amp;number=13600000000&amp;sourceID=32","13600000000")</f>
        <v>13600000000</v>
      </c>
      <c r="P46" s="4" t="str">
        <f>HYPERLINK("http://141.218.60.56/~jnz1568/getInfo.php?workbook=06_02.xlsx&amp;sheet=A0&amp;row=46&amp;col=16&amp;number=&amp;sourceID=32","")</f>
        <v/>
      </c>
      <c r="Q46" s="4" t="str">
        <f>HYPERLINK("http://141.218.60.56/~jnz1568/getInfo.php?workbook=06_02.xlsx&amp;sheet=A0&amp;row=46&amp;col=17&amp;number=&amp;sourceID=32","")</f>
        <v/>
      </c>
      <c r="R46" s="4" t="str">
        <f>HYPERLINK("http://141.218.60.56/~jnz1568/getInfo.php?workbook=06_02.xlsx&amp;sheet=A0&amp;row=46&amp;col=18&amp;number=17.45&amp;sourceID=32","17.45")</f>
        <v>17.45</v>
      </c>
    </row>
    <row r="47" spans="1:18">
      <c r="A47" s="3">
        <v>6</v>
      </c>
      <c r="B47" s="3">
        <v>2</v>
      </c>
      <c r="C47" s="3">
        <v>12</v>
      </c>
      <c r="D47" s="3">
        <v>3</v>
      </c>
      <c r="E47" s="3">
        <f>((1/(INDEX(E0!J$4:J$52,C47,1)-INDEX(E0!J$4:J$52,D47,1))))*100000000</f>
        <v>0</v>
      </c>
      <c r="F47" s="4" t="str">
        <f>HYPERLINK("http://141.218.60.56/~jnz1568/getInfo.php?workbook=06_02.xlsx&amp;sheet=A0&amp;row=47&amp;col=6&amp;number=&amp;sourceID=27","")</f>
        <v/>
      </c>
      <c r="G47" s="4" t="str">
        <f>HYPERLINK("http://141.218.60.56/~jnz1568/getInfo.php?workbook=06_02.xlsx&amp;sheet=A0&amp;row=47&amp;col=7&amp;number=&amp;sourceID=34","")</f>
        <v/>
      </c>
      <c r="H47" s="4" t="str">
        <f>HYPERLINK("http://141.218.60.56/~jnz1568/getInfo.php?workbook=06_02.xlsx&amp;sheet=A0&amp;row=47&amp;col=8&amp;number=&amp;sourceID=34","")</f>
        <v/>
      </c>
      <c r="I47" s="4" t="str">
        <f>HYPERLINK("http://141.218.60.56/~jnz1568/getInfo.php?workbook=06_02.xlsx&amp;sheet=A0&amp;row=47&amp;col=9&amp;number=&amp;sourceID=34","")</f>
        <v/>
      </c>
      <c r="J47" s="4" t="str">
        <f>HYPERLINK("http://141.218.60.56/~jnz1568/getInfo.php?workbook=06_02.xlsx&amp;sheet=A0&amp;row=47&amp;col=10&amp;number=&amp;sourceID=34","")</f>
        <v/>
      </c>
      <c r="K47" s="4" t="str">
        <f>HYPERLINK("http://141.218.60.56/~jnz1568/getInfo.php?workbook=06_02.xlsx&amp;sheet=A0&amp;row=47&amp;col=11&amp;number=&amp;sourceID=30","")</f>
        <v/>
      </c>
      <c r="L47" s="4" t="str">
        <f>HYPERLINK("http://141.218.60.56/~jnz1568/getInfo.php?workbook=06_02.xlsx&amp;sheet=A0&amp;row=47&amp;col=12&amp;number=&amp;sourceID=30","")</f>
        <v/>
      </c>
      <c r="M47" s="4" t="str">
        <f>HYPERLINK("http://141.218.60.56/~jnz1568/getInfo.php?workbook=06_02.xlsx&amp;sheet=A0&amp;row=47&amp;col=13&amp;number=&amp;sourceID=30","")</f>
        <v/>
      </c>
      <c r="N47" s="4" t="str">
        <f>HYPERLINK("http://141.218.60.56/~jnz1568/getInfo.php?workbook=06_02.xlsx&amp;sheet=A0&amp;row=47&amp;col=14&amp;number=10.53&amp;sourceID=30","10.53")</f>
        <v>10.53</v>
      </c>
      <c r="O47" s="4" t="str">
        <f>HYPERLINK("http://141.218.60.56/~jnz1568/getInfo.php?workbook=06_02.xlsx&amp;sheet=A0&amp;row=47&amp;col=15&amp;number=&amp;sourceID=32","")</f>
        <v/>
      </c>
      <c r="P47" s="4" t="str">
        <f>HYPERLINK("http://141.218.60.56/~jnz1568/getInfo.php?workbook=06_02.xlsx&amp;sheet=A0&amp;row=47&amp;col=16&amp;number=&amp;sourceID=32","")</f>
        <v/>
      </c>
      <c r="Q47" s="4" t="str">
        <f>HYPERLINK("http://141.218.60.56/~jnz1568/getInfo.php?workbook=06_02.xlsx&amp;sheet=A0&amp;row=47&amp;col=17&amp;number=&amp;sourceID=32","")</f>
        <v/>
      </c>
      <c r="R47" s="4" t="str">
        <f>HYPERLINK("http://141.218.60.56/~jnz1568/getInfo.php?workbook=06_02.xlsx&amp;sheet=A0&amp;row=47&amp;col=18&amp;number=10.43&amp;sourceID=32","10.43")</f>
        <v>10.43</v>
      </c>
    </row>
    <row r="48" spans="1:18">
      <c r="A48" s="3">
        <v>6</v>
      </c>
      <c r="B48" s="3">
        <v>2</v>
      </c>
      <c r="C48" s="3">
        <v>12</v>
      </c>
      <c r="D48" s="3">
        <v>4</v>
      </c>
      <c r="E48" s="3">
        <f>((1/(INDEX(E0!J$4:J$52,C48,1)-INDEX(E0!J$4:J$52,D48,1))))*100000000</f>
        <v>0</v>
      </c>
      <c r="F48" s="4" t="str">
        <f>HYPERLINK("http://141.218.60.56/~jnz1568/getInfo.php?workbook=06_02.xlsx&amp;sheet=A0&amp;row=48&amp;col=6&amp;number=&amp;sourceID=27","")</f>
        <v/>
      </c>
      <c r="G48" s="4" t="str">
        <f>HYPERLINK("http://141.218.60.56/~jnz1568/getInfo.php?workbook=06_02.xlsx&amp;sheet=A0&amp;row=48&amp;col=7&amp;number=&amp;sourceID=34","")</f>
        <v/>
      </c>
      <c r="H48" s="4" t="str">
        <f>HYPERLINK("http://141.218.60.56/~jnz1568/getInfo.php?workbook=06_02.xlsx&amp;sheet=A0&amp;row=48&amp;col=8&amp;number=&amp;sourceID=34","")</f>
        <v/>
      </c>
      <c r="I48" s="4" t="str">
        <f>HYPERLINK("http://141.218.60.56/~jnz1568/getInfo.php?workbook=06_02.xlsx&amp;sheet=A0&amp;row=48&amp;col=9&amp;number=&amp;sourceID=34","")</f>
        <v/>
      </c>
      <c r="J48" s="4" t="str">
        <f>HYPERLINK("http://141.218.60.56/~jnz1568/getInfo.php?workbook=06_02.xlsx&amp;sheet=A0&amp;row=48&amp;col=10&amp;number=&amp;sourceID=34","")</f>
        <v/>
      </c>
      <c r="K48" s="4" t="str">
        <f>HYPERLINK("http://141.218.60.56/~jnz1568/getInfo.php?workbook=06_02.xlsx&amp;sheet=A0&amp;row=48&amp;col=11&amp;number=&amp;sourceID=30","")</f>
        <v/>
      </c>
      <c r="L48" s="4" t="str">
        <f>HYPERLINK("http://141.218.60.56/~jnz1568/getInfo.php?workbook=06_02.xlsx&amp;sheet=A0&amp;row=48&amp;col=12&amp;number=177400&amp;sourceID=30","177400")</f>
        <v>177400</v>
      </c>
      <c r="M48" s="4" t="str">
        <f>HYPERLINK("http://141.218.60.56/~jnz1568/getInfo.php?workbook=06_02.xlsx&amp;sheet=A0&amp;row=48&amp;col=13&amp;number=0.02637&amp;sourceID=30","0.02637")</f>
        <v>0.02637</v>
      </c>
      <c r="N48" s="4" t="str">
        <f>HYPERLINK("http://141.218.60.56/~jnz1568/getInfo.php?workbook=06_02.xlsx&amp;sheet=A0&amp;row=48&amp;col=14&amp;number=&amp;sourceID=30","")</f>
        <v/>
      </c>
      <c r="O48" s="4" t="str">
        <f>HYPERLINK("http://141.218.60.56/~jnz1568/getInfo.php?workbook=06_02.xlsx&amp;sheet=A0&amp;row=48&amp;col=15&amp;number=&amp;sourceID=32","")</f>
        <v/>
      </c>
      <c r="P48" s="4" t="str">
        <f>HYPERLINK("http://141.218.60.56/~jnz1568/getInfo.php?workbook=06_02.xlsx&amp;sheet=A0&amp;row=48&amp;col=16&amp;number=182200&amp;sourceID=32","182200")</f>
        <v>182200</v>
      </c>
      <c r="Q48" s="4" t="str">
        <f>HYPERLINK("http://141.218.60.56/~jnz1568/getInfo.php?workbook=06_02.xlsx&amp;sheet=A0&amp;row=48&amp;col=17&amp;number=0.02885&amp;sourceID=32","0.02885")</f>
        <v>0.02885</v>
      </c>
      <c r="R48" s="4" t="str">
        <f>HYPERLINK("http://141.218.60.56/~jnz1568/getInfo.php?workbook=06_02.xlsx&amp;sheet=A0&amp;row=48&amp;col=18&amp;number=&amp;sourceID=32","")</f>
        <v/>
      </c>
    </row>
    <row r="49" spans="1:18">
      <c r="A49" s="3">
        <v>6</v>
      </c>
      <c r="B49" s="3">
        <v>2</v>
      </c>
      <c r="C49" s="3">
        <v>12</v>
      </c>
      <c r="D49" s="3">
        <v>5</v>
      </c>
      <c r="E49" s="3">
        <f>((1/(INDEX(E0!J$4:J$52,C49,1)-INDEX(E0!J$4:J$52,D49,1))))*100000000</f>
        <v>0</v>
      </c>
      <c r="F49" s="4" t="str">
        <f>HYPERLINK("http://141.218.60.56/~jnz1568/getInfo.php?workbook=06_02.xlsx&amp;sheet=A0&amp;row=49&amp;col=6&amp;number=&amp;sourceID=27","")</f>
        <v/>
      </c>
      <c r="G49" s="4" t="str">
        <f>HYPERLINK("http://141.218.60.56/~jnz1568/getInfo.php?workbook=06_02.xlsx&amp;sheet=A0&amp;row=49&amp;col=7&amp;number=&amp;sourceID=34","")</f>
        <v/>
      </c>
      <c r="H49" s="4" t="str">
        <f>HYPERLINK("http://141.218.60.56/~jnz1568/getInfo.php?workbook=06_02.xlsx&amp;sheet=A0&amp;row=49&amp;col=8&amp;number=&amp;sourceID=34","")</f>
        <v/>
      </c>
      <c r="I49" s="4" t="str">
        <f>HYPERLINK("http://141.218.60.56/~jnz1568/getInfo.php?workbook=06_02.xlsx&amp;sheet=A0&amp;row=49&amp;col=9&amp;number=&amp;sourceID=34","")</f>
        <v/>
      </c>
      <c r="J49" s="4" t="str">
        <f>HYPERLINK("http://141.218.60.56/~jnz1568/getInfo.php?workbook=06_02.xlsx&amp;sheet=A0&amp;row=49&amp;col=10&amp;number=&amp;sourceID=34","")</f>
        <v/>
      </c>
      <c r="K49" s="4" t="str">
        <f>HYPERLINK("http://141.218.60.56/~jnz1568/getInfo.php?workbook=06_02.xlsx&amp;sheet=A0&amp;row=49&amp;col=11&amp;number=&amp;sourceID=30","")</f>
        <v/>
      </c>
      <c r="L49" s="4" t="str">
        <f>HYPERLINK("http://141.218.60.56/~jnz1568/getInfo.php?workbook=06_02.xlsx&amp;sheet=A0&amp;row=49&amp;col=12&amp;number=78850&amp;sourceID=30","78850")</f>
        <v>78850</v>
      </c>
      <c r="M49" s="4" t="str">
        <f>HYPERLINK("http://141.218.60.56/~jnz1568/getInfo.php?workbook=06_02.xlsx&amp;sheet=A0&amp;row=49&amp;col=13&amp;number=&amp;sourceID=30","")</f>
        <v/>
      </c>
      <c r="N49" s="4" t="str">
        <f>HYPERLINK("http://141.218.60.56/~jnz1568/getInfo.php?workbook=06_02.xlsx&amp;sheet=A0&amp;row=49&amp;col=14&amp;number=&amp;sourceID=30","")</f>
        <v/>
      </c>
      <c r="O49" s="4" t="str">
        <f>HYPERLINK("http://141.218.60.56/~jnz1568/getInfo.php?workbook=06_02.xlsx&amp;sheet=A0&amp;row=49&amp;col=15&amp;number=&amp;sourceID=32","")</f>
        <v/>
      </c>
      <c r="P49" s="4" t="str">
        <f>HYPERLINK("http://141.218.60.56/~jnz1568/getInfo.php?workbook=06_02.xlsx&amp;sheet=A0&amp;row=49&amp;col=16&amp;number=80950&amp;sourceID=32","80950")</f>
        <v>80950</v>
      </c>
      <c r="Q49" s="4" t="str">
        <f>HYPERLINK("http://141.218.60.56/~jnz1568/getInfo.php?workbook=06_02.xlsx&amp;sheet=A0&amp;row=49&amp;col=17&amp;number=&amp;sourceID=32","")</f>
        <v/>
      </c>
      <c r="R49" s="4" t="str">
        <f>HYPERLINK("http://141.218.60.56/~jnz1568/getInfo.php?workbook=06_02.xlsx&amp;sheet=A0&amp;row=49&amp;col=18&amp;number=&amp;sourceID=32","")</f>
        <v/>
      </c>
    </row>
    <row r="50" spans="1:18">
      <c r="A50" s="3">
        <v>6</v>
      </c>
      <c r="B50" s="3">
        <v>2</v>
      </c>
      <c r="C50" s="3">
        <v>12</v>
      </c>
      <c r="D50" s="3">
        <v>6</v>
      </c>
      <c r="E50" s="3">
        <f>((1/(INDEX(E0!J$4:J$52,C50,1)-INDEX(E0!J$4:J$52,D50,1))))*100000000</f>
        <v>0</v>
      </c>
      <c r="F50" s="4" t="str">
        <f>HYPERLINK("http://141.218.60.56/~jnz1568/getInfo.php?workbook=06_02.xlsx&amp;sheet=A0&amp;row=50&amp;col=6&amp;number=&amp;sourceID=27","")</f>
        <v/>
      </c>
      <c r="G50" s="4" t="str">
        <f>HYPERLINK("http://141.218.60.56/~jnz1568/getInfo.php?workbook=06_02.xlsx&amp;sheet=A0&amp;row=50&amp;col=7&amp;number=&amp;sourceID=34","")</f>
        <v/>
      </c>
      <c r="H50" s="4" t="str">
        <f>HYPERLINK("http://141.218.60.56/~jnz1568/getInfo.php?workbook=06_02.xlsx&amp;sheet=A0&amp;row=50&amp;col=8&amp;number=&amp;sourceID=34","")</f>
        <v/>
      </c>
      <c r="I50" s="4" t="str">
        <f>HYPERLINK("http://141.218.60.56/~jnz1568/getInfo.php?workbook=06_02.xlsx&amp;sheet=A0&amp;row=50&amp;col=9&amp;number=&amp;sourceID=34","")</f>
        <v/>
      </c>
      <c r="J50" s="4" t="str">
        <f>HYPERLINK("http://141.218.60.56/~jnz1568/getInfo.php?workbook=06_02.xlsx&amp;sheet=A0&amp;row=50&amp;col=10&amp;number=&amp;sourceID=34","")</f>
        <v/>
      </c>
      <c r="K50" s="4" t="str">
        <f>HYPERLINK("http://141.218.60.56/~jnz1568/getInfo.php?workbook=06_02.xlsx&amp;sheet=A0&amp;row=50&amp;col=11&amp;number=&amp;sourceID=30","")</f>
        <v/>
      </c>
      <c r="L50" s="4" t="str">
        <f>HYPERLINK("http://141.218.60.56/~jnz1568/getInfo.php?workbook=06_02.xlsx&amp;sheet=A0&amp;row=50&amp;col=12&amp;number=137900&amp;sourceID=30","137900")</f>
        <v>137900</v>
      </c>
      <c r="M50" s="4" t="str">
        <f>HYPERLINK("http://141.218.60.56/~jnz1568/getInfo.php?workbook=06_02.xlsx&amp;sheet=A0&amp;row=50&amp;col=13&amp;number=0.03946&amp;sourceID=30","0.03946")</f>
        <v>0.03946</v>
      </c>
      <c r="N50" s="4" t="str">
        <f>HYPERLINK("http://141.218.60.56/~jnz1568/getInfo.php?workbook=06_02.xlsx&amp;sheet=A0&amp;row=50&amp;col=14&amp;number=&amp;sourceID=30","")</f>
        <v/>
      </c>
      <c r="O50" s="4" t="str">
        <f>HYPERLINK("http://141.218.60.56/~jnz1568/getInfo.php?workbook=06_02.xlsx&amp;sheet=A0&amp;row=50&amp;col=15&amp;number=&amp;sourceID=32","")</f>
        <v/>
      </c>
      <c r="P50" s="4" t="str">
        <f>HYPERLINK("http://141.218.60.56/~jnz1568/getInfo.php?workbook=06_02.xlsx&amp;sheet=A0&amp;row=50&amp;col=16&amp;number=141600&amp;sourceID=32","141600")</f>
        <v>141600</v>
      </c>
      <c r="Q50" s="4" t="str">
        <f>HYPERLINK("http://141.218.60.56/~jnz1568/getInfo.php?workbook=06_02.xlsx&amp;sheet=A0&amp;row=50&amp;col=17&amp;number=0.03613&amp;sourceID=32","0.03613")</f>
        <v>0.03613</v>
      </c>
      <c r="R50" s="4" t="str">
        <f>HYPERLINK("http://141.218.60.56/~jnz1568/getInfo.php?workbook=06_02.xlsx&amp;sheet=A0&amp;row=50&amp;col=18&amp;number=&amp;sourceID=32","")</f>
        <v/>
      </c>
    </row>
    <row r="51" spans="1:18">
      <c r="A51" s="3">
        <v>6</v>
      </c>
      <c r="B51" s="3">
        <v>2</v>
      </c>
      <c r="C51" s="3">
        <v>12</v>
      </c>
      <c r="D51" s="3">
        <v>7</v>
      </c>
      <c r="E51" s="3">
        <f>((1/(INDEX(E0!J$4:J$52,C51,1)-INDEX(E0!J$4:J$52,D51,1))))*100000000</f>
        <v>0</v>
      </c>
      <c r="F51" s="4" t="str">
        <f>HYPERLINK("http://141.218.60.56/~jnz1568/getInfo.php?workbook=06_02.xlsx&amp;sheet=A0&amp;row=51&amp;col=6&amp;number=&amp;sourceID=27","")</f>
        <v/>
      </c>
      <c r="G51" s="4" t="str">
        <f>HYPERLINK("http://141.218.60.56/~jnz1568/getInfo.php?workbook=06_02.xlsx&amp;sheet=A0&amp;row=51&amp;col=7&amp;number=&amp;sourceID=34","")</f>
        <v/>
      </c>
      <c r="H51" s="4" t="str">
        <f>HYPERLINK("http://141.218.60.56/~jnz1568/getInfo.php?workbook=06_02.xlsx&amp;sheet=A0&amp;row=51&amp;col=8&amp;number=&amp;sourceID=34","")</f>
        <v/>
      </c>
      <c r="I51" s="4" t="str">
        <f>HYPERLINK("http://141.218.60.56/~jnz1568/getInfo.php?workbook=06_02.xlsx&amp;sheet=A0&amp;row=51&amp;col=9&amp;number=&amp;sourceID=34","")</f>
        <v/>
      </c>
      <c r="J51" s="4" t="str">
        <f>HYPERLINK("http://141.218.60.56/~jnz1568/getInfo.php?workbook=06_02.xlsx&amp;sheet=A0&amp;row=51&amp;col=10&amp;number=&amp;sourceID=34","")</f>
        <v/>
      </c>
      <c r="K51" s="4" t="str">
        <f>HYPERLINK("http://141.218.60.56/~jnz1568/getInfo.php?workbook=06_02.xlsx&amp;sheet=A0&amp;row=51&amp;col=11&amp;number=&amp;sourceID=30","")</f>
        <v/>
      </c>
      <c r="L51" s="4" t="str">
        <f>HYPERLINK("http://141.218.60.56/~jnz1568/getInfo.php?workbook=06_02.xlsx&amp;sheet=A0&amp;row=51&amp;col=12&amp;number=4.463&amp;sourceID=30","4.463")</f>
        <v>4.463</v>
      </c>
      <c r="M51" s="4" t="str">
        <f>HYPERLINK("http://141.218.60.56/~jnz1568/getInfo.php?workbook=06_02.xlsx&amp;sheet=A0&amp;row=51&amp;col=13&amp;number=0.00476&amp;sourceID=30","0.00476")</f>
        <v>0.00476</v>
      </c>
      <c r="N51" s="4" t="str">
        <f>HYPERLINK("http://141.218.60.56/~jnz1568/getInfo.php?workbook=06_02.xlsx&amp;sheet=A0&amp;row=51&amp;col=14&amp;number=&amp;sourceID=30","")</f>
        <v/>
      </c>
      <c r="O51" s="4" t="str">
        <f>HYPERLINK("http://141.218.60.56/~jnz1568/getInfo.php?workbook=06_02.xlsx&amp;sheet=A0&amp;row=51&amp;col=15&amp;number=&amp;sourceID=32","")</f>
        <v/>
      </c>
      <c r="P51" s="4" t="str">
        <f>HYPERLINK("http://141.218.60.56/~jnz1568/getInfo.php?workbook=06_02.xlsx&amp;sheet=A0&amp;row=51&amp;col=16&amp;number=4.714&amp;sourceID=32","4.714")</f>
        <v>4.714</v>
      </c>
      <c r="Q51" s="4" t="str">
        <f>HYPERLINK("http://141.218.60.56/~jnz1568/getInfo.php?workbook=06_02.xlsx&amp;sheet=A0&amp;row=51&amp;col=17&amp;number=0.005447&amp;sourceID=32","0.005447")</f>
        <v>0.005447</v>
      </c>
      <c r="R51" s="4" t="str">
        <f>HYPERLINK("http://141.218.60.56/~jnz1568/getInfo.php?workbook=06_02.xlsx&amp;sheet=A0&amp;row=51&amp;col=18&amp;number=&amp;sourceID=32","")</f>
        <v/>
      </c>
    </row>
    <row r="52" spans="1:18">
      <c r="A52" s="3">
        <v>6</v>
      </c>
      <c r="B52" s="3">
        <v>2</v>
      </c>
      <c r="C52" s="3">
        <v>12</v>
      </c>
      <c r="D52" s="3">
        <v>8</v>
      </c>
      <c r="E52" s="3">
        <f>((1/(INDEX(E0!J$4:J$52,C52,1)-INDEX(E0!J$4:J$52,D52,1))))*100000000</f>
        <v>0</v>
      </c>
      <c r="F52" s="4" t="str">
        <f>HYPERLINK("http://141.218.60.56/~jnz1568/getInfo.php?workbook=06_02.xlsx&amp;sheet=A0&amp;row=52&amp;col=6&amp;number=&amp;sourceID=27","")</f>
        <v/>
      </c>
      <c r="G52" s="4" t="str">
        <f>HYPERLINK("http://141.218.60.56/~jnz1568/getInfo.php?workbook=06_02.xlsx&amp;sheet=A0&amp;row=52&amp;col=7&amp;number=6898000&amp;sourceID=34","6898000")</f>
        <v>6898000</v>
      </c>
      <c r="H52" s="4" t="str">
        <f>HYPERLINK("http://141.218.60.56/~jnz1568/getInfo.php?workbook=06_02.xlsx&amp;sheet=A0&amp;row=52&amp;col=8&amp;number=&amp;sourceID=34","")</f>
        <v/>
      </c>
      <c r="I52" s="4" t="str">
        <f>HYPERLINK("http://141.218.60.56/~jnz1568/getInfo.php?workbook=06_02.xlsx&amp;sheet=A0&amp;row=52&amp;col=9&amp;number=&amp;sourceID=34","")</f>
        <v/>
      </c>
      <c r="J52" s="4" t="str">
        <f>HYPERLINK("http://141.218.60.56/~jnz1568/getInfo.php?workbook=06_02.xlsx&amp;sheet=A0&amp;row=52&amp;col=10&amp;number=&amp;sourceID=34","")</f>
        <v/>
      </c>
      <c r="K52" s="4" t="str">
        <f>HYPERLINK("http://141.218.60.56/~jnz1568/getInfo.php?workbook=06_02.xlsx&amp;sheet=A0&amp;row=52&amp;col=11&amp;number=7261000&amp;sourceID=30","7261000")</f>
        <v>7261000</v>
      </c>
      <c r="L52" s="4" t="str">
        <f>HYPERLINK("http://141.218.60.56/~jnz1568/getInfo.php?workbook=06_02.xlsx&amp;sheet=A0&amp;row=52&amp;col=12&amp;number=&amp;sourceID=30","")</f>
        <v/>
      </c>
      <c r="M52" s="4" t="str">
        <f>HYPERLINK("http://141.218.60.56/~jnz1568/getInfo.php?workbook=06_02.xlsx&amp;sheet=A0&amp;row=52&amp;col=13&amp;number=&amp;sourceID=30","")</f>
        <v/>
      </c>
      <c r="N52" s="4" t="str">
        <f>HYPERLINK("http://141.218.60.56/~jnz1568/getInfo.php?workbook=06_02.xlsx&amp;sheet=A0&amp;row=52&amp;col=14&amp;number=6.945e-06&amp;sourceID=30","6.945e-06")</f>
        <v>6.945e-06</v>
      </c>
      <c r="O52" s="4" t="str">
        <f>HYPERLINK("http://141.218.60.56/~jnz1568/getInfo.php?workbook=06_02.xlsx&amp;sheet=A0&amp;row=52&amp;col=15&amp;number=6961000&amp;sourceID=32","6961000")</f>
        <v>6961000</v>
      </c>
      <c r="P52" s="4" t="str">
        <f>HYPERLINK("http://141.218.60.56/~jnz1568/getInfo.php?workbook=06_02.xlsx&amp;sheet=A0&amp;row=52&amp;col=16&amp;number=&amp;sourceID=32","")</f>
        <v/>
      </c>
      <c r="Q52" s="4" t="str">
        <f>HYPERLINK("http://141.218.60.56/~jnz1568/getInfo.php?workbook=06_02.xlsx&amp;sheet=A0&amp;row=52&amp;col=17&amp;number=&amp;sourceID=32","")</f>
        <v/>
      </c>
      <c r="R52" s="4" t="str">
        <f>HYPERLINK("http://141.218.60.56/~jnz1568/getInfo.php?workbook=06_02.xlsx&amp;sheet=A0&amp;row=52&amp;col=18&amp;number=6.513e-06&amp;sourceID=32","6.513e-06")</f>
        <v>6.513e-06</v>
      </c>
    </row>
    <row r="53" spans="1:18">
      <c r="A53" s="3">
        <v>6</v>
      </c>
      <c r="B53" s="3">
        <v>2</v>
      </c>
      <c r="C53" s="3">
        <v>12</v>
      </c>
      <c r="D53" s="3">
        <v>10</v>
      </c>
      <c r="E53" s="3">
        <f>((1/(INDEX(E0!J$4:J$52,C53,1)-INDEX(E0!J$4:J$52,D53,1))))*100000000</f>
        <v>0</v>
      </c>
      <c r="F53" s="4" t="str">
        <f>HYPERLINK("http://141.218.60.56/~jnz1568/getInfo.php?workbook=06_02.xlsx&amp;sheet=A0&amp;row=53&amp;col=6&amp;number=&amp;sourceID=27","")</f>
        <v/>
      </c>
      <c r="G53" s="4" t="str">
        <f>HYPERLINK("http://141.218.60.56/~jnz1568/getInfo.php?workbook=06_02.xlsx&amp;sheet=A0&amp;row=53&amp;col=7&amp;number=&amp;sourceID=34","")</f>
        <v/>
      </c>
      <c r="H53" s="4" t="str">
        <f>HYPERLINK("http://141.218.60.56/~jnz1568/getInfo.php?workbook=06_02.xlsx&amp;sheet=A0&amp;row=53&amp;col=8&amp;number=&amp;sourceID=34","")</f>
        <v/>
      </c>
      <c r="I53" s="4" t="str">
        <f>HYPERLINK("http://141.218.60.56/~jnz1568/getInfo.php?workbook=06_02.xlsx&amp;sheet=A0&amp;row=53&amp;col=9&amp;number=&amp;sourceID=34","")</f>
        <v/>
      </c>
      <c r="J53" s="4" t="str">
        <f>HYPERLINK("http://141.218.60.56/~jnz1568/getInfo.php?workbook=06_02.xlsx&amp;sheet=A0&amp;row=53&amp;col=10&amp;number=&amp;sourceID=34","")</f>
        <v/>
      </c>
      <c r="K53" s="4" t="str">
        <f>HYPERLINK("http://141.218.60.56/~jnz1568/getInfo.php?workbook=06_02.xlsx&amp;sheet=A0&amp;row=53&amp;col=11&amp;number=&amp;sourceID=30","")</f>
        <v/>
      </c>
      <c r="L53" s="4" t="str">
        <f>HYPERLINK("http://141.218.60.56/~jnz1568/getInfo.php?workbook=06_02.xlsx&amp;sheet=A0&amp;row=53&amp;col=12&amp;number=9.4e-14&amp;sourceID=30","9.4e-14")</f>
        <v>9.4e-14</v>
      </c>
      <c r="M53" s="4" t="str">
        <f>HYPERLINK("http://141.218.60.56/~jnz1568/getInfo.php?workbook=06_02.xlsx&amp;sheet=A0&amp;row=53&amp;col=13&amp;number=8.358e-07&amp;sourceID=30","8.358e-07")</f>
        <v>8.358e-07</v>
      </c>
      <c r="N53" s="4" t="str">
        <f>HYPERLINK("http://141.218.60.56/~jnz1568/getInfo.php?workbook=06_02.xlsx&amp;sheet=A0&amp;row=53&amp;col=14&amp;number=&amp;sourceID=30","")</f>
        <v/>
      </c>
      <c r="O53" s="4" t="str">
        <f>HYPERLINK("http://141.218.60.56/~jnz1568/getInfo.php?workbook=06_02.xlsx&amp;sheet=A0&amp;row=53&amp;col=15&amp;number=&amp;sourceID=32","")</f>
        <v/>
      </c>
      <c r="P53" s="4" t="str">
        <f>HYPERLINK("http://141.218.60.56/~jnz1568/getInfo.php?workbook=06_02.xlsx&amp;sheet=A0&amp;row=53&amp;col=16&amp;number=&amp;sourceID=32","")</f>
        <v/>
      </c>
      <c r="Q53" s="4" t="str">
        <f>HYPERLINK("http://141.218.60.56/~jnz1568/getInfo.php?workbook=06_02.xlsx&amp;sheet=A0&amp;row=53&amp;col=17&amp;number=&amp;sourceID=32","")</f>
        <v/>
      </c>
      <c r="R53" s="4" t="str">
        <f>HYPERLINK("http://141.218.60.56/~jnz1568/getInfo.php?workbook=06_02.xlsx&amp;sheet=A0&amp;row=53&amp;col=18&amp;number=&amp;sourceID=32","")</f>
        <v/>
      </c>
    </row>
    <row r="54" spans="1:18">
      <c r="A54" s="3">
        <v>6</v>
      </c>
      <c r="B54" s="3">
        <v>2</v>
      </c>
      <c r="C54" s="3">
        <v>12</v>
      </c>
      <c r="D54" s="3">
        <v>11</v>
      </c>
      <c r="E54" s="3">
        <f>((1/(INDEX(E0!J$4:J$52,C54,1)-INDEX(E0!J$4:J$52,D54,1))))*100000000</f>
        <v>0</v>
      </c>
      <c r="F54" s="4" t="str">
        <f>HYPERLINK("http://141.218.60.56/~jnz1568/getInfo.php?workbook=06_02.xlsx&amp;sheet=A0&amp;row=54&amp;col=6&amp;number=&amp;sourceID=27","")</f>
        <v/>
      </c>
      <c r="G54" s="4" t="str">
        <f>HYPERLINK("http://141.218.60.56/~jnz1568/getInfo.php?workbook=06_02.xlsx&amp;sheet=A0&amp;row=54&amp;col=7&amp;number=&amp;sourceID=34","")</f>
        <v/>
      </c>
      <c r="H54" s="4" t="str">
        <f>HYPERLINK("http://141.218.60.56/~jnz1568/getInfo.php?workbook=06_02.xlsx&amp;sheet=A0&amp;row=54&amp;col=8&amp;number=&amp;sourceID=34","")</f>
        <v/>
      </c>
      <c r="I54" s="4" t="str">
        <f>HYPERLINK("http://141.218.60.56/~jnz1568/getInfo.php?workbook=06_02.xlsx&amp;sheet=A0&amp;row=54&amp;col=9&amp;number=&amp;sourceID=34","")</f>
        <v/>
      </c>
      <c r="J54" s="4" t="str">
        <f>HYPERLINK("http://141.218.60.56/~jnz1568/getInfo.php?workbook=06_02.xlsx&amp;sheet=A0&amp;row=54&amp;col=10&amp;number=&amp;sourceID=34","")</f>
        <v/>
      </c>
      <c r="K54" s="4" t="str">
        <f>HYPERLINK("http://141.218.60.56/~jnz1568/getInfo.php?workbook=06_02.xlsx&amp;sheet=A0&amp;row=54&amp;col=11&amp;number=&amp;sourceID=30","")</f>
        <v/>
      </c>
      <c r="L54" s="4" t="str">
        <f>HYPERLINK("http://141.218.60.56/~jnz1568/getInfo.php?workbook=06_02.xlsx&amp;sheet=A0&amp;row=54&amp;col=12&amp;number=3.4e-14&amp;sourceID=30","3.4e-14")</f>
        <v>3.4e-14</v>
      </c>
      <c r="M54" s="4" t="str">
        <f>HYPERLINK("http://141.218.60.56/~jnz1568/getInfo.php?workbook=06_02.xlsx&amp;sheet=A0&amp;row=54&amp;col=13&amp;number=&amp;sourceID=30","")</f>
        <v/>
      </c>
      <c r="N54" s="4" t="str">
        <f>HYPERLINK("http://141.218.60.56/~jnz1568/getInfo.php?workbook=06_02.xlsx&amp;sheet=A0&amp;row=54&amp;col=14&amp;number=&amp;sourceID=30","")</f>
        <v/>
      </c>
      <c r="O54" s="4" t="str">
        <f>HYPERLINK("http://141.218.60.56/~jnz1568/getInfo.php?workbook=06_02.xlsx&amp;sheet=A0&amp;row=54&amp;col=15&amp;number=&amp;sourceID=32","")</f>
        <v/>
      </c>
      <c r="P54" s="4" t="str">
        <f>HYPERLINK("http://141.218.60.56/~jnz1568/getInfo.php?workbook=06_02.xlsx&amp;sheet=A0&amp;row=54&amp;col=16&amp;number=&amp;sourceID=32","")</f>
        <v/>
      </c>
      <c r="Q54" s="4" t="str">
        <f>HYPERLINK("http://141.218.60.56/~jnz1568/getInfo.php?workbook=06_02.xlsx&amp;sheet=A0&amp;row=54&amp;col=17&amp;number=&amp;sourceID=32","")</f>
        <v/>
      </c>
      <c r="R54" s="4" t="str">
        <f>HYPERLINK("http://141.218.60.56/~jnz1568/getInfo.php?workbook=06_02.xlsx&amp;sheet=A0&amp;row=54&amp;col=18&amp;number=&amp;sourceID=32","")</f>
        <v/>
      </c>
    </row>
    <row r="55" spans="1:18">
      <c r="A55" s="3">
        <v>6</v>
      </c>
      <c r="B55" s="3">
        <v>2</v>
      </c>
      <c r="C55" s="3">
        <v>13</v>
      </c>
      <c r="D55" s="3">
        <v>1</v>
      </c>
      <c r="E55" s="3">
        <f>((1/(INDEX(E0!J$4:J$52,C55,1)-INDEX(E0!J$4:J$52,D55,1))))*100000000</f>
        <v>0</v>
      </c>
      <c r="F55" s="4" t="str">
        <f>HYPERLINK("http://141.218.60.56/~jnz1568/getInfo.php?workbook=06_02.xlsx&amp;sheet=A0&amp;row=55&amp;col=6&amp;number=&amp;sourceID=27","")</f>
        <v/>
      </c>
      <c r="G55" s="4" t="str">
        <f>HYPERLINK("http://141.218.60.56/~jnz1568/getInfo.php?workbook=06_02.xlsx&amp;sheet=A0&amp;row=55&amp;col=7&amp;number=&amp;sourceID=34","")</f>
        <v/>
      </c>
      <c r="H55" s="4" t="str">
        <f>HYPERLINK("http://141.218.60.56/~jnz1568/getInfo.php?workbook=06_02.xlsx&amp;sheet=A0&amp;row=55&amp;col=8&amp;number=&amp;sourceID=34","")</f>
        <v/>
      </c>
      <c r="I55" s="4" t="str">
        <f>HYPERLINK("http://141.218.60.56/~jnz1568/getInfo.php?workbook=06_02.xlsx&amp;sheet=A0&amp;row=55&amp;col=9&amp;number=&amp;sourceID=34","")</f>
        <v/>
      </c>
      <c r="J55" s="4" t="str">
        <f>HYPERLINK("http://141.218.60.56/~jnz1568/getInfo.php?workbook=06_02.xlsx&amp;sheet=A0&amp;row=55&amp;col=10&amp;number=&amp;sourceID=34","")</f>
        <v/>
      </c>
      <c r="K55" s="4" t="str">
        <f>HYPERLINK("http://141.218.60.56/~jnz1568/getInfo.php?workbook=06_02.xlsx&amp;sheet=A0&amp;row=55&amp;col=11&amp;number=&amp;sourceID=30","")</f>
        <v/>
      </c>
      <c r="L55" s="4" t="str">
        <f>HYPERLINK("http://141.218.60.56/~jnz1568/getInfo.php?workbook=06_02.xlsx&amp;sheet=A0&amp;row=55&amp;col=12&amp;number=&amp;sourceID=30","")</f>
        <v/>
      </c>
      <c r="M55" s="4" t="str">
        <f>HYPERLINK("http://141.218.60.56/~jnz1568/getInfo.php?workbook=06_02.xlsx&amp;sheet=A0&amp;row=55&amp;col=13&amp;number=0.2622&amp;sourceID=30","0.2622")</f>
        <v>0.2622</v>
      </c>
      <c r="N55" s="4" t="str">
        <f>HYPERLINK("http://141.218.60.56/~jnz1568/getInfo.php?workbook=06_02.xlsx&amp;sheet=A0&amp;row=55&amp;col=14&amp;number=&amp;sourceID=30","")</f>
        <v/>
      </c>
      <c r="O55" s="4" t="str">
        <f>HYPERLINK("http://141.218.60.56/~jnz1568/getInfo.php?workbook=06_02.xlsx&amp;sheet=A0&amp;row=55&amp;col=15&amp;number=&amp;sourceID=32","")</f>
        <v/>
      </c>
      <c r="P55" s="4" t="str">
        <f>HYPERLINK("http://141.218.60.56/~jnz1568/getInfo.php?workbook=06_02.xlsx&amp;sheet=A0&amp;row=55&amp;col=16&amp;number=&amp;sourceID=32","")</f>
        <v/>
      </c>
      <c r="Q55" s="4" t="str">
        <f>HYPERLINK("http://141.218.60.56/~jnz1568/getInfo.php?workbook=06_02.xlsx&amp;sheet=A0&amp;row=55&amp;col=17&amp;number=0.172&amp;sourceID=32","0.172")</f>
        <v>0.172</v>
      </c>
      <c r="R55" s="4" t="str">
        <f>HYPERLINK("http://141.218.60.56/~jnz1568/getInfo.php?workbook=06_02.xlsx&amp;sheet=A0&amp;row=55&amp;col=18&amp;number=&amp;sourceID=32","")</f>
        <v/>
      </c>
    </row>
    <row r="56" spans="1:18">
      <c r="A56" s="3">
        <v>6</v>
      </c>
      <c r="B56" s="3">
        <v>2</v>
      </c>
      <c r="C56" s="3">
        <v>13</v>
      </c>
      <c r="D56" s="3">
        <v>2</v>
      </c>
      <c r="E56" s="3">
        <f>((1/(INDEX(E0!J$4:J$52,C56,1)-INDEX(E0!J$4:J$52,D56,1))))*100000000</f>
        <v>0</v>
      </c>
      <c r="F56" s="4" t="str">
        <f>HYPERLINK("http://141.218.60.56/~jnz1568/getInfo.php?workbook=06_02.xlsx&amp;sheet=A0&amp;row=56&amp;col=6&amp;number=&amp;sourceID=27","")</f>
        <v/>
      </c>
      <c r="G56" s="4" t="str">
        <f>HYPERLINK("http://141.218.60.56/~jnz1568/getInfo.php?workbook=06_02.xlsx&amp;sheet=A0&amp;row=56&amp;col=7&amp;number=&amp;sourceID=34","")</f>
        <v/>
      </c>
      <c r="H56" s="4" t="str">
        <f>HYPERLINK("http://141.218.60.56/~jnz1568/getInfo.php?workbook=06_02.xlsx&amp;sheet=A0&amp;row=56&amp;col=8&amp;number=&amp;sourceID=34","")</f>
        <v/>
      </c>
      <c r="I56" s="4" t="str">
        <f>HYPERLINK("http://141.218.60.56/~jnz1568/getInfo.php?workbook=06_02.xlsx&amp;sheet=A0&amp;row=56&amp;col=9&amp;number=&amp;sourceID=34","")</f>
        <v/>
      </c>
      <c r="J56" s="4" t="str">
        <f>HYPERLINK("http://141.218.60.56/~jnz1568/getInfo.php?workbook=06_02.xlsx&amp;sheet=A0&amp;row=56&amp;col=10&amp;number=&amp;sourceID=34","")</f>
        <v/>
      </c>
      <c r="K56" s="4" t="str">
        <f>HYPERLINK("http://141.218.60.56/~jnz1568/getInfo.php?workbook=06_02.xlsx&amp;sheet=A0&amp;row=56&amp;col=11&amp;number=&amp;sourceID=30","")</f>
        <v/>
      </c>
      <c r="L56" s="4" t="str">
        <f>HYPERLINK("http://141.218.60.56/~jnz1568/getInfo.php?workbook=06_02.xlsx&amp;sheet=A0&amp;row=56&amp;col=12&amp;number=1216000&amp;sourceID=30","1216000")</f>
        <v>1216000</v>
      </c>
      <c r="M56" s="4" t="str">
        <f>HYPERLINK("http://141.218.60.56/~jnz1568/getInfo.php?workbook=06_02.xlsx&amp;sheet=A0&amp;row=56&amp;col=13&amp;number=0.003677&amp;sourceID=30","0.003677")</f>
        <v>0.003677</v>
      </c>
      <c r="N56" s="4" t="str">
        <f>HYPERLINK("http://141.218.60.56/~jnz1568/getInfo.php?workbook=06_02.xlsx&amp;sheet=A0&amp;row=56&amp;col=14&amp;number=&amp;sourceID=30","")</f>
        <v/>
      </c>
      <c r="O56" s="4" t="str">
        <f>HYPERLINK("http://141.218.60.56/~jnz1568/getInfo.php?workbook=06_02.xlsx&amp;sheet=A0&amp;row=56&amp;col=15&amp;number=&amp;sourceID=32","")</f>
        <v/>
      </c>
      <c r="P56" s="4" t="str">
        <f>HYPERLINK("http://141.218.60.56/~jnz1568/getInfo.php?workbook=06_02.xlsx&amp;sheet=A0&amp;row=56&amp;col=16&amp;number=1226000&amp;sourceID=32","1226000")</f>
        <v>1226000</v>
      </c>
      <c r="Q56" s="4" t="str">
        <f>HYPERLINK("http://141.218.60.56/~jnz1568/getInfo.php?workbook=06_02.xlsx&amp;sheet=A0&amp;row=56&amp;col=17&amp;number=0.004619&amp;sourceID=32","0.004619")</f>
        <v>0.004619</v>
      </c>
      <c r="R56" s="4" t="str">
        <f>HYPERLINK("http://141.218.60.56/~jnz1568/getInfo.php?workbook=06_02.xlsx&amp;sheet=A0&amp;row=56&amp;col=18&amp;number=&amp;sourceID=32","")</f>
        <v/>
      </c>
    </row>
    <row r="57" spans="1:18">
      <c r="A57" s="3">
        <v>6</v>
      </c>
      <c r="B57" s="3">
        <v>2</v>
      </c>
      <c r="C57" s="3">
        <v>13</v>
      </c>
      <c r="D57" s="3">
        <v>3</v>
      </c>
      <c r="E57" s="3">
        <f>((1/(INDEX(E0!J$4:J$52,C57,1)-INDEX(E0!J$4:J$52,D57,1))))*100000000</f>
        <v>0</v>
      </c>
      <c r="F57" s="4" t="str">
        <f>HYPERLINK("http://141.218.60.56/~jnz1568/getInfo.php?workbook=06_02.xlsx&amp;sheet=A0&amp;row=57&amp;col=6&amp;number=&amp;sourceID=27","")</f>
        <v/>
      </c>
      <c r="G57" s="4" t="str">
        <f>HYPERLINK("http://141.218.60.56/~jnz1568/getInfo.php?workbook=06_02.xlsx&amp;sheet=A0&amp;row=57&amp;col=7&amp;number=&amp;sourceID=34","")</f>
        <v/>
      </c>
      <c r="H57" s="4" t="str">
        <f>HYPERLINK("http://141.218.60.56/~jnz1568/getInfo.php?workbook=06_02.xlsx&amp;sheet=A0&amp;row=57&amp;col=8&amp;number=&amp;sourceID=34","")</f>
        <v/>
      </c>
      <c r="I57" s="4" t="str">
        <f>HYPERLINK("http://141.218.60.56/~jnz1568/getInfo.php?workbook=06_02.xlsx&amp;sheet=A0&amp;row=57&amp;col=9&amp;number=&amp;sourceID=34","")</f>
        <v/>
      </c>
      <c r="J57" s="4" t="str">
        <f>HYPERLINK("http://141.218.60.56/~jnz1568/getInfo.php?workbook=06_02.xlsx&amp;sheet=A0&amp;row=57&amp;col=10&amp;number=&amp;sourceID=34","")</f>
        <v/>
      </c>
      <c r="K57" s="4" t="str">
        <f>HYPERLINK("http://141.218.60.56/~jnz1568/getInfo.php?workbook=06_02.xlsx&amp;sheet=A0&amp;row=57&amp;col=11&amp;number=&amp;sourceID=30","")</f>
        <v/>
      </c>
      <c r="L57" s="4" t="str">
        <f>HYPERLINK("http://141.218.60.56/~jnz1568/getInfo.php?workbook=06_02.xlsx&amp;sheet=A0&amp;row=57&amp;col=12&amp;number=&amp;sourceID=30","")</f>
        <v/>
      </c>
      <c r="M57" s="4" t="str">
        <f>HYPERLINK("http://141.218.60.56/~jnz1568/getInfo.php?workbook=06_02.xlsx&amp;sheet=A0&amp;row=57&amp;col=13&amp;number=0.0007748&amp;sourceID=30","0.0007748")</f>
        <v>0.0007748</v>
      </c>
      <c r="N57" s="4" t="str">
        <f>HYPERLINK("http://141.218.60.56/~jnz1568/getInfo.php?workbook=06_02.xlsx&amp;sheet=A0&amp;row=57&amp;col=14&amp;number=&amp;sourceID=30","")</f>
        <v/>
      </c>
      <c r="O57" s="4" t="str">
        <f>HYPERLINK("http://141.218.60.56/~jnz1568/getInfo.php?workbook=06_02.xlsx&amp;sheet=A0&amp;row=57&amp;col=15&amp;number=&amp;sourceID=32","")</f>
        <v/>
      </c>
      <c r="P57" s="4" t="str">
        <f>HYPERLINK("http://141.218.60.56/~jnz1568/getInfo.php?workbook=06_02.xlsx&amp;sheet=A0&amp;row=57&amp;col=16&amp;number=&amp;sourceID=32","")</f>
        <v/>
      </c>
      <c r="Q57" s="4" t="str">
        <f>HYPERLINK("http://141.218.60.56/~jnz1568/getInfo.php?workbook=06_02.xlsx&amp;sheet=A0&amp;row=57&amp;col=17&amp;number=0.001437&amp;sourceID=32","0.001437")</f>
        <v>0.001437</v>
      </c>
      <c r="R57" s="4" t="str">
        <f>HYPERLINK("http://141.218.60.56/~jnz1568/getInfo.php?workbook=06_02.xlsx&amp;sheet=A0&amp;row=57&amp;col=18&amp;number=&amp;sourceID=32","")</f>
        <v/>
      </c>
    </row>
    <row r="58" spans="1:18">
      <c r="A58" s="3">
        <v>6</v>
      </c>
      <c r="B58" s="3">
        <v>2</v>
      </c>
      <c r="C58" s="3">
        <v>13</v>
      </c>
      <c r="D58" s="3">
        <v>4</v>
      </c>
      <c r="E58" s="3">
        <f>((1/(INDEX(E0!J$4:J$52,C58,1)-INDEX(E0!J$4:J$52,D58,1))))*100000000</f>
        <v>0</v>
      </c>
      <c r="F58" s="4" t="str">
        <f>HYPERLINK("http://141.218.60.56/~jnz1568/getInfo.php?workbook=06_02.xlsx&amp;sheet=A0&amp;row=58&amp;col=6&amp;number=&amp;sourceID=27","")</f>
        <v/>
      </c>
      <c r="G58" s="4" t="str">
        <f>HYPERLINK("http://141.218.60.56/~jnz1568/getInfo.php?workbook=06_02.xlsx&amp;sheet=A0&amp;row=58&amp;col=7&amp;number=17710000000&amp;sourceID=34","17710000000")</f>
        <v>17710000000</v>
      </c>
      <c r="H58" s="4" t="str">
        <f>HYPERLINK("http://141.218.60.56/~jnz1568/getInfo.php?workbook=06_02.xlsx&amp;sheet=A0&amp;row=58&amp;col=8&amp;number=&amp;sourceID=34","")</f>
        <v/>
      </c>
      <c r="I58" s="4" t="str">
        <f>HYPERLINK("http://141.218.60.56/~jnz1568/getInfo.php?workbook=06_02.xlsx&amp;sheet=A0&amp;row=58&amp;col=9&amp;number=&amp;sourceID=34","")</f>
        <v/>
      </c>
      <c r="J58" s="4" t="str">
        <f>HYPERLINK("http://141.218.60.56/~jnz1568/getInfo.php?workbook=06_02.xlsx&amp;sheet=A0&amp;row=58&amp;col=10&amp;number=&amp;sourceID=34","")</f>
        <v/>
      </c>
      <c r="K58" s="4" t="str">
        <f>HYPERLINK("http://141.218.60.56/~jnz1568/getInfo.php?workbook=06_02.xlsx&amp;sheet=A0&amp;row=58&amp;col=11&amp;number=17640000000&amp;sourceID=30","17640000000")</f>
        <v>17640000000</v>
      </c>
      <c r="L58" s="4" t="str">
        <f>HYPERLINK("http://141.218.60.56/~jnz1568/getInfo.php?workbook=06_02.xlsx&amp;sheet=A0&amp;row=58&amp;col=12&amp;number=&amp;sourceID=30","")</f>
        <v/>
      </c>
      <c r="M58" s="4" t="str">
        <f>HYPERLINK("http://141.218.60.56/~jnz1568/getInfo.php?workbook=06_02.xlsx&amp;sheet=A0&amp;row=58&amp;col=13&amp;number=&amp;sourceID=30","")</f>
        <v/>
      </c>
      <c r="N58" s="4" t="str">
        <f>HYPERLINK("http://141.218.60.56/~jnz1568/getInfo.php?workbook=06_02.xlsx&amp;sheet=A0&amp;row=58&amp;col=14&amp;number=1.682&amp;sourceID=30","1.682")</f>
        <v>1.682</v>
      </c>
      <c r="O58" s="4" t="str">
        <f>HYPERLINK("http://141.218.60.56/~jnz1568/getInfo.php?workbook=06_02.xlsx&amp;sheet=A0&amp;row=58&amp;col=15&amp;number=17700000000&amp;sourceID=32","17700000000")</f>
        <v>17700000000</v>
      </c>
      <c r="P58" s="4" t="str">
        <f>HYPERLINK("http://141.218.60.56/~jnz1568/getInfo.php?workbook=06_02.xlsx&amp;sheet=A0&amp;row=58&amp;col=16&amp;number=&amp;sourceID=32","")</f>
        <v/>
      </c>
      <c r="Q58" s="4" t="str">
        <f>HYPERLINK("http://141.218.60.56/~jnz1568/getInfo.php?workbook=06_02.xlsx&amp;sheet=A0&amp;row=58&amp;col=17&amp;number=&amp;sourceID=32","")</f>
        <v/>
      </c>
      <c r="R58" s="4" t="str">
        <f>HYPERLINK("http://141.218.60.56/~jnz1568/getInfo.php?workbook=06_02.xlsx&amp;sheet=A0&amp;row=58&amp;col=18&amp;number=1.711&amp;sourceID=32","1.711")</f>
        <v>1.711</v>
      </c>
    </row>
    <row r="59" spans="1:18">
      <c r="A59" s="3">
        <v>6</v>
      </c>
      <c r="B59" s="3">
        <v>2</v>
      </c>
      <c r="C59" s="3">
        <v>13</v>
      </c>
      <c r="D59" s="3">
        <v>5</v>
      </c>
      <c r="E59" s="3">
        <f>((1/(INDEX(E0!J$4:J$52,C59,1)-INDEX(E0!J$4:J$52,D59,1))))*100000000</f>
        <v>0</v>
      </c>
      <c r="F59" s="4" t="str">
        <f>HYPERLINK("http://141.218.60.56/~jnz1568/getInfo.php?workbook=06_02.xlsx&amp;sheet=A0&amp;row=59&amp;col=6&amp;number=&amp;sourceID=27","")</f>
        <v/>
      </c>
      <c r="G59" s="4" t="str">
        <f>HYPERLINK("http://141.218.60.56/~jnz1568/getInfo.php?workbook=06_02.xlsx&amp;sheet=A0&amp;row=59&amp;col=7&amp;number=23610000000&amp;sourceID=34","23610000000")</f>
        <v>23610000000</v>
      </c>
      <c r="H59" s="4" t="str">
        <f>HYPERLINK("http://141.218.60.56/~jnz1568/getInfo.php?workbook=06_02.xlsx&amp;sheet=A0&amp;row=59&amp;col=8&amp;number=&amp;sourceID=34","")</f>
        <v/>
      </c>
      <c r="I59" s="4" t="str">
        <f>HYPERLINK("http://141.218.60.56/~jnz1568/getInfo.php?workbook=06_02.xlsx&amp;sheet=A0&amp;row=59&amp;col=9&amp;number=&amp;sourceID=34","")</f>
        <v/>
      </c>
      <c r="J59" s="4" t="str">
        <f>HYPERLINK("http://141.218.60.56/~jnz1568/getInfo.php?workbook=06_02.xlsx&amp;sheet=A0&amp;row=59&amp;col=10&amp;number=&amp;sourceID=34","")</f>
        <v/>
      </c>
      <c r="K59" s="4" t="str">
        <f>HYPERLINK("http://141.218.60.56/~jnz1568/getInfo.php?workbook=06_02.xlsx&amp;sheet=A0&amp;row=59&amp;col=11&amp;number=23520000000&amp;sourceID=30","23520000000")</f>
        <v>23520000000</v>
      </c>
      <c r="L59" s="4" t="str">
        <f>HYPERLINK("http://141.218.60.56/~jnz1568/getInfo.php?workbook=06_02.xlsx&amp;sheet=A0&amp;row=59&amp;col=12&amp;number=&amp;sourceID=30","")</f>
        <v/>
      </c>
      <c r="M59" s="4" t="str">
        <f>HYPERLINK("http://141.218.60.56/~jnz1568/getInfo.php?workbook=06_02.xlsx&amp;sheet=A0&amp;row=59&amp;col=13&amp;number=&amp;sourceID=30","")</f>
        <v/>
      </c>
      <c r="N59" s="4" t="str">
        <f>HYPERLINK("http://141.218.60.56/~jnz1568/getInfo.php?workbook=06_02.xlsx&amp;sheet=A0&amp;row=59&amp;col=14&amp;number=&amp;sourceID=30","")</f>
        <v/>
      </c>
      <c r="O59" s="4" t="str">
        <f>HYPERLINK("http://141.218.60.56/~jnz1568/getInfo.php?workbook=06_02.xlsx&amp;sheet=A0&amp;row=59&amp;col=15&amp;number=23590000000&amp;sourceID=32","23590000000")</f>
        <v>23590000000</v>
      </c>
      <c r="P59" s="4" t="str">
        <f>HYPERLINK("http://141.218.60.56/~jnz1568/getInfo.php?workbook=06_02.xlsx&amp;sheet=A0&amp;row=59&amp;col=16&amp;number=&amp;sourceID=32","")</f>
        <v/>
      </c>
      <c r="Q59" s="4" t="str">
        <f>HYPERLINK("http://141.218.60.56/~jnz1568/getInfo.php?workbook=06_02.xlsx&amp;sheet=A0&amp;row=59&amp;col=17&amp;number=&amp;sourceID=32","")</f>
        <v/>
      </c>
      <c r="R59" s="4" t="str">
        <f>HYPERLINK("http://141.218.60.56/~jnz1568/getInfo.php?workbook=06_02.xlsx&amp;sheet=A0&amp;row=59&amp;col=18&amp;number=&amp;sourceID=32","")</f>
        <v/>
      </c>
    </row>
    <row r="60" spans="1:18">
      <c r="A60" s="3">
        <v>6</v>
      </c>
      <c r="B60" s="3">
        <v>2</v>
      </c>
      <c r="C60" s="3">
        <v>13</v>
      </c>
      <c r="D60" s="3">
        <v>6</v>
      </c>
      <c r="E60" s="3">
        <f>((1/(INDEX(E0!J$4:J$52,C60,1)-INDEX(E0!J$4:J$52,D60,1))))*100000000</f>
        <v>0</v>
      </c>
      <c r="F60" s="4" t="str">
        <f>HYPERLINK("http://141.218.60.56/~jnz1568/getInfo.php?workbook=06_02.xlsx&amp;sheet=A0&amp;row=60&amp;col=6&amp;number=&amp;sourceID=27","")</f>
        <v/>
      </c>
      <c r="G60" s="4" t="str">
        <f>HYPERLINK("http://141.218.60.56/~jnz1568/getInfo.php?workbook=06_02.xlsx&amp;sheet=A0&amp;row=60&amp;col=7&amp;number=1179000000&amp;sourceID=34","1179000000")</f>
        <v>1179000000</v>
      </c>
      <c r="H60" s="4" t="str">
        <f>HYPERLINK("http://141.218.60.56/~jnz1568/getInfo.php?workbook=06_02.xlsx&amp;sheet=A0&amp;row=60&amp;col=8&amp;number=&amp;sourceID=34","")</f>
        <v/>
      </c>
      <c r="I60" s="4" t="str">
        <f>HYPERLINK("http://141.218.60.56/~jnz1568/getInfo.php?workbook=06_02.xlsx&amp;sheet=A0&amp;row=60&amp;col=9&amp;number=&amp;sourceID=34","")</f>
        <v/>
      </c>
      <c r="J60" s="4" t="str">
        <f>HYPERLINK("http://141.218.60.56/~jnz1568/getInfo.php?workbook=06_02.xlsx&amp;sheet=A0&amp;row=60&amp;col=10&amp;number=&amp;sourceID=34","")</f>
        <v/>
      </c>
      <c r="K60" s="4" t="str">
        <f>HYPERLINK("http://141.218.60.56/~jnz1568/getInfo.php?workbook=06_02.xlsx&amp;sheet=A0&amp;row=60&amp;col=11&amp;number=1176000000&amp;sourceID=30","1176000000")</f>
        <v>1176000000</v>
      </c>
      <c r="L60" s="4" t="str">
        <f>HYPERLINK("http://141.218.60.56/~jnz1568/getInfo.php?workbook=06_02.xlsx&amp;sheet=A0&amp;row=60&amp;col=12&amp;number=&amp;sourceID=30","")</f>
        <v/>
      </c>
      <c r="M60" s="4" t="str">
        <f>HYPERLINK("http://141.218.60.56/~jnz1568/getInfo.php?workbook=06_02.xlsx&amp;sheet=A0&amp;row=60&amp;col=13&amp;number=&amp;sourceID=30","")</f>
        <v/>
      </c>
      <c r="N60" s="4" t="str">
        <f>HYPERLINK("http://141.218.60.56/~jnz1568/getInfo.php?workbook=06_02.xlsx&amp;sheet=A0&amp;row=60&amp;col=14&amp;number=4.477e-09&amp;sourceID=30","4.477e-09")</f>
        <v>4.477e-09</v>
      </c>
      <c r="O60" s="4" t="str">
        <f>HYPERLINK("http://141.218.60.56/~jnz1568/getInfo.php?workbook=06_02.xlsx&amp;sheet=A0&amp;row=60&amp;col=15&amp;number=1179000000&amp;sourceID=32","1179000000")</f>
        <v>1179000000</v>
      </c>
      <c r="P60" s="4" t="str">
        <f>HYPERLINK("http://141.218.60.56/~jnz1568/getInfo.php?workbook=06_02.xlsx&amp;sheet=A0&amp;row=60&amp;col=16&amp;number=&amp;sourceID=32","")</f>
        <v/>
      </c>
      <c r="Q60" s="4" t="str">
        <f>HYPERLINK("http://141.218.60.56/~jnz1568/getInfo.php?workbook=06_02.xlsx&amp;sheet=A0&amp;row=60&amp;col=17&amp;number=&amp;sourceID=32","")</f>
        <v/>
      </c>
      <c r="R60" s="4" t="str">
        <f>HYPERLINK("http://141.218.60.56/~jnz1568/getInfo.php?workbook=06_02.xlsx&amp;sheet=A0&amp;row=60&amp;col=18&amp;number=9.113e-06&amp;sourceID=32","9.113e-06")</f>
        <v>9.113e-06</v>
      </c>
    </row>
    <row r="61" spans="1:18">
      <c r="A61" s="3">
        <v>6</v>
      </c>
      <c r="B61" s="3">
        <v>2</v>
      </c>
      <c r="C61" s="3">
        <v>13</v>
      </c>
      <c r="D61" s="3">
        <v>7</v>
      </c>
      <c r="E61" s="3">
        <f>((1/(INDEX(E0!J$4:J$52,C61,1)-INDEX(E0!J$4:J$52,D61,1))))*100000000</f>
        <v>0</v>
      </c>
      <c r="F61" s="4" t="str">
        <f>HYPERLINK("http://141.218.60.56/~jnz1568/getInfo.php?workbook=06_02.xlsx&amp;sheet=A0&amp;row=61&amp;col=6&amp;number=&amp;sourceID=27","")</f>
        <v/>
      </c>
      <c r="G61" s="4" t="str">
        <f>HYPERLINK("http://141.218.60.56/~jnz1568/getInfo.php?workbook=06_02.xlsx&amp;sheet=A0&amp;row=61&amp;col=7&amp;number=&amp;sourceID=34","")</f>
        <v/>
      </c>
      <c r="H61" s="4" t="str">
        <f>HYPERLINK("http://141.218.60.56/~jnz1568/getInfo.php?workbook=06_02.xlsx&amp;sheet=A0&amp;row=61&amp;col=8&amp;number=&amp;sourceID=34","")</f>
        <v/>
      </c>
      <c r="I61" s="4" t="str">
        <f>HYPERLINK("http://141.218.60.56/~jnz1568/getInfo.php?workbook=06_02.xlsx&amp;sheet=A0&amp;row=61&amp;col=9&amp;number=&amp;sourceID=34","")</f>
        <v/>
      </c>
      <c r="J61" s="4" t="str">
        <f>HYPERLINK("http://141.218.60.56/~jnz1568/getInfo.php?workbook=06_02.xlsx&amp;sheet=A0&amp;row=61&amp;col=10&amp;number=&amp;sourceID=34","")</f>
        <v/>
      </c>
      <c r="K61" s="4" t="str">
        <f>HYPERLINK("http://141.218.60.56/~jnz1568/getInfo.php?workbook=06_02.xlsx&amp;sheet=A0&amp;row=61&amp;col=11&amp;number=443400&amp;sourceID=30","443400")</f>
        <v>443400</v>
      </c>
      <c r="L61" s="4" t="str">
        <f>HYPERLINK("http://141.218.60.56/~jnz1568/getInfo.php?workbook=06_02.xlsx&amp;sheet=A0&amp;row=61&amp;col=12&amp;number=&amp;sourceID=30","")</f>
        <v/>
      </c>
      <c r="M61" s="4" t="str">
        <f>HYPERLINK("http://141.218.60.56/~jnz1568/getInfo.php?workbook=06_02.xlsx&amp;sheet=A0&amp;row=61&amp;col=13&amp;number=&amp;sourceID=30","")</f>
        <v/>
      </c>
      <c r="N61" s="4" t="str">
        <f>HYPERLINK("http://141.218.60.56/~jnz1568/getInfo.php?workbook=06_02.xlsx&amp;sheet=A0&amp;row=61&amp;col=14&amp;number=0.6606&amp;sourceID=30","0.6606")</f>
        <v>0.6606</v>
      </c>
      <c r="O61" s="4" t="str">
        <f>HYPERLINK("http://141.218.60.56/~jnz1568/getInfo.php?workbook=06_02.xlsx&amp;sheet=A0&amp;row=61&amp;col=15&amp;number=464200&amp;sourceID=32","464200")</f>
        <v>464200</v>
      </c>
      <c r="P61" s="4" t="str">
        <f>HYPERLINK("http://141.218.60.56/~jnz1568/getInfo.php?workbook=06_02.xlsx&amp;sheet=A0&amp;row=61&amp;col=16&amp;number=&amp;sourceID=32","")</f>
        <v/>
      </c>
      <c r="Q61" s="4" t="str">
        <f>HYPERLINK("http://141.218.60.56/~jnz1568/getInfo.php?workbook=06_02.xlsx&amp;sheet=A0&amp;row=61&amp;col=17&amp;number=&amp;sourceID=32","")</f>
        <v/>
      </c>
      <c r="R61" s="4" t="str">
        <f>HYPERLINK("http://141.218.60.56/~jnz1568/getInfo.php?workbook=06_02.xlsx&amp;sheet=A0&amp;row=61&amp;col=18&amp;number=0.6722&amp;sourceID=32","0.6722")</f>
        <v>0.6722</v>
      </c>
    </row>
    <row r="62" spans="1:18">
      <c r="A62" s="3">
        <v>6</v>
      </c>
      <c r="B62" s="3">
        <v>2</v>
      </c>
      <c r="C62" s="3">
        <v>13</v>
      </c>
      <c r="D62" s="3">
        <v>8</v>
      </c>
      <c r="E62" s="3">
        <f>((1/(INDEX(E0!J$4:J$52,C62,1)-INDEX(E0!J$4:J$52,D62,1))))*100000000</f>
        <v>0</v>
      </c>
      <c r="F62" s="4" t="str">
        <f>HYPERLINK("http://141.218.60.56/~jnz1568/getInfo.php?workbook=06_02.xlsx&amp;sheet=A0&amp;row=62&amp;col=6&amp;number=&amp;sourceID=27","")</f>
        <v/>
      </c>
      <c r="G62" s="4" t="str">
        <f>HYPERLINK("http://141.218.60.56/~jnz1568/getInfo.php?workbook=06_02.xlsx&amp;sheet=A0&amp;row=62&amp;col=7&amp;number=&amp;sourceID=34","")</f>
        <v/>
      </c>
      <c r="H62" s="4" t="str">
        <f>HYPERLINK("http://141.218.60.56/~jnz1568/getInfo.php?workbook=06_02.xlsx&amp;sheet=A0&amp;row=62&amp;col=8&amp;number=&amp;sourceID=34","")</f>
        <v/>
      </c>
      <c r="I62" s="4" t="str">
        <f>HYPERLINK("http://141.218.60.56/~jnz1568/getInfo.php?workbook=06_02.xlsx&amp;sheet=A0&amp;row=62&amp;col=9&amp;number=&amp;sourceID=34","")</f>
        <v/>
      </c>
      <c r="J62" s="4" t="str">
        <f>HYPERLINK("http://141.218.60.56/~jnz1568/getInfo.php?workbook=06_02.xlsx&amp;sheet=A0&amp;row=62&amp;col=10&amp;number=&amp;sourceID=34","")</f>
        <v/>
      </c>
      <c r="K62" s="4" t="str">
        <f>HYPERLINK("http://141.218.60.56/~jnz1568/getInfo.php?workbook=06_02.xlsx&amp;sheet=A0&amp;row=62&amp;col=11&amp;number=&amp;sourceID=30","")</f>
        <v/>
      </c>
      <c r="L62" s="4" t="str">
        <f>HYPERLINK("http://141.218.60.56/~jnz1568/getInfo.php?workbook=06_02.xlsx&amp;sheet=A0&amp;row=62&amp;col=12&amp;number=1.205&amp;sourceID=30","1.205")</f>
        <v>1.205</v>
      </c>
      <c r="M62" s="4" t="str">
        <f>HYPERLINK("http://141.218.60.56/~jnz1568/getInfo.php?workbook=06_02.xlsx&amp;sheet=A0&amp;row=62&amp;col=13&amp;number=3.361e-06&amp;sourceID=30","3.361e-06")</f>
        <v>3.361e-06</v>
      </c>
      <c r="N62" s="4" t="str">
        <f>HYPERLINK("http://141.218.60.56/~jnz1568/getInfo.php?workbook=06_02.xlsx&amp;sheet=A0&amp;row=62&amp;col=14&amp;number=&amp;sourceID=30","")</f>
        <v/>
      </c>
      <c r="O62" s="4" t="str">
        <f>HYPERLINK("http://141.218.60.56/~jnz1568/getInfo.php?workbook=06_02.xlsx&amp;sheet=A0&amp;row=62&amp;col=15&amp;number=&amp;sourceID=32","")</f>
        <v/>
      </c>
      <c r="P62" s="4" t="str">
        <f>HYPERLINK("http://141.218.60.56/~jnz1568/getInfo.php?workbook=06_02.xlsx&amp;sheet=A0&amp;row=62&amp;col=16&amp;number=1.237&amp;sourceID=32","1.237")</f>
        <v>1.237</v>
      </c>
      <c r="Q62" s="4" t="str">
        <f>HYPERLINK("http://141.218.60.56/~jnz1568/getInfo.php?workbook=06_02.xlsx&amp;sheet=A0&amp;row=62&amp;col=17&amp;number=3.362e-06&amp;sourceID=32","3.362e-06")</f>
        <v>3.362e-06</v>
      </c>
      <c r="R62" s="4" t="str">
        <f>HYPERLINK("http://141.218.60.56/~jnz1568/getInfo.php?workbook=06_02.xlsx&amp;sheet=A0&amp;row=62&amp;col=18&amp;number=&amp;sourceID=32","")</f>
        <v/>
      </c>
    </row>
    <row r="63" spans="1:18">
      <c r="A63" s="3">
        <v>6</v>
      </c>
      <c r="B63" s="3">
        <v>2</v>
      </c>
      <c r="C63" s="3">
        <v>13</v>
      </c>
      <c r="D63" s="3">
        <v>9</v>
      </c>
      <c r="E63" s="3">
        <f>((1/(INDEX(E0!J$4:J$52,C63,1)-INDEX(E0!J$4:J$52,D63,1))))*100000000</f>
        <v>0</v>
      </c>
      <c r="F63" s="4" t="str">
        <f>HYPERLINK("http://141.218.60.56/~jnz1568/getInfo.php?workbook=06_02.xlsx&amp;sheet=A0&amp;row=63&amp;col=6&amp;number=&amp;sourceID=27","")</f>
        <v/>
      </c>
      <c r="G63" s="4" t="str">
        <f>HYPERLINK("http://141.218.60.56/~jnz1568/getInfo.php?workbook=06_02.xlsx&amp;sheet=A0&amp;row=63&amp;col=7&amp;number=&amp;sourceID=34","")</f>
        <v/>
      </c>
      <c r="H63" s="4" t="str">
        <f>HYPERLINK("http://141.218.60.56/~jnz1568/getInfo.php?workbook=06_02.xlsx&amp;sheet=A0&amp;row=63&amp;col=8&amp;number=&amp;sourceID=34","")</f>
        <v/>
      </c>
      <c r="I63" s="4" t="str">
        <f>HYPERLINK("http://141.218.60.56/~jnz1568/getInfo.php?workbook=06_02.xlsx&amp;sheet=A0&amp;row=63&amp;col=9&amp;number=&amp;sourceID=34","")</f>
        <v/>
      </c>
      <c r="J63" s="4" t="str">
        <f>HYPERLINK("http://141.218.60.56/~jnz1568/getInfo.php?workbook=06_02.xlsx&amp;sheet=A0&amp;row=63&amp;col=10&amp;number=&amp;sourceID=34","")</f>
        <v/>
      </c>
      <c r="K63" s="4" t="str">
        <f>HYPERLINK("http://141.218.60.56/~jnz1568/getInfo.php?workbook=06_02.xlsx&amp;sheet=A0&amp;row=63&amp;col=11&amp;number=&amp;sourceID=30","")</f>
        <v/>
      </c>
      <c r="L63" s="4" t="str">
        <f>HYPERLINK("http://141.218.60.56/~jnz1568/getInfo.php?workbook=06_02.xlsx&amp;sheet=A0&amp;row=63&amp;col=12&amp;number=&amp;sourceID=30","")</f>
        <v/>
      </c>
      <c r="M63" s="4" t="str">
        <f>HYPERLINK("http://141.218.60.56/~jnz1568/getInfo.php?workbook=06_02.xlsx&amp;sheet=A0&amp;row=63&amp;col=13&amp;number=8.645e-11&amp;sourceID=30","8.645e-11")</f>
        <v>8.645e-11</v>
      </c>
      <c r="N63" s="4" t="str">
        <f>HYPERLINK("http://141.218.60.56/~jnz1568/getInfo.php?workbook=06_02.xlsx&amp;sheet=A0&amp;row=63&amp;col=14&amp;number=&amp;sourceID=30","")</f>
        <v/>
      </c>
      <c r="O63" s="4" t="str">
        <f>HYPERLINK("http://141.218.60.56/~jnz1568/getInfo.php?workbook=06_02.xlsx&amp;sheet=A0&amp;row=63&amp;col=15&amp;number=&amp;sourceID=32","")</f>
        <v/>
      </c>
      <c r="P63" s="4" t="str">
        <f>HYPERLINK("http://141.218.60.56/~jnz1568/getInfo.php?workbook=06_02.xlsx&amp;sheet=A0&amp;row=63&amp;col=16&amp;number=&amp;sourceID=32","")</f>
        <v/>
      </c>
      <c r="Q63" s="4" t="str">
        <f>HYPERLINK("http://141.218.60.56/~jnz1568/getInfo.php?workbook=06_02.xlsx&amp;sheet=A0&amp;row=63&amp;col=17&amp;number=4.488e-10&amp;sourceID=32","4.488e-10")</f>
        <v>4.488e-10</v>
      </c>
      <c r="R63" s="4" t="str">
        <f>HYPERLINK("http://141.218.60.56/~jnz1568/getInfo.php?workbook=06_02.xlsx&amp;sheet=A0&amp;row=63&amp;col=18&amp;number=&amp;sourceID=32","")</f>
        <v/>
      </c>
    </row>
    <row r="64" spans="1:18">
      <c r="A64" s="3">
        <v>6</v>
      </c>
      <c r="B64" s="3">
        <v>2</v>
      </c>
      <c r="C64" s="3">
        <v>13</v>
      </c>
      <c r="D64" s="3">
        <v>10</v>
      </c>
      <c r="E64" s="3">
        <f>((1/(INDEX(E0!J$4:J$52,C64,1)-INDEX(E0!J$4:J$52,D64,1))))*100000000</f>
        <v>0</v>
      </c>
      <c r="F64" s="4" t="str">
        <f>HYPERLINK("http://141.218.60.56/~jnz1568/getInfo.php?workbook=06_02.xlsx&amp;sheet=A0&amp;row=64&amp;col=6&amp;number=&amp;sourceID=27","")</f>
        <v/>
      </c>
      <c r="G64" s="4" t="str">
        <f>HYPERLINK("http://141.218.60.56/~jnz1568/getInfo.php?workbook=06_02.xlsx&amp;sheet=A0&amp;row=64&amp;col=7&amp;number=282300&amp;sourceID=34","282300")</f>
        <v>282300</v>
      </c>
      <c r="H64" s="4" t="str">
        <f>HYPERLINK("http://141.218.60.56/~jnz1568/getInfo.php?workbook=06_02.xlsx&amp;sheet=A0&amp;row=64&amp;col=8&amp;number=&amp;sourceID=34","")</f>
        <v/>
      </c>
      <c r="I64" s="4" t="str">
        <f>HYPERLINK("http://141.218.60.56/~jnz1568/getInfo.php?workbook=06_02.xlsx&amp;sheet=A0&amp;row=64&amp;col=9&amp;number=&amp;sourceID=34","")</f>
        <v/>
      </c>
      <c r="J64" s="4" t="str">
        <f>HYPERLINK("http://141.218.60.56/~jnz1568/getInfo.php?workbook=06_02.xlsx&amp;sheet=A0&amp;row=64&amp;col=10&amp;number=&amp;sourceID=34","")</f>
        <v/>
      </c>
      <c r="K64" s="4" t="str">
        <f>HYPERLINK("http://141.218.60.56/~jnz1568/getInfo.php?workbook=06_02.xlsx&amp;sheet=A0&amp;row=64&amp;col=11&amp;number=250200&amp;sourceID=30","250200")</f>
        <v>250200</v>
      </c>
      <c r="L64" s="4" t="str">
        <f>HYPERLINK("http://141.218.60.56/~jnz1568/getInfo.php?workbook=06_02.xlsx&amp;sheet=A0&amp;row=64&amp;col=12&amp;number=&amp;sourceID=30","")</f>
        <v/>
      </c>
      <c r="M64" s="4" t="str">
        <f>HYPERLINK("http://141.218.60.56/~jnz1568/getInfo.php?workbook=06_02.xlsx&amp;sheet=A0&amp;row=64&amp;col=13&amp;number=&amp;sourceID=30","")</f>
        <v/>
      </c>
      <c r="N64" s="4" t="str">
        <f>HYPERLINK("http://141.218.60.56/~jnz1568/getInfo.php?workbook=06_02.xlsx&amp;sheet=A0&amp;row=64&amp;col=14&amp;number=4.743e-09&amp;sourceID=30","4.743e-09")</f>
        <v>4.743e-09</v>
      </c>
      <c r="O64" s="4" t="str">
        <f>HYPERLINK("http://141.218.60.56/~jnz1568/getInfo.php?workbook=06_02.xlsx&amp;sheet=A0&amp;row=64&amp;col=15&amp;number=283000&amp;sourceID=32","283000")</f>
        <v>283000</v>
      </c>
      <c r="P64" s="4" t="str">
        <f>HYPERLINK("http://141.218.60.56/~jnz1568/getInfo.php?workbook=06_02.xlsx&amp;sheet=A0&amp;row=64&amp;col=16&amp;number=&amp;sourceID=32","")</f>
        <v/>
      </c>
      <c r="Q64" s="4" t="str">
        <f>HYPERLINK("http://141.218.60.56/~jnz1568/getInfo.php?workbook=06_02.xlsx&amp;sheet=A0&amp;row=64&amp;col=17&amp;number=&amp;sourceID=32","")</f>
        <v/>
      </c>
      <c r="R64" s="4" t="str">
        <f>HYPERLINK("http://141.218.60.56/~jnz1568/getInfo.php?workbook=06_02.xlsx&amp;sheet=A0&amp;row=64&amp;col=18&amp;number=5.839e-09&amp;sourceID=32","5.839e-09")</f>
        <v>5.839e-09</v>
      </c>
    </row>
    <row r="65" spans="1:18">
      <c r="A65" s="3">
        <v>6</v>
      </c>
      <c r="B65" s="3">
        <v>2</v>
      </c>
      <c r="C65" s="3">
        <v>13</v>
      </c>
      <c r="D65" s="3">
        <v>11</v>
      </c>
      <c r="E65" s="3">
        <f>((1/(INDEX(E0!J$4:J$52,C65,1)-INDEX(E0!J$4:J$52,D65,1))))*100000000</f>
        <v>0</v>
      </c>
      <c r="F65" s="4" t="str">
        <f>HYPERLINK("http://141.218.60.56/~jnz1568/getInfo.php?workbook=06_02.xlsx&amp;sheet=A0&amp;row=65&amp;col=6&amp;number=&amp;sourceID=27","")</f>
        <v/>
      </c>
      <c r="G65" s="4" t="str">
        <f>HYPERLINK("http://141.218.60.56/~jnz1568/getInfo.php?workbook=06_02.xlsx&amp;sheet=A0&amp;row=65&amp;col=7&amp;number=376000&amp;sourceID=34","376000")</f>
        <v>376000</v>
      </c>
      <c r="H65" s="4" t="str">
        <f>HYPERLINK("http://141.218.60.56/~jnz1568/getInfo.php?workbook=06_02.xlsx&amp;sheet=A0&amp;row=65&amp;col=8&amp;number=&amp;sourceID=34","")</f>
        <v/>
      </c>
      <c r="I65" s="4" t="str">
        <f>HYPERLINK("http://141.218.60.56/~jnz1568/getInfo.php?workbook=06_02.xlsx&amp;sheet=A0&amp;row=65&amp;col=9&amp;number=&amp;sourceID=34","")</f>
        <v/>
      </c>
      <c r="J65" s="4" t="str">
        <f>HYPERLINK("http://141.218.60.56/~jnz1568/getInfo.php?workbook=06_02.xlsx&amp;sheet=A0&amp;row=65&amp;col=10&amp;number=&amp;sourceID=34","")</f>
        <v/>
      </c>
      <c r="K65" s="4" t="str">
        <f>HYPERLINK("http://141.218.60.56/~jnz1568/getInfo.php?workbook=06_02.xlsx&amp;sheet=A0&amp;row=65&amp;col=11&amp;number=333200&amp;sourceID=30","333200")</f>
        <v>333200</v>
      </c>
      <c r="L65" s="4" t="str">
        <f>HYPERLINK("http://141.218.60.56/~jnz1568/getInfo.php?workbook=06_02.xlsx&amp;sheet=A0&amp;row=65&amp;col=12&amp;number=&amp;sourceID=30","")</f>
        <v/>
      </c>
      <c r="M65" s="4" t="str">
        <f>HYPERLINK("http://141.218.60.56/~jnz1568/getInfo.php?workbook=06_02.xlsx&amp;sheet=A0&amp;row=65&amp;col=13&amp;number=&amp;sourceID=30","")</f>
        <v/>
      </c>
      <c r="N65" s="4" t="str">
        <f>HYPERLINK("http://141.218.60.56/~jnz1568/getInfo.php?workbook=06_02.xlsx&amp;sheet=A0&amp;row=65&amp;col=14&amp;number=&amp;sourceID=30","")</f>
        <v/>
      </c>
      <c r="O65" s="4" t="str">
        <f>HYPERLINK("http://141.218.60.56/~jnz1568/getInfo.php?workbook=06_02.xlsx&amp;sheet=A0&amp;row=65&amp;col=15&amp;number=376800&amp;sourceID=32","376800")</f>
        <v>376800</v>
      </c>
      <c r="P65" s="4" t="str">
        <f>HYPERLINK("http://141.218.60.56/~jnz1568/getInfo.php?workbook=06_02.xlsx&amp;sheet=A0&amp;row=65&amp;col=16&amp;number=&amp;sourceID=32","")</f>
        <v/>
      </c>
      <c r="Q65" s="4" t="str">
        <f>HYPERLINK("http://141.218.60.56/~jnz1568/getInfo.php?workbook=06_02.xlsx&amp;sheet=A0&amp;row=65&amp;col=17&amp;number=&amp;sourceID=32","")</f>
        <v/>
      </c>
      <c r="R65" s="4" t="str">
        <f>HYPERLINK("http://141.218.60.56/~jnz1568/getInfo.php?workbook=06_02.xlsx&amp;sheet=A0&amp;row=65&amp;col=18&amp;number=&amp;sourceID=32","")</f>
        <v/>
      </c>
    </row>
    <row r="66" spans="1:18">
      <c r="A66" s="3">
        <v>6</v>
      </c>
      <c r="B66" s="3">
        <v>2</v>
      </c>
      <c r="C66" s="3">
        <v>13</v>
      </c>
      <c r="D66" s="3">
        <v>12</v>
      </c>
      <c r="E66" s="3">
        <f>((1/(INDEX(E0!J$4:J$52,C66,1)-INDEX(E0!J$4:J$52,D66,1))))*100000000</f>
        <v>0</v>
      </c>
      <c r="F66" s="4" t="str">
        <f>HYPERLINK("http://141.218.60.56/~jnz1568/getInfo.php?workbook=06_02.xlsx&amp;sheet=A0&amp;row=66&amp;col=6&amp;number=&amp;sourceID=27","")</f>
        <v/>
      </c>
      <c r="G66" s="4" t="str">
        <f>HYPERLINK("http://141.218.60.56/~jnz1568/getInfo.php?workbook=06_02.xlsx&amp;sheet=A0&amp;row=66&amp;col=7&amp;number=18440&amp;sourceID=34","18440")</f>
        <v>18440</v>
      </c>
      <c r="H66" s="4" t="str">
        <f>HYPERLINK("http://141.218.60.56/~jnz1568/getInfo.php?workbook=06_02.xlsx&amp;sheet=A0&amp;row=66&amp;col=8&amp;number=&amp;sourceID=34","")</f>
        <v/>
      </c>
      <c r="I66" s="4" t="str">
        <f>HYPERLINK("http://141.218.60.56/~jnz1568/getInfo.php?workbook=06_02.xlsx&amp;sheet=A0&amp;row=66&amp;col=9&amp;number=&amp;sourceID=34","")</f>
        <v/>
      </c>
      <c r="J66" s="4" t="str">
        <f>HYPERLINK("http://141.218.60.56/~jnz1568/getInfo.php?workbook=06_02.xlsx&amp;sheet=A0&amp;row=66&amp;col=10&amp;number=&amp;sourceID=34","")</f>
        <v/>
      </c>
      <c r="K66" s="4" t="str">
        <f>HYPERLINK("http://141.218.60.56/~jnz1568/getInfo.php?workbook=06_02.xlsx&amp;sheet=A0&amp;row=66&amp;col=11&amp;number=16300&amp;sourceID=30","16300")</f>
        <v>16300</v>
      </c>
      <c r="L66" s="4" t="str">
        <f>HYPERLINK("http://141.218.60.56/~jnz1568/getInfo.php?workbook=06_02.xlsx&amp;sheet=A0&amp;row=66&amp;col=12&amp;number=&amp;sourceID=30","")</f>
        <v/>
      </c>
      <c r="M66" s="4" t="str">
        <f>HYPERLINK("http://141.218.60.56/~jnz1568/getInfo.php?workbook=06_02.xlsx&amp;sheet=A0&amp;row=66&amp;col=13&amp;number=&amp;sourceID=30","")</f>
        <v/>
      </c>
      <c r="N66" s="4" t="str">
        <f>HYPERLINK("http://141.218.60.56/~jnz1568/getInfo.php?workbook=06_02.xlsx&amp;sheet=A0&amp;row=66&amp;col=14&amp;number=1e-15&amp;sourceID=30","1e-15")</f>
        <v>1e-15</v>
      </c>
      <c r="O66" s="4" t="str">
        <f>HYPERLINK("http://141.218.60.56/~jnz1568/getInfo.php?workbook=06_02.xlsx&amp;sheet=A0&amp;row=66&amp;col=15&amp;number=18450&amp;sourceID=32","18450")</f>
        <v>18450</v>
      </c>
      <c r="P66" s="4" t="str">
        <f>HYPERLINK("http://141.218.60.56/~jnz1568/getInfo.php?workbook=06_02.xlsx&amp;sheet=A0&amp;row=66&amp;col=16&amp;number=&amp;sourceID=32","")</f>
        <v/>
      </c>
      <c r="Q66" s="4" t="str">
        <f>HYPERLINK("http://141.218.60.56/~jnz1568/getInfo.php?workbook=06_02.xlsx&amp;sheet=A0&amp;row=66&amp;col=17&amp;number=&amp;sourceID=32","")</f>
        <v/>
      </c>
      <c r="R66" s="4" t="str">
        <f>HYPERLINK("http://141.218.60.56/~jnz1568/getInfo.php?workbook=06_02.xlsx&amp;sheet=A0&amp;row=66&amp;col=18&amp;number=0&amp;sourceID=32","0")</f>
        <v>0</v>
      </c>
    </row>
    <row r="67" spans="1:18">
      <c r="A67" s="3">
        <v>6</v>
      </c>
      <c r="B67" s="3">
        <v>2</v>
      </c>
      <c r="C67" s="3">
        <v>14</v>
      </c>
      <c r="D67" s="3">
        <v>1</v>
      </c>
      <c r="E67" s="3">
        <f>((1/(INDEX(E0!J$4:J$52,C67,1)-INDEX(E0!J$4:J$52,D67,1))))*100000000</f>
        <v>0</v>
      </c>
      <c r="F67" s="4" t="str">
        <f>HYPERLINK("http://141.218.60.56/~jnz1568/getInfo.php?workbook=06_02.xlsx&amp;sheet=A0&amp;row=67&amp;col=6&amp;number=&amp;sourceID=27","")</f>
        <v/>
      </c>
      <c r="G67" s="4" t="str">
        <f>HYPERLINK("http://141.218.60.56/~jnz1568/getInfo.php?workbook=06_02.xlsx&amp;sheet=A0&amp;row=67&amp;col=7&amp;number=&amp;sourceID=34","")</f>
        <v/>
      </c>
      <c r="H67" s="4" t="str">
        <f>HYPERLINK("http://141.218.60.56/~jnz1568/getInfo.php?workbook=06_02.xlsx&amp;sheet=A0&amp;row=67&amp;col=8&amp;number=&amp;sourceID=34","")</f>
        <v/>
      </c>
      <c r="I67" s="4" t="str">
        <f>HYPERLINK("http://141.218.60.56/~jnz1568/getInfo.php?workbook=06_02.xlsx&amp;sheet=A0&amp;row=67&amp;col=9&amp;number=&amp;sourceID=34","")</f>
        <v/>
      </c>
      <c r="J67" s="4" t="str">
        <f>HYPERLINK("http://141.218.60.56/~jnz1568/getInfo.php?workbook=06_02.xlsx&amp;sheet=A0&amp;row=67&amp;col=10&amp;number=&amp;sourceID=34","")</f>
        <v/>
      </c>
      <c r="K67" s="4" t="str">
        <f>HYPERLINK("http://141.218.60.56/~jnz1568/getInfo.php?workbook=06_02.xlsx&amp;sheet=A0&amp;row=67&amp;col=11&amp;number=&amp;sourceID=30","")</f>
        <v/>
      </c>
      <c r="L67" s="4" t="str">
        <f>HYPERLINK("http://141.218.60.56/~jnz1568/getInfo.php?workbook=06_02.xlsx&amp;sheet=A0&amp;row=67&amp;col=12&amp;number=38170&amp;sourceID=30","38170")</f>
        <v>38170</v>
      </c>
      <c r="M67" s="4" t="str">
        <f>HYPERLINK("http://141.218.60.56/~jnz1568/getInfo.php?workbook=06_02.xlsx&amp;sheet=A0&amp;row=67&amp;col=13&amp;number=&amp;sourceID=30","")</f>
        <v/>
      </c>
      <c r="N67" s="4" t="str">
        <f>HYPERLINK("http://141.218.60.56/~jnz1568/getInfo.php?workbook=06_02.xlsx&amp;sheet=A0&amp;row=67&amp;col=14&amp;number=&amp;sourceID=30","")</f>
        <v/>
      </c>
      <c r="O67" s="4" t="str">
        <f>HYPERLINK("http://141.218.60.56/~jnz1568/getInfo.php?workbook=06_02.xlsx&amp;sheet=A0&amp;row=67&amp;col=15&amp;number=&amp;sourceID=32","")</f>
        <v/>
      </c>
      <c r="P67" s="4" t="str">
        <f>HYPERLINK("http://141.218.60.56/~jnz1568/getInfo.php?workbook=06_02.xlsx&amp;sheet=A0&amp;row=67&amp;col=16&amp;number=83630&amp;sourceID=32","83630")</f>
        <v>83630</v>
      </c>
      <c r="Q67" s="4" t="str">
        <f>HYPERLINK("http://141.218.60.56/~jnz1568/getInfo.php?workbook=06_02.xlsx&amp;sheet=A0&amp;row=67&amp;col=17&amp;number=&amp;sourceID=32","")</f>
        <v/>
      </c>
      <c r="R67" s="4" t="str">
        <f>HYPERLINK("http://141.218.60.56/~jnz1568/getInfo.php?workbook=06_02.xlsx&amp;sheet=A0&amp;row=67&amp;col=18&amp;number=&amp;sourceID=32","")</f>
        <v/>
      </c>
    </row>
    <row r="68" spans="1:18">
      <c r="A68" s="3">
        <v>6</v>
      </c>
      <c r="B68" s="3">
        <v>2</v>
      </c>
      <c r="C68" s="3">
        <v>14</v>
      </c>
      <c r="D68" s="3">
        <v>2</v>
      </c>
      <c r="E68" s="3">
        <f>((1/(INDEX(E0!J$4:J$52,C68,1)-INDEX(E0!J$4:J$52,D68,1))))*100000000</f>
        <v>0</v>
      </c>
      <c r="F68" s="4" t="str">
        <f>HYPERLINK("http://141.218.60.56/~jnz1568/getInfo.php?workbook=06_02.xlsx&amp;sheet=A0&amp;row=68&amp;col=6&amp;number=&amp;sourceID=27","")</f>
        <v/>
      </c>
      <c r="G68" s="4" t="str">
        <f>HYPERLINK("http://141.218.60.56/~jnz1568/getInfo.php?workbook=06_02.xlsx&amp;sheet=A0&amp;row=68&amp;col=7&amp;number=&amp;sourceID=34","")</f>
        <v/>
      </c>
      <c r="H68" s="4" t="str">
        <f>HYPERLINK("http://141.218.60.56/~jnz1568/getInfo.php?workbook=06_02.xlsx&amp;sheet=A0&amp;row=68&amp;col=8&amp;number=&amp;sourceID=34","")</f>
        <v/>
      </c>
      <c r="I68" s="4" t="str">
        <f>HYPERLINK("http://141.218.60.56/~jnz1568/getInfo.php?workbook=06_02.xlsx&amp;sheet=A0&amp;row=68&amp;col=9&amp;number=&amp;sourceID=34","")</f>
        <v/>
      </c>
      <c r="J68" s="4" t="str">
        <f>HYPERLINK("http://141.218.60.56/~jnz1568/getInfo.php?workbook=06_02.xlsx&amp;sheet=A0&amp;row=68&amp;col=10&amp;number=&amp;sourceID=34","")</f>
        <v/>
      </c>
      <c r="K68" s="4" t="str">
        <f>HYPERLINK("http://141.218.60.56/~jnz1568/getInfo.php?workbook=06_02.xlsx&amp;sheet=A0&amp;row=68&amp;col=11&amp;number=&amp;sourceID=30","")</f>
        <v/>
      </c>
      <c r="L68" s="4" t="str">
        <f>HYPERLINK("http://141.218.60.56/~jnz1568/getInfo.php?workbook=06_02.xlsx&amp;sheet=A0&amp;row=68&amp;col=12&amp;number=1212000&amp;sourceID=30","1212000")</f>
        <v>1212000</v>
      </c>
      <c r="M68" s="4" t="str">
        <f>HYPERLINK("http://141.218.60.56/~jnz1568/getInfo.php?workbook=06_02.xlsx&amp;sheet=A0&amp;row=68&amp;col=13&amp;number=0.0002943&amp;sourceID=30","0.0002943")</f>
        <v>0.0002943</v>
      </c>
      <c r="N68" s="4" t="str">
        <f>HYPERLINK("http://141.218.60.56/~jnz1568/getInfo.php?workbook=06_02.xlsx&amp;sheet=A0&amp;row=68&amp;col=14&amp;number=&amp;sourceID=30","")</f>
        <v/>
      </c>
      <c r="O68" s="4" t="str">
        <f>HYPERLINK("http://141.218.60.56/~jnz1568/getInfo.php?workbook=06_02.xlsx&amp;sheet=A0&amp;row=68&amp;col=15&amp;number=&amp;sourceID=32","")</f>
        <v/>
      </c>
      <c r="P68" s="4" t="str">
        <f>HYPERLINK("http://141.218.60.56/~jnz1568/getInfo.php?workbook=06_02.xlsx&amp;sheet=A0&amp;row=68&amp;col=16&amp;number=1221000&amp;sourceID=32","1221000")</f>
        <v>1221000</v>
      </c>
      <c r="Q68" s="4" t="str">
        <f>HYPERLINK("http://141.218.60.56/~jnz1568/getInfo.php?workbook=06_02.xlsx&amp;sheet=A0&amp;row=68&amp;col=17&amp;number=0.0007685&amp;sourceID=32","0.0007685")</f>
        <v>0.0007685</v>
      </c>
      <c r="R68" s="4" t="str">
        <f>HYPERLINK("http://141.218.60.56/~jnz1568/getInfo.php?workbook=06_02.xlsx&amp;sheet=A0&amp;row=68&amp;col=18&amp;number=&amp;sourceID=32","")</f>
        <v/>
      </c>
    </row>
    <row r="69" spans="1:18">
      <c r="A69" s="3">
        <v>6</v>
      </c>
      <c r="B69" s="3">
        <v>2</v>
      </c>
      <c r="C69" s="3">
        <v>14</v>
      </c>
      <c r="D69" s="3">
        <v>3</v>
      </c>
      <c r="E69" s="3">
        <f>((1/(INDEX(E0!J$4:J$52,C69,1)-INDEX(E0!J$4:J$52,D69,1))))*100000000</f>
        <v>0</v>
      </c>
      <c r="F69" s="4" t="str">
        <f>HYPERLINK("http://141.218.60.56/~jnz1568/getInfo.php?workbook=06_02.xlsx&amp;sheet=A0&amp;row=69&amp;col=6&amp;number=&amp;sourceID=27","")</f>
        <v/>
      </c>
      <c r="G69" s="4" t="str">
        <f>HYPERLINK("http://141.218.60.56/~jnz1568/getInfo.php?workbook=06_02.xlsx&amp;sheet=A0&amp;row=69&amp;col=7&amp;number=&amp;sourceID=34","")</f>
        <v/>
      </c>
      <c r="H69" s="4" t="str">
        <f>HYPERLINK("http://141.218.60.56/~jnz1568/getInfo.php?workbook=06_02.xlsx&amp;sheet=A0&amp;row=69&amp;col=8&amp;number=&amp;sourceID=34","")</f>
        <v/>
      </c>
      <c r="I69" s="4" t="str">
        <f>HYPERLINK("http://141.218.60.56/~jnz1568/getInfo.php?workbook=06_02.xlsx&amp;sheet=A0&amp;row=69&amp;col=9&amp;number=&amp;sourceID=34","")</f>
        <v/>
      </c>
      <c r="J69" s="4" t="str">
        <f>HYPERLINK("http://141.218.60.56/~jnz1568/getInfo.php?workbook=06_02.xlsx&amp;sheet=A0&amp;row=69&amp;col=10&amp;number=&amp;sourceID=34","")</f>
        <v/>
      </c>
      <c r="K69" s="4" t="str">
        <f>HYPERLINK("http://141.218.60.56/~jnz1568/getInfo.php?workbook=06_02.xlsx&amp;sheet=A0&amp;row=69&amp;col=11&amp;number=&amp;sourceID=30","")</f>
        <v/>
      </c>
      <c r="L69" s="4" t="str">
        <f>HYPERLINK("http://141.218.60.56/~jnz1568/getInfo.php?workbook=06_02.xlsx&amp;sheet=A0&amp;row=69&amp;col=12&amp;number=2865&amp;sourceID=30","2865")</f>
        <v>2865</v>
      </c>
      <c r="M69" s="4" t="str">
        <f>HYPERLINK("http://141.218.60.56/~jnz1568/getInfo.php?workbook=06_02.xlsx&amp;sheet=A0&amp;row=69&amp;col=13&amp;number=&amp;sourceID=30","")</f>
        <v/>
      </c>
      <c r="N69" s="4" t="str">
        <f>HYPERLINK("http://141.218.60.56/~jnz1568/getInfo.php?workbook=06_02.xlsx&amp;sheet=A0&amp;row=69&amp;col=14&amp;number=&amp;sourceID=30","")</f>
        <v/>
      </c>
      <c r="O69" s="4" t="str">
        <f>HYPERLINK("http://141.218.60.56/~jnz1568/getInfo.php?workbook=06_02.xlsx&amp;sheet=A0&amp;row=69&amp;col=15&amp;number=&amp;sourceID=32","")</f>
        <v/>
      </c>
      <c r="P69" s="4" t="str">
        <f>HYPERLINK("http://141.218.60.56/~jnz1568/getInfo.php?workbook=06_02.xlsx&amp;sheet=A0&amp;row=69&amp;col=16&amp;number=3955&amp;sourceID=32","3955")</f>
        <v>3955</v>
      </c>
      <c r="Q69" s="4" t="str">
        <f>HYPERLINK("http://141.218.60.56/~jnz1568/getInfo.php?workbook=06_02.xlsx&amp;sheet=A0&amp;row=69&amp;col=17&amp;number=&amp;sourceID=32","")</f>
        <v/>
      </c>
      <c r="R69" s="4" t="str">
        <f>HYPERLINK("http://141.218.60.56/~jnz1568/getInfo.php?workbook=06_02.xlsx&amp;sheet=A0&amp;row=69&amp;col=18&amp;number=&amp;sourceID=32","")</f>
        <v/>
      </c>
    </row>
    <row r="70" spans="1:18">
      <c r="A70" s="3">
        <v>6</v>
      </c>
      <c r="B70" s="3">
        <v>2</v>
      </c>
      <c r="C70" s="3">
        <v>14</v>
      </c>
      <c r="D70" s="3">
        <v>4</v>
      </c>
      <c r="E70" s="3">
        <f>((1/(INDEX(E0!J$4:J$52,C70,1)-INDEX(E0!J$4:J$52,D70,1))))*100000000</f>
        <v>0</v>
      </c>
      <c r="F70" s="4" t="str">
        <f>HYPERLINK("http://141.218.60.56/~jnz1568/getInfo.php?workbook=06_02.xlsx&amp;sheet=A0&amp;row=70&amp;col=6&amp;number=&amp;sourceID=27","")</f>
        <v/>
      </c>
      <c r="G70" s="4" t="str">
        <f>HYPERLINK("http://141.218.60.56/~jnz1568/getInfo.php?workbook=06_02.xlsx&amp;sheet=A0&amp;row=70&amp;col=7&amp;number=31880000000&amp;sourceID=34","31880000000")</f>
        <v>31880000000</v>
      </c>
      <c r="H70" s="4" t="str">
        <f>HYPERLINK("http://141.218.60.56/~jnz1568/getInfo.php?workbook=06_02.xlsx&amp;sheet=A0&amp;row=70&amp;col=8&amp;number=&amp;sourceID=34","")</f>
        <v/>
      </c>
      <c r="I70" s="4" t="str">
        <f>HYPERLINK("http://141.218.60.56/~jnz1568/getInfo.php?workbook=06_02.xlsx&amp;sheet=A0&amp;row=70&amp;col=9&amp;number=&amp;sourceID=34","")</f>
        <v/>
      </c>
      <c r="J70" s="4" t="str">
        <f>HYPERLINK("http://141.218.60.56/~jnz1568/getInfo.php?workbook=06_02.xlsx&amp;sheet=A0&amp;row=70&amp;col=10&amp;number=&amp;sourceID=34","")</f>
        <v/>
      </c>
      <c r="K70" s="4" t="str">
        <f>HYPERLINK("http://141.218.60.56/~jnz1568/getInfo.php?workbook=06_02.xlsx&amp;sheet=A0&amp;row=70&amp;col=11&amp;number=31680000000&amp;sourceID=30","31680000000")</f>
        <v>31680000000</v>
      </c>
      <c r="L70" s="4" t="str">
        <f>HYPERLINK("http://141.218.60.56/~jnz1568/getInfo.php?workbook=06_02.xlsx&amp;sheet=A0&amp;row=70&amp;col=12&amp;number=&amp;sourceID=30","")</f>
        <v/>
      </c>
      <c r="M70" s="4" t="str">
        <f>HYPERLINK("http://141.218.60.56/~jnz1568/getInfo.php?workbook=06_02.xlsx&amp;sheet=A0&amp;row=70&amp;col=13&amp;number=&amp;sourceID=30","")</f>
        <v/>
      </c>
      <c r="N70" s="4" t="str">
        <f>HYPERLINK("http://141.218.60.56/~jnz1568/getInfo.php?workbook=06_02.xlsx&amp;sheet=A0&amp;row=70&amp;col=14&amp;number=23.83&amp;sourceID=30","23.83")</f>
        <v>23.83</v>
      </c>
      <c r="O70" s="4" t="str">
        <f>HYPERLINK("http://141.218.60.56/~jnz1568/getInfo.php?workbook=06_02.xlsx&amp;sheet=A0&amp;row=70&amp;col=15&amp;number=31740000000&amp;sourceID=32","31740000000")</f>
        <v>31740000000</v>
      </c>
      <c r="P70" s="4" t="str">
        <f>HYPERLINK("http://141.218.60.56/~jnz1568/getInfo.php?workbook=06_02.xlsx&amp;sheet=A0&amp;row=70&amp;col=16&amp;number=&amp;sourceID=32","")</f>
        <v/>
      </c>
      <c r="Q70" s="4" t="str">
        <f>HYPERLINK("http://141.218.60.56/~jnz1568/getInfo.php?workbook=06_02.xlsx&amp;sheet=A0&amp;row=70&amp;col=17&amp;number=&amp;sourceID=32","")</f>
        <v/>
      </c>
      <c r="R70" s="4" t="str">
        <f>HYPERLINK("http://141.218.60.56/~jnz1568/getInfo.php?workbook=06_02.xlsx&amp;sheet=A0&amp;row=70&amp;col=18&amp;number=23.58&amp;sourceID=32","23.58")</f>
        <v>23.58</v>
      </c>
    </row>
    <row r="71" spans="1:18">
      <c r="A71" s="3">
        <v>6</v>
      </c>
      <c r="B71" s="3">
        <v>2</v>
      </c>
      <c r="C71" s="3">
        <v>14</v>
      </c>
      <c r="D71" s="3">
        <v>5</v>
      </c>
      <c r="E71" s="3">
        <f>((1/(INDEX(E0!J$4:J$52,C71,1)-INDEX(E0!J$4:J$52,D71,1))))*100000000</f>
        <v>0</v>
      </c>
      <c r="F71" s="4" t="str">
        <f>HYPERLINK("http://141.218.60.56/~jnz1568/getInfo.php?workbook=06_02.xlsx&amp;sheet=A0&amp;row=71&amp;col=6&amp;number=&amp;sourceID=27","")</f>
        <v/>
      </c>
      <c r="G71" s="4" t="str">
        <f>HYPERLINK("http://141.218.60.56/~jnz1568/getInfo.php?workbook=06_02.xlsx&amp;sheet=A0&amp;row=71&amp;col=7&amp;number=&amp;sourceID=34","")</f>
        <v/>
      </c>
      <c r="H71" s="4" t="str">
        <f>HYPERLINK("http://141.218.60.56/~jnz1568/getInfo.php?workbook=06_02.xlsx&amp;sheet=A0&amp;row=71&amp;col=8&amp;number=&amp;sourceID=34","")</f>
        <v/>
      </c>
      <c r="I71" s="4" t="str">
        <f>HYPERLINK("http://141.218.60.56/~jnz1568/getInfo.php?workbook=06_02.xlsx&amp;sheet=A0&amp;row=71&amp;col=9&amp;number=&amp;sourceID=34","")</f>
        <v/>
      </c>
      <c r="J71" s="4" t="str">
        <f>HYPERLINK("http://141.218.60.56/~jnz1568/getInfo.php?workbook=06_02.xlsx&amp;sheet=A0&amp;row=71&amp;col=10&amp;number=&amp;sourceID=34","")</f>
        <v/>
      </c>
      <c r="K71" s="4" t="str">
        <f>HYPERLINK("http://141.218.60.56/~jnz1568/getInfo.php?workbook=06_02.xlsx&amp;sheet=A0&amp;row=71&amp;col=11&amp;number=&amp;sourceID=30","")</f>
        <v/>
      </c>
      <c r="L71" s="4" t="str">
        <f>HYPERLINK("http://141.218.60.56/~jnz1568/getInfo.php?workbook=06_02.xlsx&amp;sheet=A0&amp;row=71&amp;col=12&amp;number=&amp;sourceID=30","")</f>
        <v/>
      </c>
      <c r="M71" s="4" t="str">
        <f>HYPERLINK("http://141.218.60.56/~jnz1568/getInfo.php?workbook=06_02.xlsx&amp;sheet=A0&amp;row=71&amp;col=13&amp;number=&amp;sourceID=30","")</f>
        <v/>
      </c>
      <c r="N71" s="4" t="str">
        <f>HYPERLINK("http://141.218.60.56/~jnz1568/getInfo.php?workbook=06_02.xlsx&amp;sheet=A0&amp;row=71&amp;col=14&amp;number=1.239&amp;sourceID=30","1.239")</f>
        <v>1.239</v>
      </c>
      <c r="O71" s="4" t="str">
        <f>HYPERLINK("http://141.218.60.56/~jnz1568/getInfo.php?workbook=06_02.xlsx&amp;sheet=A0&amp;row=71&amp;col=15&amp;number=&amp;sourceID=32","")</f>
        <v/>
      </c>
      <c r="P71" s="4" t="str">
        <f>HYPERLINK("http://141.218.60.56/~jnz1568/getInfo.php?workbook=06_02.xlsx&amp;sheet=A0&amp;row=71&amp;col=16&amp;number=&amp;sourceID=32","")</f>
        <v/>
      </c>
      <c r="Q71" s="4" t="str">
        <f>HYPERLINK("http://141.218.60.56/~jnz1568/getInfo.php?workbook=06_02.xlsx&amp;sheet=A0&amp;row=71&amp;col=17&amp;number=&amp;sourceID=32","")</f>
        <v/>
      </c>
      <c r="R71" s="4" t="str">
        <f>HYPERLINK("http://141.218.60.56/~jnz1568/getInfo.php?workbook=06_02.xlsx&amp;sheet=A0&amp;row=71&amp;col=18&amp;number=1.173&amp;sourceID=32","1.173")</f>
        <v>1.173</v>
      </c>
    </row>
    <row r="72" spans="1:18">
      <c r="A72" s="3">
        <v>6</v>
      </c>
      <c r="B72" s="3">
        <v>2</v>
      </c>
      <c r="C72" s="3">
        <v>14</v>
      </c>
      <c r="D72" s="3">
        <v>6</v>
      </c>
      <c r="E72" s="3">
        <f>((1/(INDEX(E0!J$4:J$52,C72,1)-INDEX(E0!J$4:J$52,D72,1))))*100000000</f>
        <v>0</v>
      </c>
      <c r="F72" s="4" t="str">
        <f>HYPERLINK("http://141.218.60.56/~jnz1568/getInfo.php?workbook=06_02.xlsx&amp;sheet=A0&amp;row=72&amp;col=6&amp;number=&amp;sourceID=27","")</f>
        <v/>
      </c>
      <c r="G72" s="4" t="str">
        <f>HYPERLINK("http://141.218.60.56/~jnz1568/getInfo.php?workbook=06_02.xlsx&amp;sheet=A0&amp;row=72&amp;col=7&amp;number=10610000000&amp;sourceID=34","10610000000")</f>
        <v>10610000000</v>
      </c>
      <c r="H72" s="4" t="str">
        <f>HYPERLINK("http://141.218.60.56/~jnz1568/getInfo.php?workbook=06_02.xlsx&amp;sheet=A0&amp;row=72&amp;col=8&amp;number=&amp;sourceID=34","")</f>
        <v/>
      </c>
      <c r="I72" s="4" t="str">
        <f>HYPERLINK("http://141.218.60.56/~jnz1568/getInfo.php?workbook=06_02.xlsx&amp;sheet=A0&amp;row=72&amp;col=9&amp;number=&amp;sourceID=34","")</f>
        <v/>
      </c>
      <c r="J72" s="4" t="str">
        <f>HYPERLINK("http://141.218.60.56/~jnz1568/getInfo.php?workbook=06_02.xlsx&amp;sheet=A0&amp;row=72&amp;col=10&amp;number=&amp;sourceID=34","")</f>
        <v/>
      </c>
      <c r="K72" s="4" t="str">
        <f>HYPERLINK("http://141.218.60.56/~jnz1568/getInfo.php?workbook=06_02.xlsx&amp;sheet=A0&amp;row=72&amp;col=11&amp;number=10550000000&amp;sourceID=30","10550000000")</f>
        <v>10550000000</v>
      </c>
      <c r="L72" s="4" t="str">
        <f>HYPERLINK("http://141.218.60.56/~jnz1568/getInfo.php?workbook=06_02.xlsx&amp;sheet=A0&amp;row=72&amp;col=12&amp;number=&amp;sourceID=30","")</f>
        <v/>
      </c>
      <c r="M72" s="4" t="str">
        <f>HYPERLINK("http://141.218.60.56/~jnz1568/getInfo.php?workbook=06_02.xlsx&amp;sheet=A0&amp;row=72&amp;col=13&amp;number=&amp;sourceID=30","")</f>
        <v/>
      </c>
      <c r="N72" s="4" t="str">
        <f>HYPERLINK("http://141.218.60.56/~jnz1568/getInfo.php?workbook=06_02.xlsx&amp;sheet=A0&amp;row=72&amp;col=14&amp;number=10.1&amp;sourceID=30","10.1")</f>
        <v>10.1</v>
      </c>
      <c r="O72" s="4" t="str">
        <f>HYPERLINK("http://141.218.60.56/~jnz1568/getInfo.php?workbook=06_02.xlsx&amp;sheet=A0&amp;row=72&amp;col=15&amp;number=10570000000&amp;sourceID=32","10570000000")</f>
        <v>10570000000</v>
      </c>
      <c r="P72" s="4" t="str">
        <f>HYPERLINK("http://141.218.60.56/~jnz1568/getInfo.php?workbook=06_02.xlsx&amp;sheet=A0&amp;row=72&amp;col=16&amp;number=&amp;sourceID=32","")</f>
        <v/>
      </c>
      <c r="Q72" s="4" t="str">
        <f>HYPERLINK("http://141.218.60.56/~jnz1568/getInfo.php?workbook=06_02.xlsx&amp;sheet=A0&amp;row=72&amp;col=17&amp;number=&amp;sourceID=32","")</f>
        <v/>
      </c>
      <c r="R72" s="4" t="str">
        <f>HYPERLINK("http://141.218.60.56/~jnz1568/getInfo.php?workbook=06_02.xlsx&amp;sheet=A0&amp;row=72&amp;col=18&amp;number=9.948&amp;sourceID=32","9.948")</f>
        <v>9.948</v>
      </c>
    </row>
    <row r="73" spans="1:18">
      <c r="A73" s="3">
        <v>6</v>
      </c>
      <c r="B73" s="3">
        <v>2</v>
      </c>
      <c r="C73" s="3">
        <v>14</v>
      </c>
      <c r="D73" s="3">
        <v>7</v>
      </c>
      <c r="E73" s="3">
        <f>((1/(INDEX(E0!J$4:J$52,C73,1)-INDEX(E0!J$4:J$52,D73,1))))*100000000</f>
        <v>0</v>
      </c>
      <c r="F73" s="4" t="str">
        <f>HYPERLINK("http://141.218.60.56/~jnz1568/getInfo.php?workbook=06_02.xlsx&amp;sheet=A0&amp;row=73&amp;col=6&amp;number=&amp;sourceID=27","")</f>
        <v/>
      </c>
      <c r="G73" s="4" t="str">
        <f>HYPERLINK("http://141.218.60.56/~jnz1568/getInfo.php?workbook=06_02.xlsx&amp;sheet=A0&amp;row=73&amp;col=7&amp;number=&amp;sourceID=34","")</f>
        <v/>
      </c>
      <c r="H73" s="4" t="str">
        <f>HYPERLINK("http://141.218.60.56/~jnz1568/getInfo.php?workbook=06_02.xlsx&amp;sheet=A0&amp;row=73&amp;col=8&amp;number=&amp;sourceID=34","")</f>
        <v/>
      </c>
      <c r="I73" s="4" t="str">
        <f>HYPERLINK("http://141.218.60.56/~jnz1568/getInfo.php?workbook=06_02.xlsx&amp;sheet=A0&amp;row=73&amp;col=9&amp;number=&amp;sourceID=34","")</f>
        <v/>
      </c>
      <c r="J73" s="4" t="str">
        <f>HYPERLINK("http://141.218.60.56/~jnz1568/getInfo.php?workbook=06_02.xlsx&amp;sheet=A0&amp;row=73&amp;col=10&amp;number=&amp;sourceID=34","")</f>
        <v/>
      </c>
      <c r="K73" s="4" t="str">
        <f>HYPERLINK("http://141.218.60.56/~jnz1568/getInfo.php?workbook=06_02.xlsx&amp;sheet=A0&amp;row=73&amp;col=11&amp;number=105000000&amp;sourceID=30","105000000")</f>
        <v>105000000</v>
      </c>
      <c r="L73" s="4" t="str">
        <f>HYPERLINK("http://141.218.60.56/~jnz1568/getInfo.php?workbook=06_02.xlsx&amp;sheet=A0&amp;row=73&amp;col=12&amp;number=&amp;sourceID=30","")</f>
        <v/>
      </c>
      <c r="M73" s="4" t="str">
        <f>HYPERLINK("http://141.218.60.56/~jnz1568/getInfo.php?workbook=06_02.xlsx&amp;sheet=A0&amp;row=73&amp;col=13&amp;number=&amp;sourceID=30","")</f>
        <v/>
      </c>
      <c r="N73" s="4" t="str">
        <f>HYPERLINK("http://141.218.60.56/~jnz1568/getInfo.php?workbook=06_02.xlsx&amp;sheet=A0&amp;row=73&amp;col=14&amp;number=5.067&amp;sourceID=30","5.067")</f>
        <v>5.067</v>
      </c>
      <c r="O73" s="4" t="str">
        <f>HYPERLINK("http://141.218.60.56/~jnz1568/getInfo.php?workbook=06_02.xlsx&amp;sheet=A0&amp;row=73&amp;col=15&amp;number=145700000&amp;sourceID=32","145700000")</f>
        <v>145700000</v>
      </c>
      <c r="P73" s="4" t="str">
        <f>HYPERLINK("http://141.218.60.56/~jnz1568/getInfo.php?workbook=06_02.xlsx&amp;sheet=A0&amp;row=73&amp;col=16&amp;number=&amp;sourceID=32","")</f>
        <v/>
      </c>
      <c r="Q73" s="4" t="str">
        <f>HYPERLINK("http://141.218.60.56/~jnz1568/getInfo.php?workbook=06_02.xlsx&amp;sheet=A0&amp;row=73&amp;col=17&amp;number=&amp;sourceID=32","")</f>
        <v/>
      </c>
      <c r="R73" s="4" t="str">
        <f>HYPERLINK("http://141.218.60.56/~jnz1568/getInfo.php?workbook=06_02.xlsx&amp;sheet=A0&amp;row=73&amp;col=18&amp;number=4.986&amp;sourceID=32","4.986")</f>
        <v>4.986</v>
      </c>
    </row>
    <row r="74" spans="1:18">
      <c r="A74" s="3">
        <v>6</v>
      </c>
      <c r="B74" s="3">
        <v>2</v>
      </c>
      <c r="C74" s="3">
        <v>14</v>
      </c>
      <c r="D74" s="3">
        <v>8</v>
      </c>
      <c r="E74" s="3">
        <f>((1/(INDEX(E0!J$4:J$52,C74,1)-INDEX(E0!J$4:J$52,D74,1))))*100000000</f>
        <v>0</v>
      </c>
      <c r="F74" s="4" t="str">
        <f>HYPERLINK("http://141.218.60.56/~jnz1568/getInfo.php?workbook=06_02.xlsx&amp;sheet=A0&amp;row=74&amp;col=6&amp;number=&amp;sourceID=27","")</f>
        <v/>
      </c>
      <c r="G74" s="4" t="str">
        <f>HYPERLINK("http://141.218.60.56/~jnz1568/getInfo.php?workbook=06_02.xlsx&amp;sheet=A0&amp;row=74&amp;col=7&amp;number=&amp;sourceID=34","")</f>
        <v/>
      </c>
      <c r="H74" s="4" t="str">
        <f>HYPERLINK("http://141.218.60.56/~jnz1568/getInfo.php?workbook=06_02.xlsx&amp;sheet=A0&amp;row=74&amp;col=8&amp;number=&amp;sourceID=34","")</f>
        <v/>
      </c>
      <c r="I74" s="4" t="str">
        <f>HYPERLINK("http://141.218.60.56/~jnz1568/getInfo.php?workbook=06_02.xlsx&amp;sheet=A0&amp;row=74&amp;col=9&amp;number=&amp;sourceID=34","")</f>
        <v/>
      </c>
      <c r="J74" s="4" t="str">
        <f>HYPERLINK("http://141.218.60.56/~jnz1568/getInfo.php?workbook=06_02.xlsx&amp;sheet=A0&amp;row=74&amp;col=10&amp;number=&amp;sourceID=34","")</f>
        <v/>
      </c>
      <c r="K74" s="4" t="str">
        <f>HYPERLINK("http://141.218.60.56/~jnz1568/getInfo.php?workbook=06_02.xlsx&amp;sheet=A0&amp;row=74&amp;col=11&amp;number=&amp;sourceID=30","")</f>
        <v/>
      </c>
      <c r="L74" s="4" t="str">
        <f>HYPERLINK("http://141.218.60.56/~jnz1568/getInfo.php?workbook=06_02.xlsx&amp;sheet=A0&amp;row=74&amp;col=12&amp;number=1.201&amp;sourceID=30","1.201")</f>
        <v>1.201</v>
      </c>
      <c r="M74" s="4" t="str">
        <f>HYPERLINK("http://141.218.60.56/~jnz1568/getInfo.php?workbook=06_02.xlsx&amp;sheet=A0&amp;row=74&amp;col=13&amp;number=8.633e-07&amp;sourceID=30","8.633e-07")</f>
        <v>8.633e-07</v>
      </c>
      <c r="N74" s="4" t="str">
        <f>HYPERLINK("http://141.218.60.56/~jnz1568/getInfo.php?workbook=06_02.xlsx&amp;sheet=A0&amp;row=74&amp;col=14&amp;number=&amp;sourceID=30","")</f>
        <v/>
      </c>
      <c r="O74" s="4" t="str">
        <f>HYPERLINK("http://141.218.60.56/~jnz1568/getInfo.php?workbook=06_02.xlsx&amp;sheet=A0&amp;row=74&amp;col=15&amp;number=&amp;sourceID=32","")</f>
        <v/>
      </c>
      <c r="P74" s="4" t="str">
        <f>HYPERLINK("http://141.218.60.56/~jnz1568/getInfo.php?workbook=06_02.xlsx&amp;sheet=A0&amp;row=74&amp;col=16&amp;number=1.232&amp;sourceID=32","1.232")</f>
        <v>1.232</v>
      </c>
      <c r="Q74" s="4" t="str">
        <f>HYPERLINK("http://141.218.60.56/~jnz1568/getInfo.php?workbook=06_02.xlsx&amp;sheet=A0&amp;row=74&amp;col=17&amp;number=9.503e-07&amp;sourceID=32","9.503e-07")</f>
        <v>9.503e-07</v>
      </c>
      <c r="R74" s="4" t="str">
        <f>HYPERLINK("http://141.218.60.56/~jnz1568/getInfo.php?workbook=06_02.xlsx&amp;sheet=A0&amp;row=74&amp;col=18&amp;number=&amp;sourceID=32","")</f>
        <v/>
      </c>
    </row>
    <row r="75" spans="1:18">
      <c r="A75" s="3">
        <v>6</v>
      </c>
      <c r="B75" s="3">
        <v>2</v>
      </c>
      <c r="C75" s="3">
        <v>14</v>
      </c>
      <c r="D75" s="3">
        <v>9</v>
      </c>
      <c r="E75" s="3">
        <f>((1/(INDEX(E0!J$4:J$52,C75,1)-INDEX(E0!J$4:J$52,D75,1))))*100000000</f>
        <v>0</v>
      </c>
      <c r="F75" s="4" t="str">
        <f>HYPERLINK("http://141.218.60.56/~jnz1568/getInfo.php?workbook=06_02.xlsx&amp;sheet=A0&amp;row=75&amp;col=6&amp;number=&amp;sourceID=27","")</f>
        <v/>
      </c>
      <c r="G75" s="4" t="str">
        <f>HYPERLINK("http://141.218.60.56/~jnz1568/getInfo.php?workbook=06_02.xlsx&amp;sheet=A0&amp;row=75&amp;col=7&amp;number=&amp;sourceID=34","")</f>
        <v/>
      </c>
      <c r="H75" s="4" t="str">
        <f>HYPERLINK("http://141.218.60.56/~jnz1568/getInfo.php?workbook=06_02.xlsx&amp;sheet=A0&amp;row=75&amp;col=8&amp;number=&amp;sourceID=34","")</f>
        <v/>
      </c>
      <c r="I75" s="4" t="str">
        <f>HYPERLINK("http://141.218.60.56/~jnz1568/getInfo.php?workbook=06_02.xlsx&amp;sheet=A0&amp;row=75&amp;col=9&amp;number=&amp;sourceID=34","")</f>
        <v/>
      </c>
      <c r="J75" s="4" t="str">
        <f>HYPERLINK("http://141.218.60.56/~jnz1568/getInfo.php?workbook=06_02.xlsx&amp;sheet=A0&amp;row=75&amp;col=10&amp;number=&amp;sourceID=34","")</f>
        <v/>
      </c>
      <c r="K75" s="4" t="str">
        <f>HYPERLINK("http://141.218.60.56/~jnz1568/getInfo.php?workbook=06_02.xlsx&amp;sheet=A0&amp;row=75&amp;col=11&amp;number=&amp;sourceID=30","")</f>
        <v/>
      </c>
      <c r="L75" s="4" t="str">
        <f>HYPERLINK("http://141.218.60.56/~jnz1568/getInfo.php?workbook=06_02.xlsx&amp;sheet=A0&amp;row=75&amp;col=12&amp;number=4.294e-06&amp;sourceID=30","4.294e-06")</f>
        <v>4.294e-06</v>
      </c>
      <c r="M75" s="4" t="str">
        <f>HYPERLINK("http://141.218.60.56/~jnz1568/getInfo.php?workbook=06_02.xlsx&amp;sheet=A0&amp;row=75&amp;col=13&amp;number=&amp;sourceID=30","")</f>
        <v/>
      </c>
      <c r="N75" s="4" t="str">
        <f>HYPERLINK("http://141.218.60.56/~jnz1568/getInfo.php?workbook=06_02.xlsx&amp;sheet=A0&amp;row=75&amp;col=14&amp;number=&amp;sourceID=30","")</f>
        <v/>
      </c>
      <c r="O75" s="4" t="str">
        <f>HYPERLINK("http://141.218.60.56/~jnz1568/getInfo.php?workbook=06_02.xlsx&amp;sheet=A0&amp;row=75&amp;col=15&amp;number=&amp;sourceID=32","")</f>
        <v/>
      </c>
      <c r="P75" s="4" t="str">
        <f>HYPERLINK("http://141.218.60.56/~jnz1568/getInfo.php?workbook=06_02.xlsx&amp;sheet=A0&amp;row=75&amp;col=16&amp;number=2.688e-05&amp;sourceID=32","2.688e-05")</f>
        <v>2.688e-05</v>
      </c>
      <c r="Q75" s="4" t="str">
        <f>HYPERLINK("http://141.218.60.56/~jnz1568/getInfo.php?workbook=06_02.xlsx&amp;sheet=A0&amp;row=75&amp;col=17&amp;number=&amp;sourceID=32","")</f>
        <v/>
      </c>
      <c r="R75" s="4" t="str">
        <f>HYPERLINK("http://141.218.60.56/~jnz1568/getInfo.php?workbook=06_02.xlsx&amp;sheet=A0&amp;row=75&amp;col=18&amp;number=&amp;sourceID=32","")</f>
        <v/>
      </c>
    </row>
    <row r="76" spans="1:18">
      <c r="A76" s="3">
        <v>6</v>
      </c>
      <c r="B76" s="3">
        <v>2</v>
      </c>
      <c r="C76" s="3">
        <v>14</v>
      </c>
      <c r="D76" s="3">
        <v>10</v>
      </c>
      <c r="E76" s="3">
        <f>((1/(INDEX(E0!J$4:J$52,C76,1)-INDEX(E0!J$4:J$52,D76,1))))*100000000</f>
        <v>0</v>
      </c>
      <c r="F76" s="4" t="str">
        <f>HYPERLINK("http://141.218.60.56/~jnz1568/getInfo.php?workbook=06_02.xlsx&amp;sheet=A0&amp;row=76&amp;col=6&amp;number=&amp;sourceID=27","")</f>
        <v/>
      </c>
      <c r="G76" s="4" t="str">
        <f>HYPERLINK("http://141.218.60.56/~jnz1568/getInfo.php?workbook=06_02.xlsx&amp;sheet=A0&amp;row=76&amp;col=7&amp;number=508400&amp;sourceID=34","508400")</f>
        <v>508400</v>
      </c>
      <c r="H76" s="4" t="str">
        <f>HYPERLINK("http://141.218.60.56/~jnz1568/getInfo.php?workbook=06_02.xlsx&amp;sheet=A0&amp;row=76&amp;col=8&amp;number=&amp;sourceID=34","")</f>
        <v/>
      </c>
      <c r="I76" s="4" t="str">
        <f>HYPERLINK("http://141.218.60.56/~jnz1568/getInfo.php?workbook=06_02.xlsx&amp;sheet=A0&amp;row=76&amp;col=9&amp;number=&amp;sourceID=34","")</f>
        <v/>
      </c>
      <c r="J76" s="4" t="str">
        <f>HYPERLINK("http://141.218.60.56/~jnz1568/getInfo.php?workbook=06_02.xlsx&amp;sheet=A0&amp;row=76&amp;col=10&amp;number=&amp;sourceID=34","")</f>
        <v/>
      </c>
      <c r="K76" s="4" t="str">
        <f>HYPERLINK("http://141.218.60.56/~jnz1568/getInfo.php?workbook=06_02.xlsx&amp;sheet=A0&amp;row=76&amp;col=11&amp;number=449300&amp;sourceID=30","449300")</f>
        <v>449300</v>
      </c>
      <c r="L76" s="4" t="str">
        <f>HYPERLINK("http://141.218.60.56/~jnz1568/getInfo.php?workbook=06_02.xlsx&amp;sheet=A0&amp;row=76&amp;col=12&amp;number=&amp;sourceID=30","")</f>
        <v/>
      </c>
      <c r="M76" s="4" t="str">
        <f>HYPERLINK("http://141.218.60.56/~jnz1568/getInfo.php?workbook=06_02.xlsx&amp;sheet=A0&amp;row=76&amp;col=13&amp;number=&amp;sourceID=30","")</f>
        <v/>
      </c>
      <c r="N76" s="4" t="str">
        <f>HYPERLINK("http://141.218.60.56/~jnz1568/getInfo.php?workbook=06_02.xlsx&amp;sheet=A0&amp;row=76&amp;col=14&amp;number=6.721e-08&amp;sourceID=30","6.721e-08")</f>
        <v>6.721e-08</v>
      </c>
      <c r="O76" s="4" t="str">
        <f>HYPERLINK("http://141.218.60.56/~jnz1568/getInfo.php?workbook=06_02.xlsx&amp;sheet=A0&amp;row=76&amp;col=15&amp;number=507700&amp;sourceID=32","507700")</f>
        <v>507700</v>
      </c>
      <c r="P76" s="4" t="str">
        <f>HYPERLINK("http://141.218.60.56/~jnz1568/getInfo.php?workbook=06_02.xlsx&amp;sheet=A0&amp;row=76&amp;col=16&amp;number=&amp;sourceID=32","")</f>
        <v/>
      </c>
      <c r="Q76" s="4" t="str">
        <f>HYPERLINK("http://141.218.60.56/~jnz1568/getInfo.php?workbook=06_02.xlsx&amp;sheet=A0&amp;row=76&amp;col=17&amp;number=&amp;sourceID=32","")</f>
        <v/>
      </c>
      <c r="R76" s="4" t="str">
        <f>HYPERLINK("http://141.218.60.56/~jnz1568/getInfo.php?workbook=06_02.xlsx&amp;sheet=A0&amp;row=76&amp;col=18&amp;number=8.102e-08&amp;sourceID=32","8.102e-08")</f>
        <v>8.102e-08</v>
      </c>
    </row>
    <row r="77" spans="1:18">
      <c r="A77" s="3">
        <v>6</v>
      </c>
      <c r="B77" s="3">
        <v>2</v>
      </c>
      <c r="C77" s="3">
        <v>14</v>
      </c>
      <c r="D77" s="3">
        <v>11</v>
      </c>
      <c r="E77" s="3">
        <f>((1/(INDEX(E0!J$4:J$52,C77,1)-INDEX(E0!J$4:J$52,D77,1))))*100000000</f>
        <v>0</v>
      </c>
      <c r="F77" s="4" t="str">
        <f>HYPERLINK("http://141.218.60.56/~jnz1568/getInfo.php?workbook=06_02.xlsx&amp;sheet=A0&amp;row=77&amp;col=6&amp;number=&amp;sourceID=27","")</f>
        <v/>
      </c>
      <c r="G77" s="4" t="str">
        <f>HYPERLINK("http://141.218.60.56/~jnz1568/getInfo.php?workbook=06_02.xlsx&amp;sheet=A0&amp;row=77&amp;col=7&amp;number=&amp;sourceID=34","")</f>
        <v/>
      </c>
      <c r="H77" s="4" t="str">
        <f>HYPERLINK("http://141.218.60.56/~jnz1568/getInfo.php?workbook=06_02.xlsx&amp;sheet=A0&amp;row=77&amp;col=8&amp;number=&amp;sourceID=34","")</f>
        <v/>
      </c>
      <c r="I77" s="4" t="str">
        <f>HYPERLINK("http://141.218.60.56/~jnz1568/getInfo.php?workbook=06_02.xlsx&amp;sheet=A0&amp;row=77&amp;col=9&amp;number=&amp;sourceID=34","")</f>
        <v/>
      </c>
      <c r="J77" s="4" t="str">
        <f>HYPERLINK("http://141.218.60.56/~jnz1568/getInfo.php?workbook=06_02.xlsx&amp;sheet=A0&amp;row=77&amp;col=10&amp;number=&amp;sourceID=34","")</f>
        <v/>
      </c>
      <c r="K77" s="4" t="str">
        <f>HYPERLINK("http://141.218.60.56/~jnz1568/getInfo.php?workbook=06_02.xlsx&amp;sheet=A0&amp;row=77&amp;col=11&amp;number=&amp;sourceID=30","")</f>
        <v/>
      </c>
      <c r="L77" s="4" t="str">
        <f>HYPERLINK("http://141.218.60.56/~jnz1568/getInfo.php?workbook=06_02.xlsx&amp;sheet=A0&amp;row=77&amp;col=12&amp;number=&amp;sourceID=30","")</f>
        <v/>
      </c>
      <c r="M77" s="4" t="str">
        <f>HYPERLINK("http://141.218.60.56/~jnz1568/getInfo.php?workbook=06_02.xlsx&amp;sheet=A0&amp;row=77&amp;col=13&amp;number=&amp;sourceID=30","")</f>
        <v/>
      </c>
      <c r="N77" s="4" t="str">
        <f>HYPERLINK("http://141.218.60.56/~jnz1568/getInfo.php?workbook=06_02.xlsx&amp;sheet=A0&amp;row=77&amp;col=14&amp;number=3.489e-09&amp;sourceID=30","3.489e-09")</f>
        <v>3.489e-09</v>
      </c>
      <c r="O77" s="4" t="str">
        <f>HYPERLINK("http://141.218.60.56/~jnz1568/getInfo.php?workbook=06_02.xlsx&amp;sheet=A0&amp;row=77&amp;col=15&amp;number=&amp;sourceID=32","")</f>
        <v/>
      </c>
      <c r="P77" s="4" t="str">
        <f>HYPERLINK("http://141.218.60.56/~jnz1568/getInfo.php?workbook=06_02.xlsx&amp;sheet=A0&amp;row=77&amp;col=16&amp;number=&amp;sourceID=32","")</f>
        <v/>
      </c>
      <c r="Q77" s="4" t="str">
        <f>HYPERLINK("http://141.218.60.56/~jnz1568/getInfo.php?workbook=06_02.xlsx&amp;sheet=A0&amp;row=77&amp;col=17&amp;number=&amp;sourceID=32","")</f>
        <v/>
      </c>
      <c r="R77" s="4" t="str">
        <f>HYPERLINK("http://141.218.60.56/~jnz1568/getInfo.php?workbook=06_02.xlsx&amp;sheet=A0&amp;row=77&amp;col=18&amp;number=4.054e-09&amp;sourceID=32","4.054e-09")</f>
        <v>4.054e-09</v>
      </c>
    </row>
    <row r="78" spans="1:18">
      <c r="A78" s="3">
        <v>6</v>
      </c>
      <c r="B78" s="3">
        <v>2</v>
      </c>
      <c r="C78" s="3">
        <v>14</v>
      </c>
      <c r="D78" s="3">
        <v>12</v>
      </c>
      <c r="E78" s="3">
        <f>((1/(INDEX(E0!J$4:J$52,C78,1)-INDEX(E0!J$4:J$52,D78,1))))*100000000</f>
        <v>0</v>
      </c>
      <c r="F78" s="4" t="str">
        <f>HYPERLINK("http://141.218.60.56/~jnz1568/getInfo.php?workbook=06_02.xlsx&amp;sheet=A0&amp;row=78&amp;col=6&amp;number=&amp;sourceID=27","")</f>
        <v/>
      </c>
      <c r="G78" s="4" t="str">
        <f>HYPERLINK("http://141.218.60.56/~jnz1568/getInfo.php?workbook=06_02.xlsx&amp;sheet=A0&amp;row=78&amp;col=7&amp;number=166000&amp;sourceID=34","166000")</f>
        <v>166000</v>
      </c>
      <c r="H78" s="4" t="str">
        <f>HYPERLINK("http://141.218.60.56/~jnz1568/getInfo.php?workbook=06_02.xlsx&amp;sheet=A0&amp;row=78&amp;col=8&amp;number=&amp;sourceID=34","")</f>
        <v/>
      </c>
      <c r="I78" s="4" t="str">
        <f>HYPERLINK("http://141.218.60.56/~jnz1568/getInfo.php?workbook=06_02.xlsx&amp;sheet=A0&amp;row=78&amp;col=9&amp;number=&amp;sourceID=34","")</f>
        <v/>
      </c>
      <c r="J78" s="4" t="str">
        <f>HYPERLINK("http://141.218.60.56/~jnz1568/getInfo.php?workbook=06_02.xlsx&amp;sheet=A0&amp;row=78&amp;col=10&amp;number=&amp;sourceID=34","")</f>
        <v/>
      </c>
      <c r="K78" s="4" t="str">
        <f>HYPERLINK("http://141.218.60.56/~jnz1568/getInfo.php?workbook=06_02.xlsx&amp;sheet=A0&amp;row=78&amp;col=11&amp;number=146500&amp;sourceID=30","146500")</f>
        <v>146500</v>
      </c>
      <c r="L78" s="4" t="str">
        <f>HYPERLINK("http://141.218.60.56/~jnz1568/getInfo.php?workbook=06_02.xlsx&amp;sheet=A0&amp;row=78&amp;col=12&amp;number=&amp;sourceID=30","")</f>
        <v/>
      </c>
      <c r="M78" s="4" t="str">
        <f>HYPERLINK("http://141.218.60.56/~jnz1568/getInfo.php?workbook=06_02.xlsx&amp;sheet=A0&amp;row=78&amp;col=13&amp;number=&amp;sourceID=30","")</f>
        <v/>
      </c>
      <c r="N78" s="4" t="str">
        <f>HYPERLINK("http://141.218.60.56/~jnz1568/getInfo.php?workbook=06_02.xlsx&amp;sheet=A0&amp;row=78&amp;col=14&amp;number=2.752e-08&amp;sourceID=30","2.752e-08")</f>
        <v>2.752e-08</v>
      </c>
      <c r="O78" s="4" t="str">
        <f>HYPERLINK("http://141.218.60.56/~jnz1568/getInfo.php?workbook=06_02.xlsx&amp;sheet=A0&amp;row=78&amp;col=15&amp;number=165600&amp;sourceID=32","165600")</f>
        <v>165600</v>
      </c>
      <c r="P78" s="4" t="str">
        <f>HYPERLINK("http://141.218.60.56/~jnz1568/getInfo.php?workbook=06_02.xlsx&amp;sheet=A0&amp;row=78&amp;col=16&amp;number=&amp;sourceID=32","")</f>
        <v/>
      </c>
      <c r="Q78" s="4" t="str">
        <f>HYPERLINK("http://141.218.60.56/~jnz1568/getInfo.php?workbook=06_02.xlsx&amp;sheet=A0&amp;row=78&amp;col=17&amp;number=&amp;sourceID=32","")</f>
        <v/>
      </c>
      <c r="R78" s="4" t="str">
        <f>HYPERLINK("http://141.218.60.56/~jnz1568/getInfo.php?workbook=06_02.xlsx&amp;sheet=A0&amp;row=78&amp;col=18&amp;number=3.3e-08&amp;sourceID=32","3.3e-08")</f>
        <v>3.3e-08</v>
      </c>
    </row>
    <row r="79" spans="1:18">
      <c r="A79" s="3">
        <v>6</v>
      </c>
      <c r="B79" s="3">
        <v>2</v>
      </c>
      <c r="C79" s="3">
        <v>14</v>
      </c>
      <c r="D79" s="3">
        <v>13</v>
      </c>
      <c r="E79" s="3">
        <f>((1/(INDEX(E0!J$4:J$52,C79,1)-INDEX(E0!J$4:J$52,D79,1))))*100000000</f>
        <v>0</v>
      </c>
      <c r="F79" s="4" t="str">
        <f>HYPERLINK("http://141.218.60.56/~jnz1568/getInfo.php?workbook=06_02.xlsx&amp;sheet=A0&amp;row=79&amp;col=6&amp;number=&amp;sourceID=27","")</f>
        <v/>
      </c>
      <c r="G79" s="4" t="str">
        <f>HYPERLINK("http://141.218.60.56/~jnz1568/getInfo.php?workbook=06_02.xlsx&amp;sheet=A0&amp;row=79&amp;col=7&amp;number=&amp;sourceID=34","")</f>
        <v/>
      </c>
      <c r="H79" s="4" t="str">
        <f>HYPERLINK("http://141.218.60.56/~jnz1568/getInfo.php?workbook=06_02.xlsx&amp;sheet=A0&amp;row=79&amp;col=8&amp;number=&amp;sourceID=34","")</f>
        <v/>
      </c>
      <c r="I79" s="4" t="str">
        <f>HYPERLINK("http://141.218.60.56/~jnz1568/getInfo.php?workbook=06_02.xlsx&amp;sheet=A0&amp;row=79&amp;col=9&amp;number=&amp;sourceID=34","")</f>
        <v/>
      </c>
      <c r="J79" s="4" t="str">
        <f>HYPERLINK("http://141.218.60.56/~jnz1568/getInfo.php?workbook=06_02.xlsx&amp;sheet=A0&amp;row=79&amp;col=10&amp;number=&amp;sourceID=34","")</f>
        <v/>
      </c>
      <c r="K79" s="4" t="str">
        <f>HYPERLINK("http://141.218.60.56/~jnz1568/getInfo.php?workbook=06_02.xlsx&amp;sheet=A0&amp;row=79&amp;col=11&amp;number=&amp;sourceID=30","")</f>
        <v/>
      </c>
      <c r="L79" s="4" t="str">
        <f>HYPERLINK("http://141.218.60.56/~jnz1568/getInfo.php?workbook=06_02.xlsx&amp;sheet=A0&amp;row=79&amp;col=12&amp;number=0&amp;sourceID=30","0")</f>
        <v>0</v>
      </c>
      <c r="M79" s="4" t="str">
        <f>HYPERLINK("http://141.218.60.56/~jnz1568/getInfo.php?workbook=06_02.xlsx&amp;sheet=A0&amp;row=79&amp;col=13&amp;number=1.914e-11&amp;sourceID=30","1.914e-11")</f>
        <v>1.914e-11</v>
      </c>
      <c r="N79" s="4" t="str">
        <f>HYPERLINK("http://141.218.60.56/~jnz1568/getInfo.php?workbook=06_02.xlsx&amp;sheet=A0&amp;row=79&amp;col=14&amp;number=&amp;sourceID=30","")</f>
        <v/>
      </c>
      <c r="O79" s="4" t="str">
        <f>HYPERLINK("http://141.218.60.56/~jnz1568/getInfo.php?workbook=06_02.xlsx&amp;sheet=A0&amp;row=79&amp;col=15&amp;number=&amp;sourceID=32","")</f>
        <v/>
      </c>
      <c r="P79" s="4" t="str">
        <f>HYPERLINK("http://141.218.60.56/~jnz1568/getInfo.php?workbook=06_02.xlsx&amp;sheet=A0&amp;row=79&amp;col=16&amp;number=&amp;sourceID=32","")</f>
        <v/>
      </c>
      <c r="Q79" s="4" t="str">
        <f>HYPERLINK("http://141.218.60.56/~jnz1568/getInfo.php?workbook=06_02.xlsx&amp;sheet=A0&amp;row=79&amp;col=17&amp;number=&amp;sourceID=32","")</f>
        <v/>
      </c>
      <c r="R79" s="4" t="str">
        <f>HYPERLINK("http://141.218.60.56/~jnz1568/getInfo.php?workbook=06_02.xlsx&amp;sheet=A0&amp;row=79&amp;col=18&amp;number=&amp;sourceID=32","")</f>
        <v/>
      </c>
    </row>
    <row r="80" spans="1:18">
      <c r="A80" s="3">
        <v>6</v>
      </c>
      <c r="B80" s="3">
        <v>2</v>
      </c>
      <c r="C80" s="3">
        <v>15</v>
      </c>
      <c r="D80" s="3">
        <v>2</v>
      </c>
      <c r="E80" s="3">
        <f>((1/(INDEX(E0!J$4:J$52,C80,1)-INDEX(E0!J$4:J$52,D80,1))))*100000000</f>
        <v>0</v>
      </c>
      <c r="F80" s="4" t="str">
        <f>HYPERLINK("http://141.218.60.56/~jnz1568/getInfo.php?workbook=06_02.xlsx&amp;sheet=A0&amp;row=80&amp;col=6&amp;number=&amp;sourceID=27","")</f>
        <v/>
      </c>
      <c r="G80" s="4" t="str">
        <f>HYPERLINK("http://141.218.60.56/~jnz1568/getInfo.php?workbook=06_02.xlsx&amp;sheet=A0&amp;row=80&amp;col=7&amp;number=&amp;sourceID=34","")</f>
        <v/>
      </c>
      <c r="H80" s="4" t="str">
        <f>HYPERLINK("http://141.218.60.56/~jnz1568/getInfo.php?workbook=06_02.xlsx&amp;sheet=A0&amp;row=80&amp;col=8&amp;number=&amp;sourceID=34","")</f>
        <v/>
      </c>
      <c r="I80" s="4" t="str">
        <f>HYPERLINK("http://141.218.60.56/~jnz1568/getInfo.php?workbook=06_02.xlsx&amp;sheet=A0&amp;row=80&amp;col=9&amp;number=&amp;sourceID=34","")</f>
        <v/>
      </c>
      <c r="J80" s="4" t="str">
        <f>HYPERLINK("http://141.218.60.56/~jnz1568/getInfo.php?workbook=06_02.xlsx&amp;sheet=A0&amp;row=80&amp;col=10&amp;number=&amp;sourceID=34","")</f>
        <v/>
      </c>
      <c r="K80" s="4" t="str">
        <f>HYPERLINK("http://141.218.60.56/~jnz1568/getInfo.php?workbook=06_02.xlsx&amp;sheet=A0&amp;row=80&amp;col=11&amp;number=&amp;sourceID=30","")</f>
        <v/>
      </c>
      <c r="L80" s="4" t="str">
        <f>HYPERLINK("http://141.218.60.56/~jnz1568/getInfo.php?workbook=06_02.xlsx&amp;sheet=A0&amp;row=80&amp;col=12&amp;number=1216000&amp;sourceID=30","1216000")</f>
        <v>1216000</v>
      </c>
      <c r="M80" s="4" t="str">
        <f>HYPERLINK("http://141.218.60.56/~jnz1568/getInfo.php?workbook=06_02.xlsx&amp;sheet=A0&amp;row=80&amp;col=13&amp;number=&amp;sourceID=30","")</f>
        <v/>
      </c>
      <c r="N80" s="4" t="str">
        <f>HYPERLINK("http://141.218.60.56/~jnz1568/getInfo.php?workbook=06_02.xlsx&amp;sheet=A0&amp;row=80&amp;col=14&amp;number=&amp;sourceID=30","")</f>
        <v/>
      </c>
      <c r="O80" s="4" t="str">
        <f>HYPERLINK("http://141.218.60.56/~jnz1568/getInfo.php?workbook=06_02.xlsx&amp;sheet=A0&amp;row=80&amp;col=15&amp;number=&amp;sourceID=32","")</f>
        <v/>
      </c>
      <c r="P80" s="4" t="str">
        <f>HYPERLINK("http://141.218.60.56/~jnz1568/getInfo.php?workbook=06_02.xlsx&amp;sheet=A0&amp;row=80&amp;col=16&amp;number=1226000&amp;sourceID=32","1226000")</f>
        <v>1226000</v>
      </c>
      <c r="Q80" s="4" t="str">
        <f>HYPERLINK("http://141.218.60.56/~jnz1568/getInfo.php?workbook=06_02.xlsx&amp;sheet=A0&amp;row=80&amp;col=17&amp;number=&amp;sourceID=32","")</f>
        <v/>
      </c>
      <c r="R80" s="4" t="str">
        <f>HYPERLINK("http://141.218.60.56/~jnz1568/getInfo.php?workbook=06_02.xlsx&amp;sheet=A0&amp;row=80&amp;col=18&amp;number=&amp;sourceID=32","")</f>
        <v/>
      </c>
    </row>
    <row r="81" spans="1:18">
      <c r="A81" s="3">
        <v>6</v>
      </c>
      <c r="B81" s="3">
        <v>2</v>
      </c>
      <c r="C81" s="3">
        <v>15</v>
      </c>
      <c r="D81" s="3">
        <v>4</v>
      </c>
      <c r="E81" s="3">
        <f>((1/(INDEX(E0!J$4:J$52,C81,1)-INDEX(E0!J$4:J$52,D81,1))))*100000000</f>
        <v>0</v>
      </c>
      <c r="F81" s="4" t="str">
        <f>HYPERLINK("http://141.218.60.56/~jnz1568/getInfo.php?workbook=06_02.xlsx&amp;sheet=A0&amp;row=81&amp;col=6&amp;number=&amp;sourceID=27","")</f>
        <v/>
      </c>
      <c r="G81" s="4" t="str">
        <f>HYPERLINK("http://141.218.60.56/~jnz1568/getInfo.php?workbook=06_02.xlsx&amp;sheet=A0&amp;row=81&amp;col=7&amp;number=&amp;sourceID=34","")</f>
        <v/>
      </c>
      <c r="H81" s="4" t="str">
        <f>HYPERLINK("http://141.218.60.56/~jnz1568/getInfo.php?workbook=06_02.xlsx&amp;sheet=A0&amp;row=81&amp;col=8&amp;number=&amp;sourceID=34","")</f>
        <v/>
      </c>
      <c r="I81" s="4" t="str">
        <f>HYPERLINK("http://141.218.60.56/~jnz1568/getInfo.php?workbook=06_02.xlsx&amp;sheet=A0&amp;row=81&amp;col=9&amp;number=&amp;sourceID=34","")</f>
        <v/>
      </c>
      <c r="J81" s="4" t="str">
        <f>HYPERLINK("http://141.218.60.56/~jnz1568/getInfo.php?workbook=06_02.xlsx&amp;sheet=A0&amp;row=81&amp;col=10&amp;number=&amp;sourceID=34","")</f>
        <v/>
      </c>
      <c r="K81" s="4" t="str">
        <f>HYPERLINK("http://141.218.60.56/~jnz1568/getInfo.php?workbook=06_02.xlsx&amp;sheet=A0&amp;row=81&amp;col=11&amp;number=&amp;sourceID=30","")</f>
        <v/>
      </c>
      <c r="L81" s="4" t="str">
        <f>HYPERLINK("http://141.218.60.56/~jnz1568/getInfo.php?workbook=06_02.xlsx&amp;sheet=A0&amp;row=81&amp;col=12&amp;number=&amp;sourceID=30","")</f>
        <v/>
      </c>
      <c r="M81" s="4" t="str">
        <f>HYPERLINK("http://141.218.60.56/~jnz1568/getInfo.php?workbook=06_02.xlsx&amp;sheet=A0&amp;row=81&amp;col=13&amp;number=&amp;sourceID=30","")</f>
        <v/>
      </c>
      <c r="N81" s="4" t="str">
        <f>HYPERLINK("http://141.218.60.56/~jnz1568/getInfo.php?workbook=06_02.xlsx&amp;sheet=A0&amp;row=81&amp;col=14&amp;number=1.745&amp;sourceID=30","1.745")</f>
        <v>1.745</v>
      </c>
      <c r="O81" s="4" t="str">
        <f>HYPERLINK("http://141.218.60.56/~jnz1568/getInfo.php?workbook=06_02.xlsx&amp;sheet=A0&amp;row=81&amp;col=15&amp;number=&amp;sourceID=32","")</f>
        <v/>
      </c>
      <c r="P81" s="4" t="str">
        <f>HYPERLINK("http://141.218.60.56/~jnz1568/getInfo.php?workbook=06_02.xlsx&amp;sheet=A0&amp;row=81&amp;col=16&amp;number=&amp;sourceID=32","")</f>
        <v/>
      </c>
      <c r="Q81" s="4" t="str">
        <f>HYPERLINK("http://141.218.60.56/~jnz1568/getInfo.php?workbook=06_02.xlsx&amp;sheet=A0&amp;row=81&amp;col=17&amp;number=&amp;sourceID=32","")</f>
        <v/>
      </c>
      <c r="R81" s="4" t="str">
        <f>HYPERLINK("http://141.218.60.56/~jnz1568/getInfo.php?workbook=06_02.xlsx&amp;sheet=A0&amp;row=81&amp;col=18&amp;number=1.752&amp;sourceID=32","1.752")</f>
        <v>1.752</v>
      </c>
    </row>
    <row r="82" spans="1:18">
      <c r="A82" s="3">
        <v>6</v>
      </c>
      <c r="B82" s="3">
        <v>2</v>
      </c>
      <c r="C82" s="3">
        <v>15</v>
      </c>
      <c r="D82" s="3">
        <v>6</v>
      </c>
      <c r="E82" s="3">
        <f>((1/(INDEX(E0!J$4:J$52,C82,1)-INDEX(E0!J$4:J$52,D82,1))))*100000000</f>
        <v>0</v>
      </c>
      <c r="F82" s="4" t="str">
        <f>HYPERLINK("http://141.218.60.56/~jnz1568/getInfo.php?workbook=06_02.xlsx&amp;sheet=A0&amp;row=82&amp;col=6&amp;number=&amp;sourceID=27","")</f>
        <v/>
      </c>
      <c r="G82" s="4" t="str">
        <f>HYPERLINK("http://141.218.60.56/~jnz1568/getInfo.php?workbook=06_02.xlsx&amp;sheet=A0&amp;row=82&amp;col=7&amp;number=42460000000&amp;sourceID=34","42460000000")</f>
        <v>42460000000</v>
      </c>
      <c r="H82" s="4" t="str">
        <f>HYPERLINK("http://141.218.60.56/~jnz1568/getInfo.php?workbook=06_02.xlsx&amp;sheet=A0&amp;row=82&amp;col=8&amp;number=&amp;sourceID=34","")</f>
        <v/>
      </c>
      <c r="I82" s="4" t="str">
        <f>HYPERLINK("http://141.218.60.56/~jnz1568/getInfo.php?workbook=06_02.xlsx&amp;sheet=A0&amp;row=82&amp;col=9&amp;number=&amp;sourceID=34","")</f>
        <v/>
      </c>
      <c r="J82" s="4" t="str">
        <f>HYPERLINK("http://141.218.60.56/~jnz1568/getInfo.php?workbook=06_02.xlsx&amp;sheet=A0&amp;row=82&amp;col=10&amp;number=&amp;sourceID=34","")</f>
        <v/>
      </c>
      <c r="K82" s="4" t="str">
        <f>HYPERLINK("http://141.218.60.56/~jnz1568/getInfo.php?workbook=06_02.xlsx&amp;sheet=A0&amp;row=82&amp;col=11&amp;number=42330000000&amp;sourceID=30","42330000000")</f>
        <v>42330000000</v>
      </c>
      <c r="L82" s="4" t="str">
        <f>HYPERLINK("http://141.218.60.56/~jnz1568/getInfo.php?workbook=06_02.xlsx&amp;sheet=A0&amp;row=82&amp;col=12&amp;number=&amp;sourceID=30","")</f>
        <v/>
      </c>
      <c r="M82" s="4" t="str">
        <f>HYPERLINK("http://141.218.60.56/~jnz1568/getInfo.php?workbook=06_02.xlsx&amp;sheet=A0&amp;row=82&amp;col=13&amp;number=&amp;sourceID=30","")</f>
        <v/>
      </c>
      <c r="N82" s="4" t="str">
        <f>HYPERLINK("http://141.218.60.56/~jnz1568/getInfo.php?workbook=06_02.xlsx&amp;sheet=A0&amp;row=82&amp;col=14&amp;number=83.4&amp;sourceID=30","83.4")</f>
        <v>83.4</v>
      </c>
      <c r="O82" s="4" t="str">
        <f>HYPERLINK("http://141.218.60.56/~jnz1568/getInfo.php?workbook=06_02.xlsx&amp;sheet=A0&amp;row=82&amp;col=15&amp;number=42460000000&amp;sourceID=32","42460000000")</f>
        <v>42460000000</v>
      </c>
      <c r="P82" s="4" t="str">
        <f>HYPERLINK("http://141.218.60.56/~jnz1568/getInfo.php?workbook=06_02.xlsx&amp;sheet=A0&amp;row=82&amp;col=16&amp;number=&amp;sourceID=32","")</f>
        <v/>
      </c>
      <c r="Q82" s="4" t="str">
        <f>HYPERLINK("http://141.218.60.56/~jnz1568/getInfo.php?workbook=06_02.xlsx&amp;sheet=A0&amp;row=82&amp;col=17&amp;number=&amp;sourceID=32","")</f>
        <v/>
      </c>
      <c r="R82" s="4" t="str">
        <f>HYPERLINK("http://141.218.60.56/~jnz1568/getInfo.php?workbook=06_02.xlsx&amp;sheet=A0&amp;row=82&amp;col=18&amp;number=84.24&amp;sourceID=32","84.24")</f>
        <v>84.24</v>
      </c>
    </row>
    <row r="83" spans="1:18">
      <c r="A83" s="3">
        <v>6</v>
      </c>
      <c r="B83" s="3">
        <v>2</v>
      </c>
      <c r="C83" s="3">
        <v>15</v>
      </c>
      <c r="D83" s="3">
        <v>7</v>
      </c>
      <c r="E83" s="3">
        <f>((1/(INDEX(E0!J$4:J$52,C83,1)-INDEX(E0!J$4:J$52,D83,1))))*100000000</f>
        <v>0</v>
      </c>
      <c r="F83" s="4" t="str">
        <f>HYPERLINK("http://141.218.60.56/~jnz1568/getInfo.php?workbook=06_02.xlsx&amp;sheet=A0&amp;row=83&amp;col=6&amp;number=&amp;sourceID=27","")</f>
        <v/>
      </c>
      <c r="G83" s="4" t="str">
        <f>HYPERLINK("http://141.218.60.56/~jnz1568/getInfo.php?workbook=06_02.xlsx&amp;sheet=A0&amp;row=83&amp;col=7&amp;number=&amp;sourceID=34","")</f>
        <v/>
      </c>
      <c r="H83" s="4" t="str">
        <f>HYPERLINK("http://141.218.60.56/~jnz1568/getInfo.php?workbook=06_02.xlsx&amp;sheet=A0&amp;row=83&amp;col=8&amp;number=&amp;sourceID=34","")</f>
        <v/>
      </c>
      <c r="I83" s="4" t="str">
        <f>HYPERLINK("http://141.218.60.56/~jnz1568/getInfo.php?workbook=06_02.xlsx&amp;sheet=A0&amp;row=83&amp;col=9&amp;number=&amp;sourceID=34","")</f>
        <v/>
      </c>
      <c r="J83" s="4" t="str">
        <f>HYPERLINK("http://141.218.60.56/~jnz1568/getInfo.php?workbook=06_02.xlsx&amp;sheet=A0&amp;row=83&amp;col=10&amp;number=&amp;sourceID=34","")</f>
        <v/>
      </c>
      <c r="K83" s="4" t="str">
        <f>HYPERLINK("http://141.218.60.56/~jnz1568/getInfo.php?workbook=06_02.xlsx&amp;sheet=A0&amp;row=83&amp;col=11&amp;number=&amp;sourceID=30","")</f>
        <v/>
      </c>
      <c r="L83" s="4" t="str">
        <f>HYPERLINK("http://141.218.60.56/~jnz1568/getInfo.php?workbook=06_02.xlsx&amp;sheet=A0&amp;row=83&amp;col=12&amp;number=&amp;sourceID=30","")</f>
        <v/>
      </c>
      <c r="M83" s="4" t="str">
        <f>HYPERLINK("http://141.218.60.56/~jnz1568/getInfo.php?workbook=06_02.xlsx&amp;sheet=A0&amp;row=83&amp;col=13&amp;number=&amp;sourceID=30","")</f>
        <v/>
      </c>
      <c r="N83" s="4" t="str">
        <f>HYPERLINK("http://141.218.60.56/~jnz1568/getInfo.php?workbook=06_02.xlsx&amp;sheet=A0&amp;row=83&amp;col=14&amp;number=24.08&amp;sourceID=30","24.08")</f>
        <v>24.08</v>
      </c>
      <c r="O83" s="4" t="str">
        <f>HYPERLINK("http://141.218.60.56/~jnz1568/getInfo.php?workbook=06_02.xlsx&amp;sheet=A0&amp;row=83&amp;col=15&amp;number=&amp;sourceID=32","")</f>
        <v/>
      </c>
      <c r="P83" s="4" t="str">
        <f>HYPERLINK("http://141.218.60.56/~jnz1568/getInfo.php?workbook=06_02.xlsx&amp;sheet=A0&amp;row=83&amp;col=16&amp;number=&amp;sourceID=32","")</f>
        <v/>
      </c>
      <c r="Q83" s="4" t="str">
        <f>HYPERLINK("http://141.218.60.56/~jnz1568/getInfo.php?workbook=06_02.xlsx&amp;sheet=A0&amp;row=83&amp;col=17&amp;number=&amp;sourceID=32","")</f>
        <v/>
      </c>
      <c r="R83" s="4" t="str">
        <f>HYPERLINK("http://141.218.60.56/~jnz1568/getInfo.php?workbook=06_02.xlsx&amp;sheet=A0&amp;row=83&amp;col=18&amp;number=24.52&amp;sourceID=32","24.52")</f>
        <v>24.52</v>
      </c>
    </row>
    <row r="84" spans="1:18">
      <c r="A84" s="3">
        <v>6</v>
      </c>
      <c r="B84" s="3">
        <v>2</v>
      </c>
      <c r="C84" s="3">
        <v>15</v>
      </c>
      <c r="D84" s="3">
        <v>8</v>
      </c>
      <c r="E84" s="3">
        <f>((1/(INDEX(E0!J$4:J$52,C84,1)-INDEX(E0!J$4:J$52,D84,1))))*100000000</f>
        <v>0</v>
      </c>
      <c r="F84" s="4" t="str">
        <f>HYPERLINK("http://141.218.60.56/~jnz1568/getInfo.php?workbook=06_02.xlsx&amp;sheet=A0&amp;row=84&amp;col=6&amp;number=&amp;sourceID=27","")</f>
        <v/>
      </c>
      <c r="G84" s="4" t="str">
        <f>HYPERLINK("http://141.218.60.56/~jnz1568/getInfo.php?workbook=06_02.xlsx&amp;sheet=A0&amp;row=84&amp;col=7&amp;number=&amp;sourceID=34","")</f>
        <v/>
      </c>
      <c r="H84" s="4" t="str">
        <f>HYPERLINK("http://141.218.60.56/~jnz1568/getInfo.php?workbook=06_02.xlsx&amp;sheet=A0&amp;row=84&amp;col=8&amp;number=&amp;sourceID=34","")</f>
        <v/>
      </c>
      <c r="I84" s="4" t="str">
        <f>HYPERLINK("http://141.218.60.56/~jnz1568/getInfo.php?workbook=06_02.xlsx&amp;sheet=A0&amp;row=84&amp;col=9&amp;number=&amp;sourceID=34","")</f>
        <v/>
      </c>
      <c r="J84" s="4" t="str">
        <f>HYPERLINK("http://141.218.60.56/~jnz1568/getInfo.php?workbook=06_02.xlsx&amp;sheet=A0&amp;row=84&amp;col=10&amp;number=&amp;sourceID=34","")</f>
        <v/>
      </c>
      <c r="K84" s="4" t="str">
        <f>HYPERLINK("http://141.218.60.56/~jnz1568/getInfo.php?workbook=06_02.xlsx&amp;sheet=A0&amp;row=84&amp;col=11&amp;number=&amp;sourceID=30","")</f>
        <v/>
      </c>
      <c r="L84" s="4" t="str">
        <f>HYPERLINK("http://141.218.60.56/~jnz1568/getInfo.php?workbook=06_02.xlsx&amp;sheet=A0&amp;row=84&amp;col=12&amp;number=1.209&amp;sourceID=30","1.209")</f>
        <v>1.209</v>
      </c>
      <c r="M84" s="4" t="str">
        <f>HYPERLINK("http://141.218.60.56/~jnz1568/getInfo.php?workbook=06_02.xlsx&amp;sheet=A0&amp;row=84&amp;col=13&amp;number=&amp;sourceID=30","")</f>
        <v/>
      </c>
      <c r="N84" s="4" t="str">
        <f>HYPERLINK("http://141.218.60.56/~jnz1568/getInfo.php?workbook=06_02.xlsx&amp;sheet=A0&amp;row=84&amp;col=14&amp;number=&amp;sourceID=30","")</f>
        <v/>
      </c>
      <c r="O84" s="4" t="str">
        <f>HYPERLINK("http://141.218.60.56/~jnz1568/getInfo.php?workbook=06_02.xlsx&amp;sheet=A0&amp;row=84&amp;col=15&amp;number=&amp;sourceID=32","")</f>
        <v/>
      </c>
      <c r="P84" s="4" t="str">
        <f>HYPERLINK("http://141.218.60.56/~jnz1568/getInfo.php?workbook=06_02.xlsx&amp;sheet=A0&amp;row=84&amp;col=16&amp;number=1.242&amp;sourceID=32","1.242")</f>
        <v>1.242</v>
      </c>
      <c r="Q84" s="4" t="str">
        <f>HYPERLINK("http://141.218.60.56/~jnz1568/getInfo.php?workbook=06_02.xlsx&amp;sheet=A0&amp;row=84&amp;col=17&amp;number=&amp;sourceID=32","")</f>
        <v/>
      </c>
      <c r="R84" s="4" t="str">
        <f>HYPERLINK("http://141.218.60.56/~jnz1568/getInfo.php?workbook=06_02.xlsx&amp;sheet=A0&amp;row=84&amp;col=18&amp;number=&amp;sourceID=32","")</f>
        <v/>
      </c>
    </row>
    <row r="85" spans="1:18">
      <c r="A85" s="3">
        <v>6</v>
      </c>
      <c r="B85" s="3">
        <v>2</v>
      </c>
      <c r="C85" s="3">
        <v>15</v>
      </c>
      <c r="D85" s="3">
        <v>10</v>
      </c>
      <c r="E85" s="3">
        <f>((1/(INDEX(E0!J$4:J$52,C85,1)-INDEX(E0!J$4:J$52,D85,1))))*100000000</f>
        <v>0</v>
      </c>
      <c r="F85" s="4" t="str">
        <f>HYPERLINK("http://141.218.60.56/~jnz1568/getInfo.php?workbook=06_02.xlsx&amp;sheet=A0&amp;row=85&amp;col=6&amp;number=&amp;sourceID=27","")</f>
        <v/>
      </c>
      <c r="G85" s="4" t="str">
        <f>HYPERLINK("http://141.218.60.56/~jnz1568/getInfo.php?workbook=06_02.xlsx&amp;sheet=A0&amp;row=85&amp;col=7&amp;number=&amp;sourceID=34","")</f>
        <v/>
      </c>
      <c r="H85" s="4" t="str">
        <f>HYPERLINK("http://141.218.60.56/~jnz1568/getInfo.php?workbook=06_02.xlsx&amp;sheet=A0&amp;row=85&amp;col=8&amp;number=&amp;sourceID=34","")</f>
        <v/>
      </c>
      <c r="I85" s="4" t="str">
        <f>HYPERLINK("http://141.218.60.56/~jnz1568/getInfo.php?workbook=06_02.xlsx&amp;sheet=A0&amp;row=85&amp;col=9&amp;number=&amp;sourceID=34","")</f>
        <v/>
      </c>
      <c r="J85" s="4" t="str">
        <f>HYPERLINK("http://141.218.60.56/~jnz1568/getInfo.php?workbook=06_02.xlsx&amp;sheet=A0&amp;row=85&amp;col=10&amp;number=&amp;sourceID=34","")</f>
        <v/>
      </c>
      <c r="K85" s="4" t="str">
        <f>HYPERLINK("http://141.218.60.56/~jnz1568/getInfo.php?workbook=06_02.xlsx&amp;sheet=A0&amp;row=85&amp;col=11&amp;number=&amp;sourceID=30","")</f>
        <v/>
      </c>
      <c r="L85" s="4" t="str">
        <f>HYPERLINK("http://141.218.60.56/~jnz1568/getInfo.php?workbook=06_02.xlsx&amp;sheet=A0&amp;row=85&amp;col=12&amp;number=&amp;sourceID=30","")</f>
        <v/>
      </c>
      <c r="M85" s="4" t="str">
        <f>HYPERLINK("http://141.218.60.56/~jnz1568/getInfo.php?workbook=06_02.xlsx&amp;sheet=A0&amp;row=85&amp;col=13&amp;number=&amp;sourceID=30","")</f>
        <v/>
      </c>
      <c r="N85" s="4" t="str">
        <f>HYPERLINK("http://141.218.60.56/~jnz1568/getInfo.php?workbook=06_02.xlsx&amp;sheet=A0&amp;row=85&amp;col=14&amp;number=4.973e-09&amp;sourceID=30","4.973e-09")</f>
        <v>4.973e-09</v>
      </c>
      <c r="O85" s="4" t="str">
        <f>HYPERLINK("http://141.218.60.56/~jnz1568/getInfo.php?workbook=06_02.xlsx&amp;sheet=A0&amp;row=85&amp;col=15&amp;number=&amp;sourceID=32","")</f>
        <v/>
      </c>
      <c r="P85" s="4" t="str">
        <f>HYPERLINK("http://141.218.60.56/~jnz1568/getInfo.php?workbook=06_02.xlsx&amp;sheet=A0&amp;row=85&amp;col=16&amp;number=&amp;sourceID=32","")</f>
        <v/>
      </c>
      <c r="Q85" s="4" t="str">
        <f>HYPERLINK("http://141.218.60.56/~jnz1568/getInfo.php?workbook=06_02.xlsx&amp;sheet=A0&amp;row=85&amp;col=17&amp;number=&amp;sourceID=32","")</f>
        <v/>
      </c>
      <c r="R85" s="4" t="str">
        <f>HYPERLINK("http://141.218.60.56/~jnz1568/getInfo.php?workbook=06_02.xlsx&amp;sheet=A0&amp;row=85&amp;col=18&amp;number=6.116e-09&amp;sourceID=32","6.116e-09")</f>
        <v>6.116e-09</v>
      </c>
    </row>
    <row r="86" spans="1:18">
      <c r="A86" s="3">
        <v>6</v>
      </c>
      <c r="B86" s="3">
        <v>2</v>
      </c>
      <c r="C86" s="3">
        <v>15</v>
      </c>
      <c r="D86" s="3">
        <v>12</v>
      </c>
      <c r="E86" s="3">
        <f>((1/(INDEX(E0!J$4:J$52,C86,1)-INDEX(E0!J$4:J$52,D86,1))))*100000000</f>
        <v>0</v>
      </c>
      <c r="F86" s="4" t="str">
        <f>HYPERLINK("http://141.218.60.56/~jnz1568/getInfo.php?workbook=06_02.xlsx&amp;sheet=A0&amp;row=86&amp;col=6&amp;number=&amp;sourceID=27","")</f>
        <v/>
      </c>
      <c r="G86" s="4" t="str">
        <f>HYPERLINK("http://141.218.60.56/~jnz1568/getInfo.php?workbook=06_02.xlsx&amp;sheet=A0&amp;row=86&amp;col=7&amp;number=668000&amp;sourceID=34","668000")</f>
        <v>668000</v>
      </c>
      <c r="H86" s="4" t="str">
        <f>HYPERLINK("http://141.218.60.56/~jnz1568/getInfo.php?workbook=06_02.xlsx&amp;sheet=A0&amp;row=86&amp;col=8&amp;number=&amp;sourceID=34","")</f>
        <v/>
      </c>
      <c r="I86" s="4" t="str">
        <f>HYPERLINK("http://141.218.60.56/~jnz1568/getInfo.php?workbook=06_02.xlsx&amp;sheet=A0&amp;row=86&amp;col=9&amp;number=&amp;sourceID=34","")</f>
        <v/>
      </c>
      <c r="J86" s="4" t="str">
        <f>HYPERLINK("http://141.218.60.56/~jnz1568/getInfo.php?workbook=06_02.xlsx&amp;sheet=A0&amp;row=86&amp;col=10&amp;number=&amp;sourceID=34","")</f>
        <v/>
      </c>
      <c r="K86" s="4" t="str">
        <f>HYPERLINK("http://141.218.60.56/~jnz1568/getInfo.php?workbook=06_02.xlsx&amp;sheet=A0&amp;row=86&amp;col=11&amp;number=591600&amp;sourceID=30","591600")</f>
        <v>591600</v>
      </c>
      <c r="L86" s="4" t="str">
        <f>HYPERLINK("http://141.218.60.56/~jnz1568/getInfo.php?workbook=06_02.xlsx&amp;sheet=A0&amp;row=86&amp;col=12&amp;number=&amp;sourceID=30","")</f>
        <v/>
      </c>
      <c r="M86" s="4" t="str">
        <f>HYPERLINK("http://141.218.60.56/~jnz1568/getInfo.php?workbook=06_02.xlsx&amp;sheet=A0&amp;row=86&amp;col=13&amp;number=&amp;sourceID=30","")</f>
        <v/>
      </c>
      <c r="N86" s="4" t="str">
        <f>HYPERLINK("http://141.218.60.56/~jnz1568/getInfo.php?workbook=06_02.xlsx&amp;sheet=A0&amp;row=86&amp;col=14&amp;number=2.296e-07&amp;sourceID=30","2.296e-07")</f>
        <v>2.296e-07</v>
      </c>
      <c r="O86" s="4" t="str">
        <f>HYPERLINK("http://141.218.60.56/~jnz1568/getInfo.php?workbook=06_02.xlsx&amp;sheet=A0&amp;row=86&amp;col=15&amp;number=669300&amp;sourceID=32","669300")</f>
        <v>669300</v>
      </c>
      <c r="P86" s="4" t="str">
        <f>HYPERLINK("http://141.218.60.56/~jnz1568/getInfo.php?workbook=06_02.xlsx&amp;sheet=A0&amp;row=86&amp;col=16&amp;number=&amp;sourceID=32","")</f>
        <v/>
      </c>
      <c r="Q86" s="4" t="str">
        <f>HYPERLINK("http://141.218.60.56/~jnz1568/getInfo.php?workbook=06_02.xlsx&amp;sheet=A0&amp;row=86&amp;col=17&amp;number=&amp;sourceID=32","")</f>
        <v/>
      </c>
      <c r="R86" s="4" t="str">
        <f>HYPERLINK("http://141.218.60.56/~jnz1568/getInfo.php?workbook=06_02.xlsx&amp;sheet=A0&amp;row=86&amp;col=18&amp;number=2.825e-07&amp;sourceID=32","2.825e-07")</f>
        <v>2.825e-07</v>
      </c>
    </row>
    <row r="87" spans="1:18">
      <c r="A87" s="3">
        <v>6</v>
      </c>
      <c r="B87" s="3">
        <v>2</v>
      </c>
      <c r="C87" s="3">
        <v>15</v>
      </c>
      <c r="D87" s="3">
        <v>13</v>
      </c>
      <c r="E87" s="3">
        <f>((1/(INDEX(E0!J$4:J$52,C87,1)-INDEX(E0!J$4:J$52,D87,1))))*100000000</f>
        <v>0</v>
      </c>
      <c r="F87" s="4" t="str">
        <f>HYPERLINK("http://141.218.60.56/~jnz1568/getInfo.php?workbook=06_02.xlsx&amp;sheet=A0&amp;row=87&amp;col=6&amp;number=&amp;sourceID=27","")</f>
        <v/>
      </c>
      <c r="G87" s="4" t="str">
        <f>HYPERLINK("http://141.218.60.56/~jnz1568/getInfo.php?workbook=06_02.xlsx&amp;sheet=A0&amp;row=87&amp;col=7&amp;number=&amp;sourceID=34","")</f>
        <v/>
      </c>
      <c r="H87" s="4" t="str">
        <f>HYPERLINK("http://141.218.60.56/~jnz1568/getInfo.php?workbook=06_02.xlsx&amp;sheet=A0&amp;row=87&amp;col=8&amp;number=&amp;sourceID=34","")</f>
        <v/>
      </c>
      <c r="I87" s="4" t="str">
        <f>HYPERLINK("http://141.218.60.56/~jnz1568/getInfo.php?workbook=06_02.xlsx&amp;sheet=A0&amp;row=87&amp;col=9&amp;number=&amp;sourceID=34","")</f>
        <v/>
      </c>
      <c r="J87" s="4" t="str">
        <f>HYPERLINK("http://141.218.60.56/~jnz1568/getInfo.php?workbook=06_02.xlsx&amp;sheet=A0&amp;row=87&amp;col=10&amp;number=&amp;sourceID=34","")</f>
        <v/>
      </c>
      <c r="K87" s="4" t="str">
        <f>HYPERLINK("http://141.218.60.56/~jnz1568/getInfo.php?workbook=06_02.xlsx&amp;sheet=A0&amp;row=87&amp;col=11&amp;number=&amp;sourceID=30","")</f>
        <v/>
      </c>
      <c r="L87" s="4" t="str">
        <f>HYPERLINK("http://141.218.60.56/~jnz1568/getInfo.php?workbook=06_02.xlsx&amp;sheet=A0&amp;row=87&amp;col=12&amp;number=0&amp;sourceID=30","0")</f>
        <v>0</v>
      </c>
      <c r="M87" s="4" t="str">
        <f>HYPERLINK("http://141.218.60.56/~jnz1568/getInfo.php?workbook=06_02.xlsx&amp;sheet=A0&amp;row=87&amp;col=13&amp;number=&amp;sourceID=30","")</f>
        <v/>
      </c>
      <c r="N87" s="4" t="str">
        <f>HYPERLINK("http://141.218.60.56/~jnz1568/getInfo.php?workbook=06_02.xlsx&amp;sheet=A0&amp;row=87&amp;col=14&amp;number=&amp;sourceID=30","")</f>
        <v/>
      </c>
      <c r="O87" s="4" t="str">
        <f>HYPERLINK("http://141.218.60.56/~jnz1568/getInfo.php?workbook=06_02.xlsx&amp;sheet=A0&amp;row=87&amp;col=15&amp;number=&amp;sourceID=32","")</f>
        <v/>
      </c>
      <c r="P87" s="4" t="str">
        <f>HYPERLINK("http://141.218.60.56/~jnz1568/getInfo.php?workbook=06_02.xlsx&amp;sheet=A0&amp;row=87&amp;col=16&amp;number=&amp;sourceID=32","")</f>
        <v/>
      </c>
      <c r="Q87" s="4" t="str">
        <f>HYPERLINK("http://141.218.60.56/~jnz1568/getInfo.php?workbook=06_02.xlsx&amp;sheet=A0&amp;row=87&amp;col=17&amp;number=&amp;sourceID=32","")</f>
        <v/>
      </c>
      <c r="R87" s="4" t="str">
        <f>HYPERLINK("http://141.218.60.56/~jnz1568/getInfo.php?workbook=06_02.xlsx&amp;sheet=A0&amp;row=87&amp;col=18&amp;number=&amp;sourceID=32","")</f>
        <v/>
      </c>
    </row>
    <row r="88" spans="1:18">
      <c r="A88" s="3">
        <v>6</v>
      </c>
      <c r="B88" s="3">
        <v>2</v>
      </c>
      <c r="C88" s="3">
        <v>15</v>
      </c>
      <c r="D88" s="3">
        <v>14</v>
      </c>
      <c r="E88" s="3">
        <f>((1/(INDEX(E0!J$4:J$52,C88,1)-INDEX(E0!J$4:J$52,D88,1))))*100000000</f>
        <v>0</v>
      </c>
      <c r="F88" s="4" t="str">
        <f>HYPERLINK("http://141.218.60.56/~jnz1568/getInfo.php?workbook=06_02.xlsx&amp;sheet=A0&amp;row=88&amp;col=6&amp;number=&amp;sourceID=27","")</f>
        <v/>
      </c>
      <c r="G88" s="4" t="str">
        <f>HYPERLINK("http://141.218.60.56/~jnz1568/getInfo.php?workbook=06_02.xlsx&amp;sheet=A0&amp;row=88&amp;col=7&amp;number=&amp;sourceID=34","")</f>
        <v/>
      </c>
      <c r="H88" s="4" t="str">
        <f>HYPERLINK("http://141.218.60.56/~jnz1568/getInfo.php?workbook=06_02.xlsx&amp;sheet=A0&amp;row=88&amp;col=8&amp;number=&amp;sourceID=34","")</f>
        <v/>
      </c>
      <c r="I88" s="4" t="str">
        <f>HYPERLINK("http://141.218.60.56/~jnz1568/getInfo.php?workbook=06_02.xlsx&amp;sheet=A0&amp;row=88&amp;col=9&amp;number=&amp;sourceID=34","")</f>
        <v/>
      </c>
      <c r="J88" s="4" t="str">
        <f>HYPERLINK("http://141.218.60.56/~jnz1568/getInfo.php?workbook=06_02.xlsx&amp;sheet=A0&amp;row=88&amp;col=10&amp;number=&amp;sourceID=34","")</f>
        <v/>
      </c>
      <c r="K88" s="4" t="str">
        <f>HYPERLINK("http://141.218.60.56/~jnz1568/getInfo.php?workbook=06_02.xlsx&amp;sheet=A0&amp;row=88&amp;col=11&amp;number=&amp;sourceID=30","")</f>
        <v/>
      </c>
      <c r="L88" s="4" t="str">
        <f>HYPERLINK("http://141.218.60.56/~jnz1568/getInfo.php?workbook=06_02.xlsx&amp;sheet=A0&amp;row=88&amp;col=12&amp;number=0&amp;sourceID=30","0")</f>
        <v>0</v>
      </c>
      <c r="M88" s="4" t="str">
        <f>HYPERLINK("http://141.218.60.56/~jnz1568/getInfo.php?workbook=06_02.xlsx&amp;sheet=A0&amp;row=88&amp;col=13&amp;number=2.481e-08&amp;sourceID=30","2.481e-08")</f>
        <v>2.481e-08</v>
      </c>
      <c r="N88" s="4" t="str">
        <f>HYPERLINK("http://141.218.60.56/~jnz1568/getInfo.php?workbook=06_02.xlsx&amp;sheet=A0&amp;row=88&amp;col=14&amp;number=&amp;sourceID=30","")</f>
        <v/>
      </c>
      <c r="O88" s="4" t="str">
        <f>HYPERLINK("http://141.218.60.56/~jnz1568/getInfo.php?workbook=06_02.xlsx&amp;sheet=A0&amp;row=88&amp;col=15&amp;number=&amp;sourceID=32","")</f>
        <v/>
      </c>
      <c r="P88" s="4" t="str">
        <f>HYPERLINK("http://141.218.60.56/~jnz1568/getInfo.php?workbook=06_02.xlsx&amp;sheet=A0&amp;row=88&amp;col=16&amp;number=&amp;sourceID=32","")</f>
        <v/>
      </c>
      <c r="Q88" s="4" t="str">
        <f>HYPERLINK("http://141.218.60.56/~jnz1568/getInfo.php?workbook=06_02.xlsx&amp;sheet=A0&amp;row=88&amp;col=17&amp;number=&amp;sourceID=32","")</f>
        <v/>
      </c>
      <c r="R88" s="4" t="str">
        <f>HYPERLINK("http://141.218.60.56/~jnz1568/getInfo.php?workbook=06_02.xlsx&amp;sheet=A0&amp;row=88&amp;col=18&amp;number=&amp;sourceID=32","")</f>
        <v/>
      </c>
    </row>
    <row r="89" spans="1:18">
      <c r="A89" s="3">
        <v>6</v>
      </c>
      <c r="B89" s="3">
        <v>2</v>
      </c>
      <c r="C89" s="3">
        <v>16</v>
      </c>
      <c r="D89" s="3">
        <v>1</v>
      </c>
      <c r="E89" s="3">
        <f>((1/(INDEX(E0!J$4:J$52,C89,1)-INDEX(E0!J$4:J$52,D89,1))))*100000000</f>
        <v>0</v>
      </c>
      <c r="F89" s="4" t="str">
        <f>HYPERLINK("http://141.218.60.56/~jnz1568/getInfo.php?workbook=06_02.xlsx&amp;sheet=A0&amp;row=89&amp;col=6&amp;number=&amp;sourceID=27","")</f>
        <v/>
      </c>
      <c r="G89" s="4" t="str">
        <f>HYPERLINK("http://141.218.60.56/~jnz1568/getInfo.php?workbook=06_02.xlsx&amp;sheet=A0&amp;row=89&amp;col=7&amp;number=&amp;sourceID=34","")</f>
        <v/>
      </c>
      <c r="H89" s="4" t="str">
        <f>HYPERLINK("http://141.218.60.56/~jnz1568/getInfo.php?workbook=06_02.xlsx&amp;sheet=A0&amp;row=89&amp;col=8&amp;number==64800000/5&amp;sourceID=34","=64800000/5")</f>
        <v>=64800000/5</v>
      </c>
      <c r="I89" s="4" t="str">
        <f>HYPERLINK("http://141.218.60.56/~jnz1568/getInfo.php?workbook=06_02.xlsx&amp;sheet=A0&amp;row=89&amp;col=9&amp;number=&amp;sourceID=34","")</f>
        <v/>
      </c>
      <c r="J89" s="4" t="str">
        <f>HYPERLINK("http://141.218.60.56/~jnz1568/getInfo.php?workbook=06_02.xlsx&amp;sheet=A0&amp;row=89&amp;col=10&amp;number=&amp;sourceID=34","")</f>
        <v/>
      </c>
      <c r="K89" s="4" t="str">
        <f>HYPERLINK("http://141.218.60.56/~jnz1568/getInfo.php?workbook=06_02.xlsx&amp;sheet=A0&amp;row=89&amp;col=11&amp;number=&amp;sourceID=30","")</f>
        <v/>
      </c>
      <c r="L89" s="4" t="str">
        <f>HYPERLINK("http://141.218.60.56/~jnz1568/getInfo.php?workbook=06_02.xlsx&amp;sheet=A0&amp;row=89&amp;col=12&amp;number=12090000&amp;sourceID=30","12090000")</f>
        <v>12090000</v>
      </c>
      <c r="M89" s="4" t="str">
        <f>HYPERLINK("http://141.218.60.56/~jnz1568/getInfo.php?workbook=06_02.xlsx&amp;sheet=A0&amp;row=89&amp;col=13&amp;number=&amp;sourceID=30","")</f>
        <v/>
      </c>
      <c r="N89" s="4" t="str">
        <f>HYPERLINK("http://141.218.60.56/~jnz1568/getInfo.php?workbook=06_02.xlsx&amp;sheet=A0&amp;row=89&amp;col=14&amp;number=&amp;sourceID=30","")</f>
        <v/>
      </c>
      <c r="O89" s="4" t="str">
        <f>HYPERLINK("http://141.218.60.56/~jnz1568/getInfo.php?workbook=06_02.xlsx&amp;sheet=A0&amp;row=89&amp;col=15&amp;number=&amp;sourceID=32","")</f>
        <v/>
      </c>
      <c r="P89" s="4" t="str">
        <f>HYPERLINK("http://141.218.60.56/~jnz1568/getInfo.php?workbook=06_02.xlsx&amp;sheet=A0&amp;row=89&amp;col=16&amp;number=19360000&amp;sourceID=32","19360000")</f>
        <v>19360000</v>
      </c>
      <c r="Q89" s="4" t="str">
        <f>HYPERLINK("http://141.218.60.56/~jnz1568/getInfo.php?workbook=06_02.xlsx&amp;sheet=A0&amp;row=89&amp;col=17&amp;number=&amp;sourceID=32","")</f>
        <v/>
      </c>
      <c r="R89" s="4" t="str">
        <f>HYPERLINK("http://141.218.60.56/~jnz1568/getInfo.php?workbook=06_02.xlsx&amp;sheet=A0&amp;row=89&amp;col=18&amp;number=&amp;sourceID=32","")</f>
        <v/>
      </c>
    </row>
    <row r="90" spans="1:18">
      <c r="A90" s="3">
        <v>6</v>
      </c>
      <c r="B90" s="3">
        <v>2</v>
      </c>
      <c r="C90" s="3">
        <v>16</v>
      </c>
      <c r="D90" s="3">
        <v>2</v>
      </c>
      <c r="E90" s="3">
        <f>((1/(INDEX(E0!J$4:J$52,C90,1)-INDEX(E0!J$4:J$52,D90,1))))*100000000</f>
        <v>0</v>
      </c>
      <c r="F90" s="4" t="str">
        <f>HYPERLINK("http://141.218.60.56/~jnz1568/getInfo.php?workbook=06_02.xlsx&amp;sheet=A0&amp;row=90&amp;col=6&amp;number=&amp;sourceID=27","")</f>
        <v/>
      </c>
      <c r="G90" s="4" t="str">
        <f>HYPERLINK("http://141.218.60.56/~jnz1568/getInfo.php?workbook=06_02.xlsx&amp;sheet=A0&amp;row=90&amp;col=7&amp;number=&amp;sourceID=34","")</f>
        <v/>
      </c>
      <c r="H90" s="4" t="str">
        <f>HYPERLINK("http://141.218.60.56/~jnz1568/getInfo.php?workbook=06_02.xlsx&amp;sheet=A0&amp;row=90&amp;col=8&amp;number=&amp;sourceID=34","")</f>
        <v/>
      </c>
      <c r="I90" s="4" t="str">
        <f>HYPERLINK("http://141.218.60.56/~jnz1568/getInfo.php?workbook=06_02.xlsx&amp;sheet=A0&amp;row=90&amp;col=9&amp;number=&amp;sourceID=34","")</f>
        <v/>
      </c>
      <c r="J90" s="4" t="str">
        <f>HYPERLINK("http://141.218.60.56/~jnz1568/getInfo.php?workbook=06_02.xlsx&amp;sheet=A0&amp;row=90&amp;col=10&amp;number=&amp;sourceID=34","")</f>
        <v/>
      </c>
      <c r="K90" s="4" t="str">
        <f>HYPERLINK("http://141.218.60.56/~jnz1568/getInfo.php?workbook=06_02.xlsx&amp;sheet=A0&amp;row=90&amp;col=11&amp;number=&amp;sourceID=30","")</f>
        <v/>
      </c>
      <c r="L90" s="4" t="str">
        <f>HYPERLINK("http://141.218.60.56/~jnz1568/getInfo.php?workbook=06_02.xlsx&amp;sheet=A0&amp;row=90&amp;col=12&amp;number=3818&amp;sourceID=30","3818")</f>
        <v>3818</v>
      </c>
      <c r="M90" s="4" t="str">
        <f>HYPERLINK("http://141.218.60.56/~jnz1568/getInfo.php?workbook=06_02.xlsx&amp;sheet=A0&amp;row=90&amp;col=13&amp;number=0.000639&amp;sourceID=30","0.000639")</f>
        <v>0.000639</v>
      </c>
      <c r="N90" s="4" t="str">
        <f>HYPERLINK("http://141.218.60.56/~jnz1568/getInfo.php?workbook=06_02.xlsx&amp;sheet=A0&amp;row=90&amp;col=14&amp;number=&amp;sourceID=30","")</f>
        <v/>
      </c>
      <c r="O90" s="4" t="str">
        <f>HYPERLINK("http://141.218.60.56/~jnz1568/getInfo.php?workbook=06_02.xlsx&amp;sheet=A0&amp;row=90&amp;col=15&amp;number=&amp;sourceID=32","")</f>
        <v/>
      </c>
      <c r="P90" s="4" t="str">
        <f>HYPERLINK("http://141.218.60.56/~jnz1568/getInfo.php?workbook=06_02.xlsx&amp;sheet=A0&amp;row=90&amp;col=16&amp;number=5244&amp;sourceID=32","5244")</f>
        <v>5244</v>
      </c>
      <c r="Q90" s="4" t="str">
        <f>HYPERLINK("http://141.218.60.56/~jnz1568/getInfo.php?workbook=06_02.xlsx&amp;sheet=A0&amp;row=90&amp;col=17&amp;number=0.001091&amp;sourceID=32","0.001091")</f>
        <v>0.001091</v>
      </c>
      <c r="R90" s="4" t="str">
        <f>HYPERLINK("http://141.218.60.56/~jnz1568/getInfo.php?workbook=06_02.xlsx&amp;sheet=A0&amp;row=90&amp;col=18&amp;number=&amp;sourceID=32","")</f>
        <v/>
      </c>
    </row>
    <row r="91" spans="1:18">
      <c r="A91" s="3">
        <v>6</v>
      </c>
      <c r="B91" s="3">
        <v>2</v>
      </c>
      <c r="C91" s="3">
        <v>16</v>
      </c>
      <c r="D91" s="3">
        <v>3</v>
      </c>
      <c r="E91" s="3">
        <f>((1/(INDEX(E0!J$4:J$52,C91,1)-INDEX(E0!J$4:J$52,D91,1))))*100000000</f>
        <v>0</v>
      </c>
      <c r="F91" s="4" t="str">
        <f>HYPERLINK("http://141.218.60.56/~jnz1568/getInfo.php?workbook=06_02.xlsx&amp;sheet=A0&amp;row=91&amp;col=6&amp;number=&amp;sourceID=27","")</f>
        <v/>
      </c>
      <c r="G91" s="4" t="str">
        <f>HYPERLINK("http://141.218.60.56/~jnz1568/getInfo.php?workbook=06_02.xlsx&amp;sheet=A0&amp;row=91&amp;col=7&amp;number=&amp;sourceID=34","")</f>
        <v/>
      </c>
      <c r="H91" s="4" t="str">
        <f>HYPERLINK("http://141.218.60.56/~jnz1568/getInfo.php?workbook=06_02.xlsx&amp;sheet=A0&amp;row=91&amp;col=8&amp;number=618300&amp;sourceID=34","618300")</f>
        <v>618300</v>
      </c>
      <c r="I91" s="4" t="str">
        <f>HYPERLINK("http://141.218.60.56/~jnz1568/getInfo.php?workbook=06_02.xlsx&amp;sheet=A0&amp;row=91&amp;col=9&amp;number=&amp;sourceID=34","")</f>
        <v/>
      </c>
      <c r="J91" s="4" t="str">
        <f>HYPERLINK("http://141.218.60.56/~jnz1568/getInfo.php?workbook=06_02.xlsx&amp;sheet=A0&amp;row=91&amp;col=10&amp;number=&amp;sourceID=34","")</f>
        <v/>
      </c>
      <c r="K91" s="4" t="str">
        <f>HYPERLINK("http://141.218.60.56/~jnz1568/getInfo.php?workbook=06_02.xlsx&amp;sheet=A0&amp;row=91&amp;col=11&amp;number=&amp;sourceID=30","")</f>
        <v/>
      </c>
      <c r="L91" s="4" t="str">
        <f>HYPERLINK("http://141.218.60.56/~jnz1568/getInfo.php?workbook=06_02.xlsx&amp;sheet=A0&amp;row=91&amp;col=12&amp;number=913800&amp;sourceID=30","913800")</f>
        <v>913800</v>
      </c>
      <c r="M91" s="4" t="str">
        <f>HYPERLINK("http://141.218.60.56/~jnz1568/getInfo.php?workbook=06_02.xlsx&amp;sheet=A0&amp;row=91&amp;col=13&amp;number=&amp;sourceID=30","")</f>
        <v/>
      </c>
      <c r="N91" s="4" t="str">
        <f>HYPERLINK("http://141.218.60.56/~jnz1568/getInfo.php?workbook=06_02.xlsx&amp;sheet=A0&amp;row=91&amp;col=14&amp;number=&amp;sourceID=30","")</f>
        <v/>
      </c>
      <c r="O91" s="4" t="str">
        <f>HYPERLINK("http://141.218.60.56/~jnz1568/getInfo.php?workbook=06_02.xlsx&amp;sheet=A0&amp;row=91&amp;col=15&amp;number=&amp;sourceID=32","")</f>
        <v/>
      </c>
      <c r="P91" s="4" t="str">
        <f>HYPERLINK("http://141.218.60.56/~jnz1568/getInfo.php?workbook=06_02.xlsx&amp;sheet=A0&amp;row=91&amp;col=16&amp;number=924400&amp;sourceID=32","924400")</f>
        <v>924400</v>
      </c>
      <c r="Q91" s="4" t="str">
        <f>HYPERLINK("http://141.218.60.56/~jnz1568/getInfo.php?workbook=06_02.xlsx&amp;sheet=A0&amp;row=91&amp;col=17&amp;number=&amp;sourceID=32","")</f>
        <v/>
      </c>
      <c r="R91" s="4" t="str">
        <f>HYPERLINK("http://141.218.60.56/~jnz1568/getInfo.php?workbook=06_02.xlsx&amp;sheet=A0&amp;row=91&amp;col=18&amp;number=&amp;sourceID=32","")</f>
        <v/>
      </c>
    </row>
    <row r="92" spans="1:18">
      <c r="A92" s="3">
        <v>6</v>
      </c>
      <c r="B92" s="3">
        <v>2</v>
      </c>
      <c r="C92" s="3">
        <v>16</v>
      </c>
      <c r="D92" s="3">
        <v>4</v>
      </c>
      <c r="E92" s="3">
        <f>((1/(INDEX(E0!J$4:J$52,C92,1)-INDEX(E0!J$4:J$52,D92,1))))*100000000</f>
        <v>0</v>
      </c>
      <c r="F92" s="4" t="str">
        <f>HYPERLINK("http://141.218.60.56/~jnz1568/getInfo.php?workbook=06_02.xlsx&amp;sheet=A0&amp;row=92&amp;col=6&amp;number=&amp;sourceID=27","")</f>
        <v/>
      </c>
      <c r="G92" s="4" t="str">
        <f>HYPERLINK("http://141.218.60.56/~jnz1568/getInfo.php?workbook=06_02.xlsx&amp;sheet=A0&amp;row=92&amp;col=7&amp;number=&amp;sourceID=34","")</f>
        <v/>
      </c>
      <c r="H92" s="4" t="str">
        <f>HYPERLINK("http://141.218.60.56/~jnz1568/getInfo.php?workbook=06_02.xlsx&amp;sheet=A0&amp;row=92&amp;col=8&amp;number=&amp;sourceID=34","")</f>
        <v/>
      </c>
      <c r="I92" s="4" t="str">
        <f>HYPERLINK("http://141.218.60.56/~jnz1568/getInfo.php?workbook=06_02.xlsx&amp;sheet=A0&amp;row=92&amp;col=9&amp;number=&amp;sourceID=34","")</f>
        <v/>
      </c>
      <c r="J92" s="4" t="str">
        <f>HYPERLINK("http://141.218.60.56/~jnz1568/getInfo.php?workbook=06_02.xlsx&amp;sheet=A0&amp;row=92&amp;col=10&amp;number=&amp;sourceID=34","")</f>
        <v/>
      </c>
      <c r="K92" s="4" t="str">
        <f>HYPERLINK("http://141.218.60.56/~jnz1568/getInfo.php?workbook=06_02.xlsx&amp;sheet=A0&amp;row=92&amp;col=11&amp;number=79170000&amp;sourceID=30","79170000")</f>
        <v>79170000</v>
      </c>
      <c r="L92" s="4" t="str">
        <f>HYPERLINK("http://141.218.60.56/~jnz1568/getInfo.php?workbook=06_02.xlsx&amp;sheet=A0&amp;row=92&amp;col=12&amp;number=&amp;sourceID=30","")</f>
        <v/>
      </c>
      <c r="M92" s="4" t="str">
        <f>HYPERLINK("http://141.218.60.56/~jnz1568/getInfo.php?workbook=06_02.xlsx&amp;sheet=A0&amp;row=92&amp;col=13&amp;number=&amp;sourceID=30","")</f>
        <v/>
      </c>
      <c r="N92" s="4" t="str">
        <f>HYPERLINK("http://141.218.60.56/~jnz1568/getInfo.php?workbook=06_02.xlsx&amp;sheet=A0&amp;row=92&amp;col=14&amp;number=25.1&amp;sourceID=30","25.1")</f>
        <v>25.1</v>
      </c>
      <c r="O92" s="4" t="str">
        <f>HYPERLINK("http://141.218.60.56/~jnz1568/getInfo.php?workbook=06_02.xlsx&amp;sheet=A0&amp;row=92&amp;col=15&amp;number=111600000&amp;sourceID=32","111600000")</f>
        <v>111600000</v>
      </c>
      <c r="P92" s="4" t="str">
        <f>HYPERLINK("http://141.218.60.56/~jnz1568/getInfo.php?workbook=06_02.xlsx&amp;sheet=A0&amp;row=92&amp;col=16&amp;number=&amp;sourceID=32","")</f>
        <v/>
      </c>
      <c r="Q92" s="4" t="str">
        <f>HYPERLINK("http://141.218.60.56/~jnz1568/getInfo.php?workbook=06_02.xlsx&amp;sheet=A0&amp;row=92&amp;col=17&amp;number=&amp;sourceID=32","")</f>
        <v/>
      </c>
      <c r="R92" s="4" t="str">
        <f>HYPERLINK("http://141.218.60.56/~jnz1568/getInfo.php?workbook=06_02.xlsx&amp;sheet=A0&amp;row=92&amp;col=18&amp;number=25.93&amp;sourceID=32","25.93")</f>
        <v>25.93</v>
      </c>
    </row>
    <row r="93" spans="1:18">
      <c r="A93" s="3">
        <v>6</v>
      </c>
      <c r="B93" s="3">
        <v>2</v>
      </c>
      <c r="C93" s="3">
        <v>16</v>
      </c>
      <c r="D93" s="3">
        <v>5</v>
      </c>
      <c r="E93" s="3">
        <f>((1/(INDEX(E0!J$4:J$52,C93,1)-INDEX(E0!J$4:J$52,D93,1))))*100000000</f>
        <v>0</v>
      </c>
      <c r="F93" s="4" t="str">
        <f>HYPERLINK("http://141.218.60.56/~jnz1568/getInfo.php?workbook=06_02.xlsx&amp;sheet=A0&amp;row=93&amp;col=6&amp;number=&amp;sourceID=27","")</f>
        <v/>
      </c>
      <c r="G93" s="4" t="str">
        <f>HYPERLINK("http://141.218.60.56/~jnz1568/getInfo.php?workbook=06_02.xlsx&amp;sheet=A0&amp;row=93&amp;col=7&amp;number=&amp;sourceID=34","")</f>
        <v/>
      </c>
      <c r="H93" s="4" t="str">
        <f>HYPERLINK("http://141.218.60.56/~jnz1568/getInfo.php?workbook=06_02.xlsx&amp;sheet=A0&amp;row=93&amp;col=8&amp;number=&amp;sourceID=34","")</f>
        <v/>
      </c>
      <c r="I93" s="4" t="str">
        <f>HYPERLINK("http://141.218.60.56/~jnz1568/getInfo.php?workbook=06_02.xlsx&amp;sheet=A0&amp;row=93&amp;col=9&amp;number=&amp;sourceID=34","")</f>
        <v/>
      </c>
      <c r="J93" s="4" t="str">
        <f>HYPERLINK("http://141.218.60.56/~jnz1568/getInfo.php?workbook=06_02.xlsx&amp;sheet=A0&amp;row=93&amp;col=10&amp;number=&amp;sourceID=34","")</f>
        <v/>
      </c>
      <c r="K93" s="4" t="str">
        <f>HYPERLINK("http://141.218.60.56/~jnz1568/getInfo.php?workbook=06_02.xlsx&amp;sheet=A0&amp;row=93&amp;col=11&amp;number=&amp;sourceID=30","")</f>
        <v/>
      </c>
      <c r="L93" s="4" t="str">
        <f>HYPERLINK("http://141.218.60.56/~jnz1568/getInfo.php?workbook=06_02.xlsx&amp;sheet=A0&amp;row=93&amp;col=12&amp;number=&amp;sourceID=30","")</f>
        <v/>
      </c>
      <c r="M93" s="4" t="str">
        <f>HYPERLINK("http://141.218.60.56/~jnz1568/getInfo.php?workbook=06_02.xlsx&amp;sheet=A0&amp;row=93&amp;col=13&amp;number=&amp;sourceID=30","")</f>
        <v/>
      </c>
      <c r="N93" s="4" t="str">
        <f>HYPERLINK("http://141.218.60.56/~jnz1568/getInfo.php?workbook=06_02.xlsx&amp;sheet=A0&amp;row=93&amp;col=14&amp;number=10.47&amp;sourceID=30","10.47")</f>
        <v>10.47</v>
      </c>
      <c r="O93" s="4" t="str">
        <f>HYPERLINK("http://141.218.60.56/~jnz1568/getInfo.php?workbook=06_02.xlsx&amp;sheet=A0&amp;row=93&amp;col=15&amp;number=&amp;sourceID=32","")</f>
        <v/>
      </c>
      <c r="P93" s="4" t="str">
        <f>HYPERLINK("http://141.218.60.56/~jnz1568/getInfo.php?workbook=06_02.xlsx&amp;sheet=A0&amp;row=93&amp;col=16&amp;number=&amp;sourceID=32","")</f>
        <v/>
      </c>
      <c r="Q93" s="4" t="str">
        <f>HYPERLINK("http://141.218.60.56/~jnz1568/getInfo.php?workbook=06_02.xlsx&amp;sheet=A0&amp;row=93&amp;col=17&amp;number=&amp;sourceID=32","")</f>
        <v/>
      </c>
      <c r="R93" s="4" t="str">
        <f>HYPERLINK("http://141.218.60.56/~jnz1568/getInfo.php?workbook=06_02.xlsx&amp;sheet=A0&amp;row=93&amp;col=18&amp;number=10.69&amp;sourceID=32","10.69")</f>
        <v>10.69</v>
      </c>
    </row>
    <row r="94" spans="1:18">
      <c r="A94" s="3">
        <v>6</v>
      </c>
      <c r="B94" s="3">
        <v>2</v>
      </c>
      <c r="C94" s="3">
        <v>16</v>
      </c>
      <c r="D94" s="3">
        <v>6</v>
      </c>
      <c r="E94" s="3">
        <f>((1/(INDEX(E0!J$4:J$52,C94,1)-INDEX(E0!J$4:J$52,D94,1))))*100000000</f>
        <v>0</v>
      </c>
      <c r="F94" s="4" t="str">
        <f>HYPERLINK("http://141.218.60.56/~jnz1568/getInfo.php?workbook=06_02.xlsx&amp;sheet=A0&amp;row=94&amp;col=6&amp;number=&amp;sourceID=27","")</f>
        <v/>
      </c>
      <c r="G94" s="4" t="str">
        <f>HYPERLINK("http://141.218.60.56/~jnz1568/getInfo.php?workbook=06_02.xlsx&amp;sheet=A0&amp;row=94&amp;col=7&amp;number=&amp;sourceID=34","")</f>
        <v/>
      </c>
      <c r="H94" s="4" t="str">
        <f>HYPERLINK("http://141.218.60.56/~jnz1568/getInfo.php?workbook=06_02.xlsx&amp;sheet=A0&amp;row=94&amp;col=8&amp;number=&amp;sourceID=34","")</f>
        <v/>
      </c>
      <c r="I94" s="4" t="str">
        <f>HYPERLINK("http://141.218.60.56/~jnz1568/getInfo.php?workbook=06_02.xlsx&amp;sheet=A0&amp;row=94&amp;col=9&amp;number=&amp;sourceID=34","")</f>
        <v/>
      </c>
      <c r="J94" s="4" t="str">
        <f>HYPERLINK("http://141.218.60.56/~jnz1568/getInfo.php?workbook=06_02.xlsx&amp;sheet=A0&amp;row=94&amp;col=10&amp;number=&amp;sourceID=34","")</f>
        <v/>
      </c>
      <c r="K94" s="4" t="str">
        <f>HYPERLINK("http://141.218.60.56/~jnz1568/getInfo.php?workbook=06_02.xlsx&amp;sheet=A0&amp;row=94&amp;col=11&amp;number=33170000&amp;sourceID=30","33170000")</f>
        <v>33170000</v>
      </c>
      <c r="L94" s="4" t="str">
        <f>HYPERLINK("http://141.218.60.56/~jnz1568/getInfo.php?workbook=06_02.xlsx&amp;sheet=A0&amp;row=94&amp;col=12&amp;number=&amp;sourceID=30","")</f>
        <v/>
      </c>
      <c r="M94" s="4" t="str">
        <f>HYPERLINK("http://141.218.60.56/~jnz1568/getInfo.php?workbook=06_02.xlsx&amp;sheet=A0&amp;row=94&amp;col=13&amp;number=&amp;sourceID=30","")</f>
        <v/>
      </c>
      <c r="N94" s="4" t="str">
        <f>HYPERLINK("http://141.218.60.56/~jnz1568/getInfo.php?workbook=06_02.xlsx&amp;sheet=A0&amp;row=94&amp;col=14&amp;number=19.13&amp;sourceID=30","19.13")</f>
        <v>19.13</v>
      </c>
      <c r="O94" s="4" t="str">
        <f>HYPERLINK("http://141.218.60.56/~jnz1568/getInfo.php?workbook=06_02.xlsx&amp;sheet=A0&amp;row=94&amp;col=15&amp;number=45320000&amp;sourceID=32","45320000")</f>
        <v>45320000</v>
      </c>
      <c r="P94" s="4" t="str">
        <f>HYPERLINK("http://141.218.60.56/~jnz1568/getInfo.php?workbook=06_02.xlsx&amp;sheet=A0&amp;row=94&amp;col=16&amp;number=&amp;sourceID=32","")</f>
        <v/>
      </c>
      <c r="Q94" s="4" t="str">
        <f>HYPERLINK("http://141.218.60.56/~jnz1568/getInfo.php?workbook=06_02.xlsx&amp;sheet=A0&amp;row=94&amp;col=17&amp;number=&amp;sourceID=32","")</f>
        <v/>
      </c>
      <c r="R94" s="4" t="str">
        <f>HYPERLINK("http://141.218.60.56/~jnz1568/getInfo.php?workbook=06_02.xlsx&amp;sheet=A0&amp;row=94&amp;col=18&amp;number=19.68&amp;sourceID=32","19.68")</f>
        <v>19.68</v>
      </c>
    </row>
    <row r="95" spans="1:18">
      <c r="A95" s="3">
        <v>6</v>
      </c>
      <c r="B95" s="3">
        <v>2</v>
      </c>
      <c r="C95" s="3">
        <v>16</v>
      </c>
      <c r="D95" s="3">
        <v>7</v>
      </c>
      <c r="E95" s="3">
        <f>((1/(INDEX(E0!J$4:J$52,C95,1)-INDEX(E0!J$4:J$52,D95,1))))*100000000</f>
        <v>0</v>
      </c>
      <c r="F95" s="4" t="str">
        <f>HYPERLINK("http://141.218.60.56/~jnz1568/getInfo.php?workbook=06_02.xlsx&amp;sheet=A0&amp;row=95&amp;col=6&amp;number=&amp;sourceID=27","")</f>
        <v/>
      </c>
      <c r="G95" s="4" t="str">
        <f>HYPERLINK("http://141.218.60.56/~jnz1568/getInfo.php?workbook=06_02.xlsx&amp;sheet=A0&amp;row=95&amp;col=7&amp;number=39480000000&amp;sourceID=34","39480000000")</f>
        <v>39480000000</v>
      </c>
      <c r="H95" s="4" t="str">
        <f>HYPERLINK("http://141.218.60.56/~jnz1568/getInfo.php?workbook=06_02.xlsx&amp;sheet=A0&amp;row=95&amp;col=8&amp;number=&amp;sourceID=34","")</f>
        <v/>
      </c>
      <c r="I95" s="4" t="str">
        <f>HYPERLINK("http://141.218.60.56/~jnz1568/getInfo.php?workbook=06_02.xlsx&amp;sheet=A0&amp;row=95&amp;col=9&amp;number=&amp;sourceID=34","")</f>
        <v/>
      </c>
      <c r="J95" s="4" t="str">
        <f>HYPERLINK("http://141.218.60.56/~jnz1568/getInfo.php?workbook=06_02.xlsx&amp;sheet=A0&amp;row=95&amp;col=10&amp;number=&amp;sourceID=34","")</f>
        <v/>
      </c>
      <c r="K95" s="4" t="str">
        <f>HYPERLINK("http://141.218.60.56/~jnz1568/getInfo.php?workbook=06_02.xlsx&amp;sheet=A0&amp;row=95&amp;col=11&amp;number=39530000000&amp;sourceID=30","39530000000")</f>
        <v>39530000000</v>
      </c>
      <c r="L95" s="4" t="str">
        <f>HYPERLINK("http://141.218.60.56/~jnz1568/getInfo.php?workbook=06_02.xlsx&amp;sheet=A0&amp;row=95&amp;col=12&amp;number=&amp;sourceID=30","")</f>
        <v/>
      </c>
      <c r="M95" s="4" t="str">
        <f>HYPERLINK("http://141.218.60.56/~jnz1568/getInfo.php?workbook=06_02.xlsx&amp;sheet=A0&amp;row=95&amp;col=13&amp;number=&amp;sourceID=30","")</f>
        <v/>
      </c>
      <c r="N95" s="4" t="str">
        <f>HYPERLINK("http://141.218.60.56/~jnz1568/getInfo.php?workbook=06_02.xlsx&amp;sheet=A0&amp;row=95&amp;col=14&amp;number=17.4&amp;sourceID=30","17.4")</f>
        <v>17.4</v>
      </c>
      <c r="O95" s="4" t="str">
        <f>HYPERLINK("http://141.218.60.56/~jnz1568/getInfo.php?workbook=06_02.xlsx&amp;sheet=A0&amp;row=95&amp;col=15&amp;number=39350000000&amp;sourceID=32","39350000000")</f>
        <v>39350000000</v>
      </c>
      <c r="P95" s="4" t="str">
        <f>HYPERLINK("http://141.218.60.56/~jnz1568/getInfo.php?workbook=06_02.xlsx&amp;sheet=A0&amp;row=95&amp;col=16&amp;number=&amp;sourceID=32","")</f>
        <v/>
      </c>
      <c r="Q95" s="4" t="str">
        <f>HYPERLINK("http://141.218.60.56/~jnz1568/getInfo.php?workbook=06_02.xlsx&amp;sheet=A0&amp;row=95&amp;col=17&amp;number=&amp;sourceID=32","")</f>
        <v/>
      </c>
      <c r="R95" s="4" t="str">
        <f>HYPERLINK("http://141.218.60.56/~jnz1568/getInfo.php?workbook=06_02.xlsx&amp;sheet=A0&amp;row=95&amp;col=18&amp;number=17.82&amp;sourceID=32","17.82")</f>
        <v>17.82</v>
      </c>
    </row>
    <row r="96" spans="1:18">
      <c r="A96" s="3">
        <v>6</v>
      </c>
      <c r="B96" s="3">
        <v>2</v>
      </c>
      <c r="C96" s="3">
        <v>16</v>
      </c>
      <c r="D96" s="3">
        <v>8</v>
      </c>
      <c r="E96" s="3">
        <f>((1/(INDEX(E0!J$4:J$52,C96,1)-INDEX(E0!J$4:J$52,D96,1))))*100000000</f>
        <v>0</v>
      </c>
      <c r="F96" s="4" t="str">
        <f>HYPERLINK("http://141.218.60.56/~jnz1568/getInfo.php?workbook=06_02.xlsx&amp;sheet=A0&amp;row=96&amp;col=6&amp;number=&amp;sourceID=27","")</f>
        <v/>
      </c>
      <c r="G96" s="4" t="str">
        <f>HYPERLINK("http://141.218.60.56/~jnz1568/getInfo.php?workbook=06_02.xlsx&amp;sheet=A0&amp;row=96&amp;col=7&amp;number=&amp;sourceID=34","")</f>
        <v/>
      </c>
      <c r="H96" s="4" t="str">
        <f>HYPERLINK("http://141.218.60.56/~jnz1568/getInfo.php?workbook=06_02.xlsx&amp;sheet=A0&amp;row=96&amp;col=8&amp;number=&amp;sourceID=34","")</f>
        <v/>
      </c>
      <c r="I96" s="4" t="str">
        <f>HYPERLINK("http://141.218.60.56/~jnz1568/getInfo.php?workbook=06_02.xlsx&amp;sheet=A0&amp;row=96&amp;col=9&amp;number=&amp;sourceID=34","")</f>
        <v/>
      </c>
      <c r="J96" s="4" t="str">
        <f>HYPERLINK("http://141.218.60.56/~jnz1568/getInfo.php?workbook=06_02.xlsx&amp;sheet=A0&amp;row=96&amp;col=10&amp;number=&amp;sourceID=34","")</f>
        <v/>
      </c>
      <c r="K96" s="4" t="str">
        <f>HYPERLINK("http://141.218.60.56/~jnz1568/getInfo.php?workbook=06_02.xlsx&amp;sheet=A0&amp;row=96&amp;col=11&amp;number=&amp;sourceID=30","")</f>
        <v/>
      </c>
      <c r="L96" s="4" t="str">
        <f>HYPERLINK("http://141.218.60.56/~jnz1568/getInfo.php?workbook=06_02.xlsx&amp;sheet=A0&amp;row=96&amp;col=12&amp;number=0.004094&amp;sourceID=30","0.004094")</f>
        <v>0.004094</v>
      </c>
      <c r="M96" s="4" t="str">
        <f>HYPERLINK("http://141.218.60.56/~jnz1568/getInfo.php?workbook=06_02.xlsx&amp;sheet=A0&amp;row=96&amp;col=13&amp;number=1.865e-10&amp;sourceID=30","1.865e-10")</f>
        <v>1.865e-10</v>
      </c>
      <c r="N96" s="4" t="str">
        <f>HYPERLINK("http://141.218.60.56/~jnz1568/getInfo.php?workbook=06_02.xlsx&amp;sheet=A0&amp;row=96&amp;col=14&amp;number=&amp;sourceID=30","")</f>
        <v/>
      </c>
      <c r="O96" s="4" t="str">
        <f>HYPERLINK("http://141.218.60.56/~jnz1568/getInfo.php?workbook=06_02.xlsx&amp;sheet=A0&amp;row=96&amp;col=15&amp;number=&amp;sourceID=32","")</f>
        <v/>
      </c>
      <c r="P96" s="4" t="str">
        <f>HYPERLINK("http://141.218.60.56/~jnz1568/getInfo.php?workbook=06_02.xlsx&amp;sheet=A0&amp;row=96&amp;col=16&amp;number=0.005655&amp;sourceID=32","0.005655")</f>
        <v>0.005655</v>
      </c>
      <c r="Q96" s="4" t="str">
        <f>HYPERLINK("http://141.218.60.56/~jnz1568/getInfo.php?workbook=06_02.xlsx&amp;sheet=A0&amp;row=96&amp;col=17&amp;number=8.201e-10&amp;sourceID=32","8.201e-10")</f>
        <v>8.201e-10</v>
      </c>
      <c r="R96" s="4" t="str">
        <f>HYPERLINK("http://141.218.60.56/~jnz1568/getInfo.php?workbook=06_02.xlsx&amp;sheet=A0&amp;row=96&amp;col=18&amp;number=&amp;sourceID=32","")</f>
        <v/>
      </c>
    </row>
    <row r="97" spans="1:18">
      <c r="A97" s="3">
        <v>6</v>
      </c>
      <c r="B97" s="3">
        <v>2</v>
      </c>
      <c r="C97" s="3">
        <v>16</v>
      </c>
      <c r="D97" s="3">
        <v>9</v>
      </c>
      <c r="E97" s="3">
        <f>((1/(INDEX(E0!J$4:J$52,C97,1)-INDEX(E0!J$4:J$52,D97,1))))*100000000</f>
        <v>0</v>
      </c>
      <c r="F97" s="4" t="str">
        <f>HYPERLINK("http://141.218.60.56/~jnz1568/getInfo.php?workbook=06_02.xlsx&amp;sheet=A0&amp;row=97&amp;col=6&amp;number=&amp;sourceID=27","")</f>
        <v/>
      </c>
      <c r="G97" s="4" t="str">
        <f>HYPERLINK("http://141.218.60.56/~jnz1568/getInfo.php?workbook=06_02.xlsx&amp;sheet=A0&amp;row=97&amp;col=7&amp;number=&amp;sourceID=34","")</f>
        <v/>
      </c>
      <c r="H97" s="4" t="str">
        <f>HYPERLINK("http://141.218.60.56/~jnz1568/getInfo.php?workbook=06_02.xlsx&amp;sheet=A0&amp;row=97&amp;col=8&amp;number=&amp;sourceID=34","")</f>
        <v/>
      </c>
      <c r="I97" s="4" t="str">
        <f>HYPERLINK("http://141.218.60.56/~jnz1568/getInfo.php?workbook=06_02.xlsx&amp;sheet=A0&amp;row=97&amp;col=9&amp;number=&amp;sourceID=34","")</f>
        <v/>
      </c>
      <c r="J97" s="4" t="str">
        <f>HYPERLINK("http://141.218.60.56/~jnz1568/getInfo.php?workbook=06_02.xlsx&amp;sheet=A0&amp;row=97&amp;col=10&amp;number=&amp;sourceID=34","")</f>
        <v/>
      </c>
      <c r="K97" s="4" t="str">
        <f>HYPERLINK("http://141.218.60.56/~jnz1568/getInfo.php?workbook=06_02.xlsx&amp;sheet=A0&amp;row=97&amp;col=11&amp;number=&amp;sourceID=30","")</f>
        <v/>
      </c>
      <c r="L97" s="4" t="str">
        <f>HYPERLINK("http://141.218.60.56/~jnz1568/getInfo.php?workbook=06_02.xlsx&amp;sheet=A0&amp;row=97&amp;col=12&amp;number=0.001844&amp;sourceID=30","0.001844")</f>
        <v>0.001844</v>
      </c>
      <c r="M97" s="4" t="str">
        <f>HYPERLINK("http://141.218.60.56/~jnz1568/getInfo.php?workbook=06_02.xlsx&amp;sheet=A0&amp;row=97&amp;col=13&amp;number=&amp;sourceID=30","")</f>
        <v/>
      </c>
      <c r="N97" s="4" t="str">
        <f>HYPERLINK("http://141.218.60.56/~jnz1568/getInfo.php?workbook=06_02.xlsx&amp;sheet=A0&amp;row=97&amp;col=14&amp;number=&amp;sourceID=30","")</f>
        <v/>
      </c>
      <c r="O97" s="4" t="str">
        <f>HYPERLINK("http://141.218.60.56/~jnz1568/getInfo.php?workbook=06_02.xlsx&amp;sheet=A0&amp;row=97&amp;col=15&amp;number=&amp;sourceID=32","")</f>
        <v/>
      </c>
      <c r="P97" s="4" t="str">
        <f>HYPERLINK("http://141.218.60.56/~jnz1568/getInfo.php?workbook=06_02.xlsx&amp;sheet=A0&amp;row=97&amp;col=16&amp;number=0.00757&amp;sourceID=32","0.00757")</f>
        <v>0.00757</v>
      </c>
      <c r="Q97" s="4" t="str">
        <f>HYPERLINK("http://141.218.60.56/~jnz1568/getInfo.php?workbook=06_02.xlsx&amp;sheet=A0&amp;row=97&amp;col=17&amp;number=&amp;sourceID=32","")</f>
        <v/>
      </c>
      <c r="R97" s="4" t="str">
        <f>HYPERLINK("http://141.218.60.56/~jnz1568/getInfo.php?workbook=06_02.xlsx&amp;sheet=A0&amp;row=97&amp;col=18&amp;number=&amp;sourceID=32","")</f>
        <v/>
      </c>
    </row>
    <row r="98" spans="1:18">
      <c r="A98" s="3">
        <v>6</v>
      </c>
      <c r="B98" s="3">
        <v>2</v>
      </c>
      <c r="C98" s="3">
        <v>16</v>
      </c>
      <c r="D98" s="3">
        <v>10</v>
      </c>
      <c r="E98" s="3">
        <f>((1/(INDEX(E0!J$4:J$52,C98,1)-INDEX(E0!J$4:J$52,D98,1))))*100000000</f>
        <v>0</v>
      </c>
      <c r="F98" s="4" t="str">
        <f>HYPERLINK("http://141.218.60.56/~jnz1568/getInfo.php?workbook=06_02.xlsx&amp;sheet=A0&amp;row=98&amp;col=6&amp;number=&amp;sourceID=27","")</f>
        <v/>
      </c>
      <c r="G98" s="4" t="str">
        <f>HYPERLINK("http://141.218.60.56/~jnz1568/getInfo.php?workbook=06_02.xlsx&amp;sheet=A0&amp;row=98&amp;col=7&amp;number=&amp;sourceID=34","")</f>
        <v/>
      </c>
      <c r="H98" s="4" t="str">
        <f>HYPERLINK("http://141.218.60.56/~jnz1568/getInfo.php?workbook=06_02.xlsx&amp;sheet=A0&amp;row=98&amp;col=8&amp;number=&amp;sourceID=34","")</f>
        <v/>
      </c>
      <c r="I98" s="4" t="str">
        <f>HYPERLINK("http://141.218.60.56/~jnz1568/getInfo.php?workbook=06_02.xlsx&amp;sheet=A0&amp;row=98&amp;col=9&amp;number=&amp;sourceID=34","")</f>
        <v/>
      </c>
      <c r="J98" s="4" t="str">
        <f>HYPERLINK("http://141.218.60.56/~jnz1568/getInfo.php?workbook=06_02.xlsx&amp;sheet=A0&amp;row=98&amp;col=10&amp;number=&amp;sourceID=34","")</f>
        <v/>
      </c>
      <c r="K98" s="4" t="str">
        <f>HYPERLINK("http://141.218.60.56/~jnz1568/getInfo.php?workbook=06_02.xlsx&amp;sheet=A0&amp;row=98&amp;col=11&amp;number=1295&amp;sourceID=30","1295")</f>
        <v>1295</v>
      </c>
      <c r="L98" s="4" t="str">
        <f>HYPERLINK("http://141.218.60.56/~jnz1568/getInfo.php?workbook=06_02.xlsx&amp;sheet=A0&amp;row=98&amp;col=12&amp;number=&amp;sourceID=30","")</f>
        <v/>
      </c>
      <c r="M98" s="4" t="str">
        <f>HYPERLINK("http://141.218.60.56/~jnz1568/getInfo.php?workbook=06_02.xlsx&amp;sheet=A0&amp;row=98&amp;col=13&amp;number=&amp;sourceID=30","")</f>
        <v/>
      </c>
      <c r="N98" s="4" t="str">
        <f>HYPERLINK("http://141.218.60.56/~jnz1568/getInfo.php?workbook=06_02.xlsx&amp;sheet=A0&amp;row=98&amp;col=14&amp;number=8.994e-08&amp;sourceID=30","8.994e-08")</f>
        <v>8.994e-08</v>
      </c>
      <c r="O98" s="4" t="str">
        <f>HYPERLINK("http://141.218.60.56/~jnz1568/getInfo.php?workbook=06_02.xlsx&amp;sheet=A0&amp;row=98&amp;col=15&amp;number=1996&amp;sourceID=32","1996")</f>
        <v>1996</v>
      </c>
      <c r="P98" s="4" t="str">
        <f>HYPERLINK("http://141.218.60.56/~jnz1568/getInfo.php?workbook=06_02.xlsx&amp;sheet=A0&amp;row=98&amp;col=16&amp;number=&amp;sourceID=32","")</f>
        <v/>
      </c>
      <c r="Q98" s="4" t="str">
        <f>HYPERLINK("http://141.218.60.56/~jnz1568/getInfo.php?workbook=06_02.xlsx&amp;sheet=A0&amp;row=98&amp;col=17&amp;number=&amp;sourceID=32","")</f>
        <v/>
      </c>
      <c r="R98" s="4" t="str">
        <f>HYPERLINK("http://141.218.60.56/~jnz1568/getInfo.php?workbook=06_02.xlsx&amp;sheet=A0&amp;row=98&amp;col=18&amp;number=1.076e-07&amp;sourceID=32","1.076e-07")</f>
        <v>1.076e-07</v>
      </c>
    </row>
    <row r="99" spans="1:18">
      <c r="A99" s="3">
        <v>6</v>
      </c>
      <c r="B99" s="3">
        <v>2</v>
      </c>
      <c r="C99" s="3">
        <v>16</v>
      </c>
      <c r="D99" s="3">
        <v>11</v>
      </c>
      <c r="E99" s="3">
        <f>((1/(INDEX(E0!J$4:J$52,C99,1)-INDEX(E0!J$4:J$52,D99,1))))*100000000</f>
        <v>0</v>
      </c>
      <c r="F99" s="4" t="str">
        <f>HYPERLINK("http://141.218.60.56/~jnz1568/getInfo.php?workbook=06_02.xlsx&amp;sheet=A0&amp;row=99&amp;col=6&amp;number=&amp;sourceID=27","")</f>
        <v/>
      </c>
      <c r="G99" s="4" t="str">
        <f>HYPERLINK("http://141.218.60.56/~jnz1568/getInfo.php?workbook=06_02.xlsx&amp;sheet=A0&amp;row=99&amp;col=7&amp;number=&amp;sourceID=34","")</f>
        <v/>
      </c>
      <c r="H99" s="4" t="str">
        <f>HYPERLINK("http://141.218.60.56/~jnz1568/getInfo.php?workbook=06_02.xlsx&amp;sheet=A0&amp;row=99&amp;col=8&amp;number=&amp;sourceID=34","")</f>
        <v/>
      </c>
      <c r="I99" s="4" t="str">
        <f>HYPERLINK("http://141.218.60.56/~jnz1568/getInfo.php?workbook=06_02.xlsx&amp;sheet=A0&amp;row=99&amp;col=9&amp;number=&amp;sourceID=34","")</f>
        <v/>
      </c>
      <c r="J99" s="4" t="str">
        <f>HYPERLINK("http://141.218.60.56/~jnz1568/getInfo.php?workbook=06_02.xlsx&amp;sheet=A0&amp;row=99&amp;col=10&amp;number=&amp;sourceID=34","")</f>
        <v/>
      </c>
      <c r="K99" s="4" t="str">
        <f>HYPERLINK("http://141.218.60.56/~jnz1568/getInfo.php?workbook=06_02.xlsx&amp;sheet=A0&amp;row=99&amp;col=11&amp;number=&amp;sourceID=30","")</f>
        <v/>
      </c>
      <c r="L99" s="4" t="str">
        <f>HYPERLINK("http://141.218.60.56/~jnz1568/getInfo.php?workbook=06_02.xlsx&amp;sheet=A0&amp;row=99&amp;col=12&amp;number=&amp;sourceID=30","")</f>
        <v/>
      </c>
      <c r="M99" s="4" t="str">
        <f>HYPERLINK("http://141.218.60.56/~jnz1568/getInfo.php?workbook=06_02.xlsx&amp;sheet=A0&amp;row=99&amp;col=13&amp;number=&amp;sourceID=30","")</f>
        <v/>
      </c>
      <c r="N99" s="4" t="str">
        <f>HYPERLINK("http://141.218.60.56/~jnz1568/getInfo.php?workbook=06_02.xlsx&amp;sheet=A0&amp;row=99&amp;col=14&amp;number=3.747e-08&amp;sourceID=30","3.747e-08")</f>
        <v>3.747e-08</v>
      </c>
      <c r="O99" s="4" t="str">
        <f>HYPERLINK("http://141.218.60.56/~jnz1568/getInfo.php?workbook=06_02.xlsx&amp;sheet=A0&amp;row=99&amp;col=15&amp;number=&amp;sourceID=32","")</f>
        <v/>
      </c>
      <c r="P99" s="4" t="str">
        <f>HYPERLINK("http://141.218.60.56/~jnz1568/getInfo.php?workbook=06_02.xlsx&amp;sheet=A0&amp;row=99&amp;col=16&amp;number=&amp;sourceID=32","")</f>
        <v/>
      </c>
      <c r="Q99" s="4" t="str">
        <f>HYPERLINK("http://141.218.60.56/~jnz1568/getInfo.php?workbook=06_02.xlsx&amp;sheet=A0&amp;row=99&amp;col=17&amp;number=&amp;sourceID=32","")</f>
        <v/>
      </c>
      <c r="R99" s="4" t="str">
        <f>HYPERLINK("http://141.218.60.56/~jnz1568/getInfo.php?workbook=06_02.xlsx&amp;sheet=A0&amp;row=99&amp;col=18&amp;number=4.434e-08&amp;sourceID=32","4.434e-08")</f>
        <v>4.434e-08</v>
      </c>
    </row>
    <row r="100" spans="1:18">
      <c r="A100" s="3">
        <v>6</v>
      </c>
      <c r="B100" s="3">
        <v>2</v>
      </c>
      <c r="C100" s="3">
        <v>16</v>
      </c>
      <c r="D100" s="3">
        <v>12</v>
      </c>
      <c r="E100" s="3">
        <f>((1/(INDEX(E0!J$4:J$52,C100,1)-INDEX(E0!J$4:J$52,D100,1))))*100000000</f>
        <v>0</v>
      </c>
      <c r="F100" s="4" t="str">
        <f>HYPERLINK("http://141.218.60.56/~jnz1568/getInfo.php?workbook=06_02.xlsx&amp;sheet=A0&amp;row=100&amp;col=6&amp;number=&amp;sourceID=27","")</f>
        <v/>
      </c>
      <c r="G100" s="4" t="str">
        <f>HYPERLINK("http://141.218.60.56/~jnz1568/getInfo.php?workbook=06_02.xlsx&amp;sheet=A0&amp;row=100&amp;col=7&amp;number=&amp;sourceID=34","")</f>
        <v/>
      </c>
      <c r="H100" s="4" t="str">
        <f>HYPERLINK("http://141.218.60.56/~jnz1568/getInfo.php?workbook=06_02.xlsx&amp;sheet=A0&amp;row=100&amp;col=8&amp;number=&amp;sourceID=34","")</f>
        <v/>
      </c>
      <c r="I100" s="4" t="str">
        <f>HYPERLINK("http://141.218.60.56/~jnz1568/getInfo.php?workbook=06_02.xlsx&amp;sheet=A0&amp;row=100&amp;col=9&amp;number=&amp;sourceID=34","")</f>
        <v/>
      </c>
      <c r="J100" s="4" t="str">
        <f>HYPERLINK("http://141.218.60.56/~jnz1568/getInfo.php?workbook=06_02.xlsx&amp;sheet=A0&amp;row=100&amp;col=10&amp;number=&amp;sourceID=34","")</f>
        <v/>
      </c>
      <c r="K100" s="4" t="str">
        <f>HYPERLINK("http://141.218.60.56/~jnz1568/getInfo.php?workbook=06_02.xlsx&amp;sheet=A0&amp;row=100&amp;col=11&amp;number=533.4&amp;sourceID=30","533.4")</f>
        <v>533.4</v>
      </c>
      <c r="L100" s="4" t="str">
        <f>HYPERLINK("http://141.218.60.56/~jnz1568/getInfo.php?workbook=06_02.xlsx&amp;sheet=A0&amp;row=100&amp;col=12&amp;number=&amp;sourceID=30","")</f>
        <v/>
      </c>
      <c r="M100" s="4" t="str">
        <f>HYPERLINK("http://141.218.60.56/~jnz1568/getInfo.php?workbook=06_02.xlsx&amp;sheet=A0&amp;row=100&amp;col=13&amp;number=&amp;sourceID=30","")</f>
        <v/>
      </c>
      <c r="N100" s="4" t="str">
        <f>HYPERLINK("http://141.218.60.56/~jnz1568/getInfo.php?workbook=06_02.xlsx&amp;sheet=A0&amp;row=100&amp;col=14&amp;number=6.636e-08&amp;sourceID=30","6.636e-08")</f>
        <v>6.636e-08</v>
      </c>
      <c r="O100" s="4" t="str">
        <f>HYPERLINK("http://141.218.60.56/~jnz1568/getInfo.php?workbook=06_02.xlsx&amp;sheet=A0&amp;row=100&amp;col=15&amp;number=799.9&amp;sourceID=32","799.9")</f>
        <v>799.9</v>
      </c>
      <c r="P100" s="4" t="str">
        <f>HYPERLINK("http://141.218.60.56/~jnz1568/getInfo.php?workbook=06_02.xlsx&amp;sheet=A0&amp;row=100&amp;col=16&amp;number=&amp;sourceID=32","")</f>
        <v/>
      </c>
      <c r="Q100" s="4" t="str">
        <f>HYPERLINK("http://141.218.60.56/~jnz1568/getInfo.php?workbook=06_02.xlsx&amp;sheet=A0&amp;row=100&amp;col=17&amp;number=&amp;sourceID=32","")</f>
        <v/>
      </c>
      <c r="R100" s="4" t="str">
        <f>HYPERLINK("http://141.218.60.56/~jnz1568/getInfo.php?workbook=06_02.xlsx&amp;sheet=A0&amp;row=100&amp;col=18&amp;number=7.913e-08&amp;sourceID=32","7.913e-08")</f>
        <v>7.913e-08</v>
      </c>
    </row>
    <row r="101" spans="1:18">
      <c r="A101" s="3">
        <v>6</v>
      </c>
      <c r="B101" s="3">
        <v>2</v>
      </c>
      <c r="C101" s="3">
        <v>16</v>
      </c>
      <c r="D101" s="3">
        <v>13</v>
      </c>
      <c r="E101" s="3">
        <f>((1/(INDEX(E0!J$4:J$52,C101,1)-INDEX(E0!J$4:J$52,D101,1))))*100000000</f>
        <v>0</v>
      </c>
      <c r="F101" s="4" t="str">
        <f>HYPERLINK("http://141.218.60.56/~jnz1568/getInfo.php?workbook=06_02.xlsx&amp;sheet=A0&amp;row=101&amp;col=6&amp;number=&amp;sourceID=27","")</f>
        <v/>
      </c>
      <c r="G101" s="4" t="str">
        <f>HYPERLINK("http://141.218.60.56/~jnz1568/getInfo.php?workbook=06_02.xlsx&amp;sheet=A0&amp;row=101&amp;col=7&amp;number=&amp;sourceID=34","")</f>
        <v/>
      </c>
      <c r="H101" s="4" t="str">
        <f>HYPERLINK("http://141.218.60.56/~jnz1568/getInfo.php?workbook=06_02.xlsx&amp;sheet=A0&amp;row=101&amp;col=8&amp;number=&amp;sourceID=34","")</f>
        <v/>
      </c>
      <c r="I101" s="4" t="str">
        <f>HYPERLINK("http://141.218.60.56/~jnz1568/getInfo.php?workbook=06_02.xlsx&amp;sheet=A0&amp;row=101&amp;col=9&amp;number=&amp;sourceID=34","")</f>
        <v/>
      </c>
      <c r="J101" s="4" t="str">
        <f>HYPERLINK("http://141.218.60.56/~jnz1568/getInfo.php?workbook=06_02.xlsx&amp;sheet=A0&amp;row=101&amp;col=10&amp;number=&amp;sourceID=34","")</f>
        <v/>
      </c>
      <c r="K101" s="4" t="str">
        <f>HYPERLINK("http://141.218.60.56/~jnz1568/getInfo.php?workbook=06_02.xlsx&amp;sheet=A0&amp;row=101&amp;col=11&amp;number=&amp;sourceID=30","")</f>
        <v/>
      </c>
      <c r="L101" s="4" t="str">
        <f>HYPERLINK("http://141.218.60.56/~jnz1568/getInfo.php?workbook=06_02.xlsx&amp;sheet=A0&amp;row=101&amp;col=12&amp;number=1.464e-12&amp;sourceID=30","1.464e-12")</f>
        <v>1.464e-12</v>
      </c>
      <c r="M101" s="4" t="str">
        <f>HYPERLINK("http://141.218.60.56/~jnz1568/getInfo.php?workbook=06_02.xlsx&amp;sheet=A0&amp;row=101&amp;col=13&amp;number=1.652e-06&amp;sourceID=30","1.652e-06")</f>
        <v>1.652e-06</v>
      </c>
      <c r="N101" s="4" t="str">
        <f>HYPERLINK("http://141.218.60.56/~jnz1568/getInfo.php?workbook=06_02.xlsx&amp;sheet=A0&amp;row=101&amp;col=14&amp;number=&amp;sourceID=30","")</f>
        <v/>
      </c>
      <c r="O101" s="4" t="str">
        <f>HYPERLINK("http://141.218.60.56/~jnz1568/getInfo.php?workbook=06_02.xlsx&amp;sheet=A0&amp;row=101&amp;col=15&amp;number=&amp;sourceID=32","")</f>
        <v/>
      </c>
      <c r="P101" s="4" t="str">
        <f>HYPERLINK("http://141.218.60.56/~jnz1568/getInfo.php?workbook=06_02.xlsx&amp;sheet=A0&amp;row=101&amp;col=16&amp;number=8.36e-13&amp;sourceID=32","8.36e-13")</f>
        <v>8.36e-13</v>
      </c>
      <c r="Q101" s="4" t="str">
        <f>HYPERLINK("http://141.218.60.56/~jnz1568/getInfo.php?workbook=06_02.xlsx&amp;sheet=A0&amp;row=101&amp;col=17&amp;number=1.334e-06&amp;sourceID=32","1.334e-06")</f>
        <v>1.334e-06</v>
      </c>
      <c r="R101" s="4" t="str">
        <f>HYPERLINK("http://141.218.60.56/~jnz1568/getInfo.php?workbook=06_02.xlsx&amp;sheet=A0&amp;row=101&amp;col=18&amp;number=&amp;sourceID=32","")</f>
        <v/>
      </c>
    </row>
    <row r="102" spans="1:18">
      <c r="A102" s="3">
        <v>6</v>
      </c>
      <c r="B102" s="3">
        <v>2</v>
      </c>
      <c r="C102" s="3">
        <v>16</v>
      </c>
      <c r="D102" s="3">
        <v>14</v>
      </c>
      <c r="E102" s="3">
        <f>((1/(INDEX(E0!J$4:J$52,C102,1)-INDEX(E0!J$4:J$52,D102,1))))*100000000</f>
        <v>0</v>
      </c>
      <c r="F102" s="4" t="str">
        <f>HYPERLINK("http://141.218.60.56/~jnz1568/getInfo.php?workbook=06_02.xlsx&amp;sheet=A0&amp;row=102&amp;col=6&amp;number=&amp;sourceID=27","")</f>
        <v/>
      </c>
      <c r="G102" s="4" t="str">
        <f>HYPERLINK("http://141.218.60.56/~jnz1568/getInfo.php?workbook=06_02.xlsx&amp;sheet=A0&amp;row=102&amp;col=7&amp;number=&amp;sourceID=34","")</f>
        <v/>
      </c>
      <c r="H102" s="4" t="str">
        <f>HYPERLINK("http://141.218.60.56/~jnz1568/getInfo.php?workbook=06_02.xlsx&amp;sheet=A0&amp;row=102&amp;col=8&amp;number=&amp;sourceID=34","")</f>
        <v/>
      </c>
      <c r="I102" s="4" t="str">
        <f>HYPERLINK("http://141.218.60.56/~jnz1568/getInfo.php?workbook=06_02.xlsx&amp;sheet=A0&amp;row=102&amp;col=9&amp;number=&amp;sourceID=34","")</f>
        <v/>
      </c>
      <c r="J102" s="4" t="str">
        <f>HYPERLINK("http://141.218.60.56/~jnz1568/getInfo.php?workbook=06_02.xlsx&amp;sheet=A0&amp;row=102&amp;col=10&amp;number=&amp;sourceID=34","")</f>
        <v/>
      </c>
      <c r="K102" s="4" t="str">
        <f>HYPERLINK("http://141.218.60.56/~jnz1568/getInfo.php?workbook=06_02.xlsx&amp;sheet=A0&amp;row=102&amp;col=11&amp;number=&amp;sourceID=30","")</f>
        <v/>
      </c>
      <c r="L102" s="4" t="str">
        <f>HYPERLINK("http://141.218.60.56/~jnz1568/getInfo.php?workbook=06_02.xlsx&amp;sheet=A0&amp;row=102&amp;col=12&amp;number=1.027e-12&amp;sourceID=30","1.027e-12")</f>
        <v>1.027e-12</v>
      </c>
      <c r="M102" s="4" t="str">
        <f>HYPERLINK("http://141.218.60.56/~jnz1568/getInfo.php?workbook=06_02.xlsx&amp;sheet=A0&amp;row=102&amp;col=13&amp;number=3.126e-07&amp;sourceID=30","3.126e-07")</f>
        <v>3.126e-07</v>
      </c>
      <c r="N102" s="4" t="str">
        <f>HYPERLINK("http://141.218.60.56/~jnz1568/getInfo.php?workbook=06_02.xlsx&amp;sheet=A0&amp;row=102&amp;col=14&amp;number=&amp;sourceID=30","")</f>
        <v/>
      </c>
      <c r="O102" s="4" t="str">
        <f>HYPERLINK("http://141.218.60.56/~jnz1568/getInfo.php?workbook=06_02.xlsx&amp;sheet=A0&amp;row=102&amp;col=15&amp;number=&amp;sourceID=32","")</f>
        <v/>
      </c>
      <c r="P102" s="4" t="str">
        <f>HYPERLINK("http://141.218.60.56/~jnz1568/getInfo.php?workbook=06_02.xlsx&amp;sheet=A0&amp;row=102&amp;col=16&amp;number=5.85e-13&amp;sourceID=32","5.85e-13")</f>
        <v>5.85e-13</v>
      </c>
      <c r="Q102" s="4" t="str">
        <f>HYPERLINK("http://141.218.60.56/~jnz1568/getInfo.php?workbook=06_02.xlsx&amp;sheet=A0&amp;row=102&amp;col=17&amp;number=2.508e-07&amp;sourceID=32","2.508e-07")</f>
        <v>2.508e-07</v>
      </c>
      <c r="R102" s="4" t="str">
        <f>HYPERLINK("http://141.218.60.56/~jnz1568/getInfo.php?workbook=06_02.xlsx&amp;sheet=A0&amp;row=102&amp;col=18&amp;number=&amp;sourceID=32","")</f>
        <v/>
      </c>
    </row>
    <row r="103" spans="1:18">
      <c r="A103" s="3">
        <v>6</v>
      </c>
      <c r="B103" s="3">
        <v>2</v>
      </c>
      <c r="C103" s="3">
        <v>16</v>
      </c>
      <c r="D103" s="3">
        <v>15</v>
      </c>
      <c r="E103" s="3">
        <f>((1/(INDEX(E0!J$4:J$52,C103,1)-INDEX(E0!J$4:J$52,D103,1))))*100000000</f>
        <v>0</v>
      </c>
      <c r="F103" s="4" t="str">
        <f>HYPERLINK("http://141.218.60.56/~jnz1568/getInfo.php?workbook=06_02.xlsx&amp;sheet=A0&amp;row=103&amp;col=6&amp;number=&amp;sourceID=27","")</f>
        <v/>
      </c>
      <c r="G103" s="4" t="str">
        <f>HYPERLINK("http://141.218.60.56/~jnz1568/getInfo.php?workbook=06_02.xlsx&amp;sheet=A0&amp;row=103&amp;col=7&amp;number=&amp;sourceID=34","")</f>
        <v/>
      </c>
      <c r="H103" s="4" t="str">
        <f>HYPERLINK("http://141.218.60.56/~jnz1568/getInfo.php?workbook=06_02.xlsx&amp;sheet=A0&amp;row=103&amp;col=8&amp;number=&amp;sourceID=34","")</f>
        <v/>
      </c>
      <c r="I103" s="4" t="str">
        <f>HYPERLINK("http://141.218.60.56/~jnz1568/getInfo.php?workbook=06_02.xlsx&amp;sheet=A0&amp;row=103&amp;col=9&amp;number=&amp;sourceID=34","")</f>
        <v/>
      </c>
      <c r="J103" s="4" t="str">
        <f>HYPERLINK("http://141.218.60.56/~jnz1568/getInfo.php?workbook=06_02.xlsx&amp;sheet=A0&amp;row=103&amp;col=10&amp;number=&amp;sourceID=34","")</f>
        <v/>
      </c>
      <c r="K103" s="4" t="str">
        <f>HYPERLINK("http://141.218.60.56/~jnz1568/getInfo.php?workbook=06_02.xlsx&amp;sheet=A0&amp;row=103&amp;col=11&amp;number=&amp;sourceID=30","")</f>
        <v/>
      </c>
      <c r="L103" s="4" t="str">
        <f>HYPERLINK("http://141.218.60.56/~jnz1568/getInfo.php?workbook=06_02.xlsx&amp;sheet=A0&amp;row=103&amp;col=12&amp;number=1.341e-12&amp;sourceID=30","1.341e-12")</f>
        <v>1.341e-12</v>
      </c>
      <c r="M103" s="4" t="str">
        <f>HYPERLINK("http://141.218.60.56/~jnz1568/getInfo.php?workbook=06_02.xlsx&amp;sheet=A0&amp;row=103&amp;col=13&amp;number=1.436e-06&amp;sourceID=30","1.436e-06")</f>
        <v>1.436e-06</v>
      </c>
      <c r="N103" s="4" t="str">
        <f>HYPERLINK("http://141.218.60.56/~jnz1568/getInfo.php?workbook=06_02.xlsx&amp;sheet=A0&amp;row=103&amp;col=14&amp;number=&amp;sourceID=30","")</f>
        <v/>
      </c>
      <c r="O103" s="4" t="str">
        <f>HYPERLINK("http://141.218.60.56/~jnz1568/getInfo.php?workbook=06_02.xlsx&amp;sheet=A0&amp;row=103&amp;col=15&amp;number=&amp;sourceID=32","")</f>
        <v/>
      </c>
      <c r="P103" s="4" t="str">
        <f>HYPERLINK("http://141.218.60.56/~jnz1568/getInfo.php?workbook=06_02.xlsx&amp;sheet=A0&amp;row=103&amp;col=16&amp;number=7.33e-13&amp;sourceID=32","7.33e-13")</f>
        <v>7.33e-13</v>
      </c>
      <c r="Q103" s="4" t="str">
        <f>HYPERLINK("http://141.218.60.56/~jnz1568/getInfo.php?workbook=06_02.xlsx&amp;sheet=A0&amp;row=103&amp;col=17&amp;number=1.137e-06&amp;sourceID=32","1.137e-06")</f>
        <v>1.137e-06</v>
      </c>
      <c r="R103" s="4" t="str">
        <f>HYPERLINK("http://141.218.60.56/~jnz1568/getInfo.php?workbook=06_02.xlsx&amp;sheet=A0&amp;row=103&amp;col=18&amp;number=&amp;sourceID=32","")</f>
        <v/>
      </c>
    </row>
    <row r="104" spans="1:18">
      <c r="A104" s="3">
        <v>6</v>
      </c>
      <c r="B104" s="3">
        <v>2</v>
      </c>
      <c r="C104" s="3">
        <v>17</v>
      </c>
      <c r="D104" s="3">
        <v>1</v>
      </c>
      <c r="E104" s="3">
        <f>((1/(INDEX(E0!J$4:J$52,C104,1)-INDEX(E0!J$4:J$52,D104,1))))*100000000</f>
        <v>0</v>
      </c>
      <c r="F104" s="4" t="str">
        <f>HYPERLINK("http://141.218.60.56/~jnz1568/getInfo.php?workbook=06_02.xlsx&amp;sheet=A0&amp;row=104&amp;col=6&amp;number=&amp;sourceID=27","")</f>
        <v/>
      </c>
      <c r="G104" s="4" t="str">
        <f>HYPERLINK("http://141.218.60.56/~jnz1568/getInfo.php?workbook=06_02.xlsx&amp;sheet=A0&amp;row=104&amp;col=7&amp;number=255400000000&amp;sourceID=34","255400000000")</f>
        <v>255400000000</v>
      </c>
      <c r="H104" s="4" t="str">
        <f>HYPERLINK("http://141.218.60.56/~jnz1568/getInfo.php?workbook=06_02.xlsx&amp;sheet=A0&amp;row=104&amp;col=8&amp;number=&amp;sourceID=34","")</f>
        <v/>
      </c>
      <c r="I104" s="4" t="str">
        <f>HYPERLINK("http://141.218.60.56/~jnz1568/getInfo.php?workbook=06_02.xlsx&amp;sheet=A0&amp;row=104&amp;col=9&amp;number=&amp;sourceID=34","")</f>
        <v/>
      </c>
      <c r="J104" s="4" t="str">
        <f>HYPERLINK("http://141.218.60.56/~jnz1568/getInfo.php?workbook=06_02.xlsx&amp;sheet=A0&amp;row=104&amp;col=10&amp;number=&amp;sourceID=34","")</f>
        <v/>
      </c>
      <c r="K104" s="4" t="str">
        <f>HYPERLINK("http://141.218.60.56/~jnz1568/getInfo.php?workbook=06_02.xlsx&amp;sheet=A0&amp;row=104&amp;col=11&amp;number=319600000000&amp;sourceID=30","319600000000")</f>
        <v>319600000000</v>
      </c>
      <c r="L104" s="4" t="str">
        <f>HYPERLINK("http://141.218.60.56/~jnz1568/getInfo.php?workbook=06_02.xlsx&amp;sheet=A0&amp;row=104&amp;col=12&amp;number=&amp;sourceID=30","")</f>
        <v/>
      </c>
      <c r="M104" s="4" t="str">
        <f>HYPERLINK("http://141.218.60.56/~jnz1568/getInfo.php?workbook=06_02.xlsx&amp;sheet=A0&amp;row=104&amp;col=13&amp;number=&amp;sourceID=30","")</f>
        <v/>
      </c>
      <c r="N104" s="4" t="str">
        <f>HYPERLINK("http://141.218.60.56/~jnz1568/getInfo.php?workbook=06_02.xlsx&amp;sheet=A0&amp;row=104&amp;col=14&amp;number=&amp;sourceID=30","")</f>
        <v/>
      </c>
      <c r="O104" s="4" t="str">
        <f>HYPERLINK("http://141.218.60.56/~jnz1568/getInfo.php?workbook=06_02.xlsx&amp;sheet=A0&amp;row=104&amp;col=15&amp;number=255100000000&amp;sourceID=32","255100000000")</f>
        <v>255100000000</v>
      </c>
      <c r="P104" s="4" t="str">
        <f>HYPERLINK("http://141.218.60.56/~jnz1568/getInfo.php?workbook=06_02.xlsx&amp;sheet=A0&amp;row=104&amp;col=16&amp;number=&amp;sourceID=32","")</f>
        <v/>
      </c>
      <c r="Q104" s="4" t="str">
        <f>HYPERLINK("http://141.218.60.56/~jnz1568/getInfo.php?workbook=06_02.xlsx&amp;sheet=A0&amp;row=104&amp;col=17&amp;number=&amp;sourceID=32","")</f>
        <v/>
      </c>
      <c r="R104" s="4" t="str">
        <f>HYPERLINK("http://141.218.60.56/~jnz1568/getInfo.php?workbook=06_02.xlsx&amp;sheet=A0&amp;row=104&amp;col=18&amp;number=&amp;sourceID=32","")</f>
        <v/>
      </c>
    </row>
    <row r="105" spans="1:18">
      <c r="A105" s="3">
        <v>6</v>
      </c>
      <c r="B105" s="3">
        <v>2</v>
      </c>
      <c r="C105" s="3">
        <v>17</v>
      </c>
      <c r="D105" s="3">
        <v>2</v>
      </c>
      <c r="E105" s="3">
        <f>((1/(INDEX(E0!J$4:J$52,C105,1)-INDEX(E0!J$4:J$52,D105,1))))*100000000</f>
        <v>0</v>
      </c>
      <c r="F105" s="4" t="str">
        <f>HYPERLINK("http://141.218.60.56/~jnz1568/getInfo.php?workbook=06_02.xlsx&amp;sheet=A0&amp;row=105&amp;col=6&amp;number=&amp;sourceID=27","")</f>
        <v/>
      </c>
      <c r="G105" s="4" t="str">
        <f>HYPERLINK("http://141.218.60.56/~jnz1568/getInfo.php?workbook=06_02.xlsx&amp;sheet=A0&amp;row=105&amp;col=7&amp;number=&amp;sourceID=34","")</f>
        <v/>
      </c>
      <c r="H105" s="4" t="str">
        <f>HYPERLINK("http://141.218.60.56/~jnz1568/getInfo.php?workbook=06_02.xlsx&amp;sheet=A0&amp;row=105&amp;col=8&amp;number=&amp;sourceID=34","")</f>
        <v/>
      </c>
      <c r="I105" s="4" t="str">
        <f>HYPERLINK("http://141.218.60.56/~jnz1568/getInfo.php?workbook=06_02.xlsx&amp;sheet=A0&amp;row=105&amp;col=9&amp;number=&amp;sourceID=34","")</f>
        <v/>
      </c>
      <c r="J105" s="4" t="str">
        <f>HYPERLINK("http://141.218.60.56/~jnz1568/getInfo.php?workbook=06_02.xlsx&amp;sheet=A0&amp;row=105&amp;col=10&amp;number=&amp;sourceID=34","")</f>
        <v/>
      </c>
      <c r="K105" s="4" t="str">
        <f>HYPERLINK("http://141.218.60.56/~jnz1568/getInfo.php?workbook=06_02.xlsx&amp;sheet=A0&amp;row=105&amp;col=11&amp;number=299800&amp;sourceID=30","299800")</f>
        <v>299800</v>
      </c>
      <c r="L105" s="4" t="str">
        <f>HYPERLINK("http://141.218.60.56/~jnz1568/getInfo.php?workbook=06_02.xlsx&amp;sheet=A0&amp;row=105&amp;col=12&amp;number=&amp;sourceID=30","")</f>
        <v/>
      </c>
      <c r="M105" s="4" t="str">
        <f>HYPERLINK("http://141.218.60.56/~jnz1568/getInfo.php?workbook=06_02.xlsx&amp;sheet=A0&amp;row=105&amp;col=13&amp;number=&amp;sourceID=30","")</f>
        <v/>
      </c>
      <c r="N105" s="4" t="str">
        <f>HYPERLINK("http://141.218.60.56/~jnz1568/getInfo.php?workbook=06_02.xlsx&amp;sheet=A0&amp;row=105&amp;col=14&amp;number=16.42&amp;sourceID=30","16.42")</f>
        <v>16.42</v>
      </c>
      <c r="O105" s="4" t="str">
        <f>HYPERLINK("http://141.218.60.56/~jnz1568/getInfo.php?workbook=06_02.xlsx&amp;sheet=A0&amp;row=105&amp;col=15&amp;number=336000&amp;sourceID=32","336000")</f>
        <v>336000</v>
      </c>
      <c r="P105" s="4" t="str">
        <f>HYPERLINK("http://141.218.60.56/~jnz1568/getInfo.php?workbook=06_02.xlsx&amp;sheet=A0&amp;row=105&amp;col=16&amp;number=&amp;sourceID=32","")</f>
        <v/>
      </c>
      <c r="Q105" s="4" t="str">
        <f>HYPERLINK("http://141.218.60.56/~jnz1568/getInfo.php?workbook=06_02.xlsx&amp;sheet=A0&amp;row=105&amp;col=17&amp;number=&amp;sourceID=32","")</f>
        <v/>
      </c>
      <c r="R105" s="4" t="str">
        <f>HYPERLINK("http://141.218.60.56/~jnz1568/getInfo.php?workbook=06_02.xlsx&amp;sheet=A0&amp;row=105&amp;col=18&amp;number=16.2&amp;sourceID=32","16.2")</f>
        <v>16.2</v>
      </c>
    </row>
    <row r="106" spans="1:18">
      <c r="A106" s="3">
        <v>6</v>
      </c>
      <c r="B106" s="3">
        <v>2</v>
      </c>
      <c r="C106" s="3">
        <v>17</v>
      </c>
      <c r="D106" s="3">
        <v>3</v>
      </c>
      <c r="E106" s="3">
        <f>((1/(INDEX(E0!J$4:J$52,C106,1)-INDEX(E0!J$4:J$52,D106,1))))*100000000</f>
        <v>0</v>
      </c>
      <c r="F106" s="4" t="str">
        <f>HYPERLINK("http://141.218.60.56/~jnz1568/getInfo.php?workbook=06_02.xlsx&amp;sheet=A0&amp;row=106&amp;col=6&amp;number=&amp;sourceID=27","")</f>
        <v/>
      </c>
      <c r="G106" s="4" t="str">
        <f>HYPERLINK("http://141.218.60.56/~jnz1568/getInfo.php?workbook=06_02.xlsx&amp;sheet=A0&amp;row=106&amp;col=7&amp;number=12780000000&amp;sourceID=34","12780000000")</f>
        <v>12780000000</v>
      </c>
      <c r="H106" s="4" t="str">
        <f>HYPERLINK("http://141.218.60.56/~jnz1568/getInfo.php?workbook=06_02.xlsx&amp;sheet=A0&amp;row=106&amp;col=8&amp;number=&amp;sourceID=34","")</f>
        <v/>
      </c>
      <c r="I106" s="4" t="str">
        <f>HYPERLINK("http://141.218.60.56/~jnz1568/getInfo.php?workbook=06_02.xlsx&amp;sheet=A0&amp;row=106&amp;col=9&amp;number=&amp;sourceID=34","")</f>
        <v/>
      </c>
      <c r="J106" s="4" t="str">
        <f>HYPERLINK("http://141.218.60.56/~jnz1568/getInfo.php?workbook=06_02.xlsx&amp;sheet=A0&amp;row=106&amp;col=10&amp;number=&amp;sourceID=34","")</f>
        <v/>
      </c>
      <c r="K106" s="4" t="str">
        <f>HYPERLINK("http://141.218.60.56/~jnz1568/getInfo.php?workbook=06_02.xlsx&amp;sheet=A0&amp;row=106&amp;col=11&amp;number=13640000000&amp;sourceID=30","13640000000")</f>
        <v>13640000000</v>
      </c>
      <c r="L106" s="4" t="str">
        <f>HYPERLINK("http://141.218.60.56/~jnz1568/getInfo.php?workbook=06_02.xlsx&amp;sheet=A0&amp;row=106&amp;col=12&amp;number=&amp;sourceID=30","")</f>
        <v/>
      </c>
      <c r="M106" s="4" t="str">
        <f>HYPERLINK("http://141.218.60.56/~jnz1568/getInfo.php?workbook=06_02.xlsx&amp;sheet=A0&amp;row=106&amp;col=13&amp;number=&amp;sourceID=30","")</f>
        <v/>
      </c>
      <c r="N106" s="4" t="str">
        <f>HYPERLINK("http://141.218.60.56/~jnz1568/getInfo.php?workbook=06_02.xlsx&amp;sheet=A0&amp;row=106&amp;col=14&amp;number=&amp;sourceID=30","")</f>
        <v/>
      </c>
      <c r="O106" s="4" t="str">
        <f>HYPERLINK("http://141.218.60.56/~jnz1568/getInfo.php?workbook=06_02.xlsx&amp;sheet=A0&amp;row=106&amp;col=15&amp;number=12770000000&amp;sourceID=32","12770000000")</f>
        <v>12770000000</v>
      </c>
      <c r="P106" s="4" t="str">
        <f>HYPERLINK("http://141.218.60.56/~jnz1568/getInfo.php?workbook=06_02.xlsx&amp;sheet=A0&amp;row=106&amp;col=16&amp;number=&amp;sourceID=32","")</f>
        <v/>
      </c>
      <c r="Q106" s="4" t="str">
        <f>HYPERLINK("http://141.218.60.56/~jnz1568/getInfo.php?workbook=06_02.xlsx&amp;sheet=A0&amp;row=106&amp;col=17&amp;number=&amp;sourceID=32","")</f>
        <v/>
      </c>
      <c r="R106" s="4" t="str">
        <f>HYPERLINK("http://141.218.60.56/~jnz1568/getInfo.php?workbook=06_02.xlsx&amp;sheet=A0&amp;row=106&amp;col=18&amp;number=&amp;sourceID=32","")</f>
        <v/>
      </c>
    </row>
    <row r="107" spans="1:18">
      <c r="A107" s="3">
        <v>6</v>
      </c>
      <c r="B107" s="3">
        <v>2</v>
      </c>
      <c r="C107" s="3">
        <v>17</v>
      </c>
      <c r="D107" s="3">
        <v>4</v>
      </c>
      <c r="E107" s="3">
        <f>((1/(INDEX(E0!J$4:J$52,C107,1)-INDEX(E0!J$4:J$52,D107,1))))*100000000</f>
        <v>0</v>
      </c>
      <c r="F107" s="4" t="str">
        <f>HYPERLINK("http://141.218.60.56/~jnz1568/getInfo.php?workbook=06_02.xlsx&amp;sheet=A0&amp;row=107&amp;col=6&amp;number=&amp;sourceID=27","")</f>
        <v/>
      </c>
      <c r="G107" s="4" t="str">
        <f>HYPERLINK("http://141.218.60.56/~jnz1568/getInfo.php?workbook=06_02.xlsx&amp;sheet=A0&amp;row=107&amp;col=7&amp;number=&amp;sourceID=34","")</f>
        <v/>
      </c>
      <c r="H107" s="4" t="str">
        <f>HYPERLINK("http://141.218.60.56/~jnz1568/getInfo.php?workbook=06_02.xlsx&amp;sheet=A0&amp;row=107&amp;col=8&amp;number=&amp;sourceID=34","")</f>
        <v/>
      </c>
      <c r="I107" s="4" t="str">
        <f>HYPERLINK("http://141.218.60.56/~jnz1568/getInfo.php?workbook=06_02.xlsx&amp;sheet=A0&amp;row=107&amp;col=9&amp;number=&amp;sourceID=34","")</f>
        <v/>
      </c>
      <c r="J107" s="4" t="str">
        <f>HYPERLINK("http://141.218.60.56/~jnz1568/getInfo.php?workbook=06_02.xlsx&amp;sheet=A0&amp;row=107&amp;col=10&amp;number=&amp;sourceID=34","")</f>
        <v/>
      </c>
      <c r="K107" s="4" t="str">
        <f>HYPERLINK("http://141.218.60.56/~jnz1568/getInfo.php?workbook=06_02.xlsx&amp;sheet=A0&amp;row=107&amp;col=11&amp;number=&amp;sourceID=30","")</f>
        <v/>
      </c>
      <c r="L107" s="4" t="str">
        <f>HYPERLINK("http://141.218.60.56/~jnz1568/getInfo.php?workbook=06_02.xlsx&amp;sheet=A0&amp;row=107&amp;col=12&amp;number=24.58&amp;sourceID=30","24.58")</f>
        <v>24.58</v>
      </c>
      <c r="M107" s="4" t="str">
        <f>HYPERLINK("http://141.218.60.56/~jnz1568/getInfo.php?workbook=06_02.xlsx&amp;sheet=A0&amp;row=107&amp;col=13&amp;number=0.02394&amp;sourceID=30","0.02394")</f>
        <v>0.02394</v>
      </c>
      <c r="N107" s="4" t="str">
        <f>HYPERLINK("http://141.218.60.56/~jnz1568/getInfo.php?workbook=06_02.xlsx&amp;sheet=A0&amp;row=107&amp;col=14&amp;number=&amp;sourceID=30","")</f>
        <v/>
      </c>
      <c r="O107" s="4" t="str">
        <f>HYPERLINK("http://141.218.60.56/~jnz1568/getInfo.php?workbook=06_02.xlsx&amp;sheet=A0&amp;row=107&amp;col=15&amp;number=&amp;sourceID=32","")</f>
        <v/>
      </c>
      <c r="P107" s="4" t="str">
        <f>HYPERLINK("http://141.218.60.56/~jnz1568/getInfo.php?workbook=06_02.xlsx&amp;sheet=A0&amp;row=107&amp;col=16&amp;number=25.39&amp;sourceID=32","25.39")</f>
        <v>25.39</v>
      </c>
      <c r="Q107" s="4" t="str">
        <f>HYPERLINK("http://141.218.60.56/~jnz1568/getInfo.php?workbook=06_02.xlsx&amp;sheet=A0&amp;row=107&amp;col=17&amp;number=0.02372&amp;sourceID=32","0.02372")</f>
        <v>0.02372</v>
      </c>
      <c r="R107" s="4" t="str">
        <f>HYPERLINK("http://141.218.60.56/~jnz1568/getInfo.php?workbook=06_02.xlsx&amp;sheet=A0&amp;row=107&amp;col=18&amp;number=&amp;sourceID=32","")</f>
        <v/>
      </c>
    </row>
    <row r="108" spans="1:18">
      <c r="A108" s="3">
        <v>6</v>
      </c>
      <c r="B108" s="3">
        <v>2</v>
      </c>
      <c r="C108" s="3">
        <v>17</v>
      </c>
      <c r="D108" s="3">
        <v>5</v>
      </c>
      <c r="E108" s="3">
        <f>((1/(INDEX(E0!J$4:J$52,C108,1)-INDEX(E0!J$4:J$52,D108,1))))*100000000</f>
        <v>0</v>
      </c>
      <c r="F108" s="4" t="str">
        <f>HYPERLINK("http://141.218.60.56/~jnz1568/getInfo.php?workbook=06_02.xlsx&amp;sheet=A0&amp;row=108&amp;col=6&amp;number=&amp;sourceID=27","")</f>
        <v/>
      </c>
      <c r="G108" s="4" t="str">
        <f>HYPERLINK("http://141.218.60.56/~jnz1568/getInfo.php?workbook=06_02.xlsx&amp;sheet=A0&amp;row=108&amp;col=7&amp;number=&amp;sourceID=34","")</f>
        <v/>
      </c>
      <c r="H108" s="4" t="str">
        <f>HYPERLINK("http://141.218.60.56/~jnz1568/getInfo.php?workbook=06_02.xlsx&amp;sheet=A0&amp;row=108&amp;col=8&amp;number=&amp;sourceID=34","")</f>
        <v/>
      </c>
      <c r="I108" s="4" t="str">
        <f>HYPERLINK("http://141.218.60.56/~jnz1568/getInfo.php?workbook=06_02.xlsx&amp;sheet=A0&amp;row=108&amp;col=9&amp;number=&amp;sourceID=34","")</f>
        <v/>
      </c>
      <c r="J108" s="4" t="str">
        <f>HYPERLINK("http://141.218.60.56/~jnz1568/getInfo.php?workbook=06_02.xlsx&amp;sheet=A0&amp;row=108&amp;col=10&amp;number=&amp;sourceID=34","")</f>
        <v/>
      </c>
      <c r="K108" s="4" t="str">
        <f>HYPERLINK("http://141.218.60.56/~jnz1568/getInfo.php?workbook=06_02.xlsx&amp;sheet=A0&amp;row=108&amp;col=11&amp;number=&amp;sourceID=30","")</f>
        <v/>
      </c>
      <c r="L108" s="4" t="str">
        <f>HYPERLINK("http://141.218.60.56/~jnz1568/getInfo.php?workbook=06_02.xlsx&amp;sheet=A0&amp;row=108&amp;col=12&amp;number=&amp;sourceID=30","")</f>
        <v/>
      </c>
      <c r="M108" s="4" t="str">
        <f>HYPERLINK("http://141.218.60.56/~jnz1568/getInfo.php?workbook=06_02.xlsx&amp;sheet=A0&amp;row=108&amp;col=13&amp;number=0.03467&amp;sourceID=30","0.03467")</f>
        <v>0.03467</v>
      </c>
      <c r="N108" s="4" t="str">
        <f>HYPERLINK("http://141.218.60.56/~jnz1568/getInfo.php?workbook=06_02.xlsx&amp;sheet=A0&amp;row=108&amp;col=14&amp;number=&amp;sourceID=30","")</f>
        <v/>
      </c>
      <c r="O108" s="4" t="str">
        <f>HYPERLINK("http://141.218.60.56/~jnz1568/getInfo.php?workbook=06_02.xlsx&amp;sheet=A0&amp;row=108&amp;col=15&amp;number=&amp;sourceID=32","")</f>
        <v/>
      </c>
      <c r="P108" s="4" t="str">
        <f>HYPERLINK("http://141.218.60.56/~jnz1568/getInfo.php?workbook=06_02.xlsx&amp;sheet=A0&amp;row=108&amp;col=16&amp;number=&amp;sourceID=32","")</f>
        <v/>
      </c>
      <c r="Q108" s="4" t="str">
        <f>HYPERLINK("http://141.218.60.56/~jnz1568/getInfo.php?workbook=06_02.xlsx&amp;sheet=A0&amp;row=108&amp;col=17&amp;number=0.03&amp;sourceID=32","0.03")</f>
        <v>0.03</v>
      </c>
      <c r="R108" s="4" t="str">
        <f>HYPERLINK("http://141.218.60.56/~jnz1568/getInfo.php?workbook=06_02.xlsx&amp;sheet=A0&amp;row=108&amp;col=18&amp;number=&amp;sourceID=32","")</f>
        <v/>
      </c>
    </row>
    <row r="109" spans="1:18">
      <c r="A109" s="3">
        <v>6</v>
      </c>
      <c r="B109" s="3">
        <v>2</v>
      </c>
      <c r="C109" s="3">
        <v>17</v>
      </c>
      <c r="D109" s="3">
        <v>6</v>
      </c>
      <c r="E109" s="3">
        <f>((1/(INDEX(E0!J$4:J$52,C109,1)-INDEX(E0!J$4:J$52,D109,1))))*100000000</f>
        <v>0</v>
      </c>
      <c r="F109" s="4" t="str">
        <f>HYPERLINK("http://141.218.60.56/~jnz1568/getInfo.php?workbook=06_02.xlsx&amp;sheet=A0&amp;row=109&amp;col=6&amp;number=&amp;sourceID=27","")</f>
        <v/>
      </c>
      <c r="G109" s="4" t="str">
        <f>HYPERLINK("http://141.218.60.56/~jnz1568/getInfo.php?workbook=06_02.xlsx&amp;sheet=A0&amp;row=109&amp;col=7&amp;number=&amp;sourceID=34","")</f>
        <v/>
      </c>
      <c r="H109" s="4" t="str">
        <f>HYPERLINK("http://141.218.60.56/~jnz1568/getInfo.php?workbook=06_02.xlsx&amp;sheet=A0&amp;row=109&amp;col=8&amp;number=&amp;sourceID=34","")</f>
        <v/>
      </c>
      <c r="I109" s="4" t="str">
        <f>HYPERLINK("http://141.218.60.56/~jnz1568/getInfo.php?workbook=06_02.xlsx&amp;sheet=A0&amp;row=109&amp;col=9&amp;number=&amp;sourceID=34","")</f>
        <v/>
      </c>
      <c r="J109" s="4" t="str">
        <f>HYPERLINK("http://141.218.60.56/~jnz1568/getInfo.php?workbook=06_02.xlsx&amp;sheet=A0&amp;row=109&amp;col=10&amp;number=&amp;sourceID=34","")</f>
        <v/>
      </c>
      <c r="K109" s="4" t="str">
        <f>HYPERLINK("http://141.218.60.56/~jnz1568/getInfo.php?workbook=06_02.xlsx&amp;sheet=A0&amp;row=109&amp;col=11&amp;number=&amp;sourceID=30","")</f>
        <v/>
      </c>
      <c r="L109" s="4" t="str">
        <f>HYPERLINK("http://141.218.60.56/~jnz1568/getInfo.php?workbook=06_02.xlsx&amp;sheet=A0&amp;row=109&amp;col=12&amp;number=8.027&amp;sourceID=30","8.027")</f>
        <v>8.027</v>
      </c>
      <c r="M109" s="4" t="str">
        <f>HYPERLINK("http://141.218.60.56/~jnz1568/getInfo.php?workbook=06_02.xlsx&amp;sheet=A0&amp;row=109&amp;col=13&amp;number=0.09709&amp;sourceID=30","0.09709")</f>
        <v>0.09709</v>
      </c>
      <c r="N109" s="4" t="str">
        <f>HYPERLINK("http://141.218.60.56/~jnz1568/getInfo.php?workbook=06_02.xlsx&amp;sheet=A0&amp;row=109&amp;col=14&amp;number=&amp;sourceID=30","")</f>
        <v/>
      </c>
      <c r="O109" s="4" t="str">
        <f>HYPERLINK("http://141.218.60.56/~jnz1568/getInfo.php?workbook=06_02.xlsx&amp;sheet=A0&amp;row=109&amp;col=15&amp;number=&amp;sourceID=32","")</f>
        <v/>
      </c>
      <c r="P109" s="4" t="str">
        <f>HYPERLINK("http://141.218.60.56/~jnz1568/getInfo.php?workbook=06_02.xlsx&amp;sheet=A0&amp;row=109&amp;col=16&amp;number=8.808&amp;sourceID=32","8.808")</f>
        <v>8.808</v>
      </c>
      <c r="Q109" s="4" t="str">
        <f>HYPERLINK("http://141.218.60.56/~jnz1568/getInfo.php?workbook=06_02.xlsx&amp;sheet=A0&amp;row=109&amp;col=17&amp;number=0.08588&amp;sourceID=32","0.08588")</f>
        <v>0.08588</v>
      </c>
      <c r="R109" s="4" t="str">
        <f>HYPERLINK("http://141.218.60.56/~jnz1568/getInfo.php?workbook=06_02.xlsx&amp;sheet=A0&amp;row=109&amp;col=18&amp;number=&amp;sourceID=32","")</f>
        <v/>
      </c>
    </row>
    <row r="110" spans="1:18">
      <c r="A110" s="3">
        <v>6</v>
      </c>
      <c r="B110" s="3">
        <v>2</v>
      </c>
      <c r="C110" s="3">
        <v>17</v>
      </c>
      <c r="D110" s="3">
        <v>7</v>
      </c>
      <c r="E110" s="3">
        <f>((1/(INDEX(E0!J$4:J$52,C110,1)-INDEX(E0!J$4:J$52,D110,1))))*100000000</f>
        <v>0</v>
      </c>
      <c r="F110" s="4" t="str">
        <f>HYPERLINK("http://141.218.60.56/~jnz1568/getInfo.php?workbook=06_02.xlsx&amp;sheet=A0&amp;row=110&amp;col=6&amp;number=&amp;sourceID=27","")</f>
        <v/>
      </c>
      <c r="G110" s="4" t="str">
        <f>HYPERLINK("http://141.218.60.56/~jnz1568/getInfo.php?workbook=06_02.xlsx&amp;sheet=A0&amp;row=110&amp;col=7&amp;number=&amp;sourceID=34","")</f>
        <v/>
      </c>
      <c r="H110" s="4" t="str">
        <f>HYPERLINK("http://141.218.60.56/~jnz1568/getInfo.php?workbook=06_02.xlsx&amp;sheet=A0&amp;row=110&amp;col=8&amp;number=&amp;sourceID=34","")</f>
        <v/>
      </c>
      <c r="I110" s="4" t="str">
        <f>HYPERLINK("http://141.218.60.56/~jnz1568/getInfo.php?workbook=06_02.xlsx&amp;sheet=A0&amp;row=110&amp;col=9&amp;number=&amp;sourceID=34","")</f>
        <v/>
      </c>
      <c r="J110" s="4" t="str">
        <f>HYPERLINK("http://141.218.60.56/~jnz1568/getInfo.php?workbook=06_02.xlsx&amp;sheet=A0&amp;row=110&amp;col=10&amp;number=&amp;sourceID=34","")</f>
        <v/>
      </c>
      <c r="K110" s="4" t="str">
        <f>HYPERLINK("http://141.218.60.56/~jnz1568/getInfo.php?workbook=06_02.xlsx&amp;sheet=A0&amp;row=110&amp;col=11&amp;number=&amp;sourceID=30","")</f>
        <v/>
      </c>
      <c r="L110" s="4" t="str">
        <f>HYPERLINK("http://141.218.60.56/~jnz1568/getInfo.php?workbook=06_02.xlsx&amp;sheet=A0&amp;row=110&amp;col=12&amp;number=376500&amp;sourceID=30","376500")</f>
        <v>376500</v>
      </c>
      <c r="M110" s="4" t="str">
        <f>HYPERLINK("http://141.218.60.56/~jnz1568/getInfo.php?workbook=06_02.xlsx&amp;sheet=A0&amp;row=110&amp;col=13&amp;number=0.01366&amp;sourceID=30","0.01366")</f>
        <v>0.01366</v>
      </c>
      <c r="N110" s="4" t="str">
        <f>HYPERLINK("http://141.218.60.56/~jnz1568/getInfo.php?workbook=06_02.xlsx&amp;sheet=A0&amp;row=110&amp;col=14&amp;number=&amp;sourceID=30","")</f>
        <v/>
      </c>
      <c r="O110" s="4" t="str">
        <f>HYPERLINK("http://141.218.60.56/~jnz1568/getInfo.php?workbook=06_02.xlsx&amp;sheet=A0&amp;row=110&amp;col=15&amp;number=&amp;sourceID=32","")</f>
        <v/>
      </c>
      <c r="P110" s="4" t="str">
        <f>HYPERLINK("http://141.218.60.56/~jnz1568/getInfo.php?workbook=06_02.xlsx&amp;sheet=A0&amp;row=110&amp;col=16&amp;number=364200&amp;sourceID=32","364200")</f>
        <v>364200</v>
      </c>
      <c r="Q110" s="4" t="str">
        <f>HYPERLINK("http://141.218.60.56/~jnz1568/getInfo.php?workbook=06_02.xlsx&amp;sheet=A0&amp;row=110&amp;col=17&amp;number=0.01182&amp;sourceID=32","0.01182")</f>
        <v>0.01182</v>
      </c>
      <c r="R110" s="4" t="str">
        <f>HYPERLINK("http://141.218.60.56/~jnz1568/getInfo.php?workbook=06_02.xlsx&amp;sheet=A0&amp;row=110&amp;col=18&amp;number=&amp;sourceID=32","")</f>
        <v/>
      </c>
    </row>
    <row r="111" spans="1:18">
      <c r="A111" s="3">
        <v>6</v>
      </c>
      <c r="B111" s="3">
        <v>2</v>
      </c>
      <c r="C111" s="3">
        <v>17</v>
      </c>
      <c r="D111" s="3">
        <v>8</v>
      </c>
      <c r="E111" s="3">
        <f>((1/(INDEX(E0!J$4:J$52,C111,1)-INDEX(E0!J$4:J$52,D111,1))))*100000000</f>
        <v>0</v>
      </c>
      <c r="F111" s="4" t="str">
        <f>HYPERLINK("http://141.218.60.56/~jnz1568/getInfo.php?workbook=06_02.xlsx&amp;sheet=A0&amp;row=111&amp;col=6&amp;number=&amp;sourceID=27","")</f>
        <v/>
      </c>
      <c r="G111" s="4" t="str">
        <f>HYPERLINK("http://141.218.60.56/~jnz1568/getInfo.php?workbook=06_02.xlsx&amp;sheet=A0&amp;row=111&amp;col=7&amp;number=&amp;sourceID=34","")</f>
        <v/>
      </c>
      <c r="H111" s="4" t="str">
        <f>HYPERLINK("http://141.218.60.56/~jnz1568/getInfo.php?workbook=06_02.xlsx&amp;sheet=A0&amp;row=111&amp;col=8&amp;number=&amp;sourceID=34","")</f>
        <v/>
      </c>
      <c r="I111" s="4" t="str">
        <f>HYPERLINK("http://141.218.60.56/~jnz1568/getInfo.php?workbook=06_02.xlsx&amp;sheet=A0&amp;row=111&amp;col=9&amp;number=&amp;sourceID=34","")</f>
        <v/>
      </c>
      <c r="J111" s="4" t="str">
        <f>HYPERLINK("http://141.218.60.56/~jnz1568/getInfo.php?workbook=06_02.xlsx&amp;sheet=A0&amp;row=111&amp;col=10&amp;number=&amp;sourceID=34","")</f>
        <v/>
      </c>
      <c r="K111" s="4" t="str">
        <f>HYPERLINK("http://141.218.60.56/~jnz1568/getInfo.php?workbook=06_02.xlsx&amp;sheet=A0&amp;row=111&amp;col=11&amp;number=1055&amp;sourceID=30","1055")</f>
        <v>1055</v>
      </c>
      <c r="L111" s="4" t="str">
        <f>HYPERLINK("http://141.218.60.56/~jnz1568/getInfo.php?workbook=06_02.xlsx&amp;sheet=A0&amp;row=111&amp;col=12&amp;number=&amp;sourceID=30","")</f>
        <v/>
      </c>
      <c r="M111" s="4" t="str">
        <f>HYPERLINK("http://141.218.60.56/~jnz1568/getInfo.php?workbook=06_02.xlsx&amp;sheet=A0&amp;row=111&amp;col=13&amp;number=&amp;sourceID=30","")</f>
        <v/>
      </c>
      <c r="N111" s="4" t="str">
        <f>HYPERLINK("http://141.218.60.56/~jnz1568/getInfo.php?workbook=06_02.xlsx&amp;sheet=A0&amp;row=111&amp;col=14&amp;number=0.0001146&amp;sourceID=30","0.0001146")</f>
        <v>0.0001146</v>
      </c>
      <c r="O111" s="4" t="str">
        <f>HYPERLINK("http://141.218.60.56/~jnz1568/getInfo.php?workbook=06_02.xlsx&amp;sheet=A0&amp;row=111&amp;col=15&amp;number=1014&amp;sourceID=32","1014")</f>
        <v>1014</v>
      </c>
      <c r="P111" s="4" t="str">
        <f>HYPERLINK("http://141.218.60.56/~jnz1568/getInfo.php?workbook=06_02.xlsx&amp;sheet=A0&amp;row=111&amp;col=16&amp;number=&amp;sourceID=32","")</f>
        <v/>
      </c>
      <c r="Q111" s="4" t="str">
        <f>HYPERLINK("http://141.218.60.56/~jnz1568/getInfo.php?workbook=06_02.xlsx&amp;sheet=A0&amp;row=111&amp;col=17&amp;number=&amp;sourceID=32","")</f>
        <v/>
      </c>
      <c r="R111" s="4" t="str">
        <f>HYPERLINK("http://141.218.60.56/~jnz1568/getInfo.php?workbook=06_02.xlsx&amp;sheet=A0&amp;row=111&amp;col=18&amp;number=9.758e-05&amp;sourceID=32","9.758e-05")</f>
        <v>9.758e-05</v>
      </c>
    </row>
    <row r="112" spans="1:18">
      <c r="A112" s="3">
        <v>6</v>
      </c>
      <c r="B112" s="3">
        <v>2</v>
      </c>
      <c r="C112" s="3">
        <v>17</v>
      </c>
      <c r="D112" s="3">
        <v>9</v>
      </c>
      <c r="E112" s="3">
        <f>((1/(INDEX(E0!J$4:J$52,C112,1)-INDEX(E0!J$4:J$52,D112,1))))*100000000</f>
        <v>0</v>
      </c>
      <c r="F112" s="4" t="str">
        <f>HYPERLINK("http://141.218.60.56/~jnz1568/getInfo.php?workbook=06_02.xlsx&amp;sheet=A0&amp;row=112&amp;col=6&amp;number=&amp;sourceID=27","")</f>
        <v/>
      </c>
      <c r="G112" s="4" t="str">
        <f>HYPERLINK("http://141.218.60.56/~jnz1568/getInfo.php?workbook=06_02.xlsx&amp;sheet=A0&amp;row=112&amp;col=7&amp;number=2411000&amp;sourceID=34","2411000")</f>
        <v>2411000</v>
      </c>
      <c r="H112" s="4" t="str">
        <f>HYPERLINK("http://141.218.60.56/~jnz1568/getInfo.php?workbook=06_02.xlsx&amp;sheet=A0&amp;row=112&amp;col=8&amp;number=&amp;sourceID=34","")</f>
        <v/>
      </c>
      <c r="I112" s="4" t="str">
        <f>HYPERLINK("http://141.218.60.56/~jnz1568/getInfo.php?workbook=06_02.xlsx&amp;sheet=A0&amp;row=112&amp;col=9&amp;number=&amp;sourceID=34","")</f>
        <v/>
      </c>
      <c r="J112" s="4" t="str">
        <f>HYPERLINK("http://141.218.60.56/~jnz1568/getInfo.php?workbook=06_02.xlsx&amp;sheet=A0&amp;row=112&amp;col=10&amp;number=&amp;sourceID=34","")</f>
        <v/>
      </c>
      <c r="K112" s="4" t="str">
        <f>HYPERLINK("http://141.218.60.56/~jnz1568/getInfo.php?workbook=06_02.xlsx&amp;sheet=A0&amp;row=112&amp;col=11&amp;number=1751000&amp;sourceID=30","1751000")</f>
        <v>1751000</v>
      </c>
      <c r="L112" s="4" t="str">
        <f>HYPERLINK("http://141.218.60.56/~jnz1568/getInfo.php?workbook=06_02.xlsx&amp;sheet=A0&amp;row=112&amp;col=12&amp;number=&amp;sourceID=30","")</f>
        <v/>
      </c>
      <c r="M112" s="4" t="str">
        <f>HYPERLINK("http://141.218.60.56/~jnz1568/getInfo.php?workbook=06_02.xlsx&amp;sheet=A0&amp;row=112&amp;col=13&amp;number=&amp;sourceID=30","")</f>
        <v/>
      </c>
      <c r="N112" s="4" t="str">
        <f>HYPERLINK("http://141.218.60.56/~jnz1568/getInfo.php?workbook=06_02.xlsx&amp;sheet=A0&amp;row=112&amp;col=14&amp;number=&amp;sourceID=30","")</f>
        <v/>
      </c>
      <c r="O112" s="4" t="str">
        <f>HYPERLINK("http://141.218.60.56/~jnz1568/getInfo.php?workbook=06_02.xlsx&amp;sheet=A0&amp;row=112&amp;col=15&amp;number=2441000&amp;sourceID=32","2441000")</f>
        <v>2441000</v>
      </c>
      <c r="P112" s="4" t="str">
        <f>HYPERLINK("http://141.218.60.56/~jnz1568/getInfo.php?workbook=06_02.xlsx&amp;sheet=A0&amp;row=112&amp;col=16&amp;number=&amp;sourceID=32","")</f>
        <v/>
      </c>
      <c r="Q112" s="4" t="str">
        <f>HYPERLINK("http://141.218.60.56/~jnz1568/getInfo.php?workbook=06_02.xlsx&amp;sheet=A0&amp;row=112&amp;col=17&amp;number=&amp;sourceID=32","")</f>
        <v/>
      </c>
      <c r="R112" s="4" t="str">
        <f>HYPERLINK("http://141.218.60.56/~jnz1568/getInfo.php?workbook=06_02.xlsx&amp;sheet=A0&amp;row=112&amp;col=18&amp;number=&amp;sourceID=32","")</f>
        <v/>
      </c>
    </row>
    <row r="113" spans="1:18">
      <c r="A113" s="3">
        <v>6</v>
      </c>
      <c r="B113" s="3">
        <v>2</v>
      </c>
      <c r="C113" s="3">
        <v>17</v>
      </c>
      <c r="D113" s="3">
        <v>10</v>
      </c>
      <c r="E113" s="3">
        <f>((1/(INDEX(E0!J$4:J$52,C113,1)-INDEX(E0!J$4:J$52,D113,1))))*100000000</f>
        <v>0</v>
      </c>
      <c r="F113" s="4" t="str">
        <f>HYPERLINK("http://141.218.60.56/~jnz1568/getInfo.php?workbook=06_02.xlsx&amp;sheet=A0&amp;row=113&amp;col=6&amp;number=&amp;sourceID=27","")</f>
        <v/>
      </c>
      <c r="G113" s="4" t="str">
        <f>HYPERLINK("http://141.218.60.56/~jnz1568/getInfo.php?workbook=06_02.xlsx&amp;sheet=A0&amp;row=113&amp;col=7&amp;number=&amp;sourceID=34","")</f>
        <v/>
      </c>
      <c r="H113" s="4" t="str">
        <f>HYPERLINK("http://141.218.60.56/~jnz1568/getInfo.php?workbook=06_02.xlsx&amp;sheet=A0&amp;row=113&amp;col=8&amp;number=&amp;sourceID=34","")</f>
        <v/>
      </c>
      <c r="I113" s="4" t="str">
        <f>HYPERLINK("http://141.218.60.56/~jnz1568/getInfo.php?workbook=06_02.xlsx&amp;sheet=A0&amp;row=113&amp;col=9&amp;number=&amp;sourceID=34","")</f>
        <v/>
      </c>
      <c r="J113" s="4" t="str">
        <f>HYPERLINK("http://141.218.60.56/~jnz1568/getInfo.php?workbook=06_02.xlsx&amp;sheet=A0&amp;row=113&amp;col=10&amp;number=&amp;sourceID=34","")</f>
        <v/>
      </c>
      <c r="K113" s="4" t="str">
        <f>HYPERLINK("http://141.218.60.56/~jnz1568/getInfo.php?workbook=06_02.xlsx&amp;sheet=A0&amp;row=113&amp;col=11&amp;number=&amp;sourceID=30","")</f>
        <v/>
      </c>
      <c r="L113" s="4" t="str">
        <f>HYPERLINK("http://141.218.60.56/~jnz1568/getInfo.php?workbook=06_02.xlsx&amp;sheet=A0&amp;row=113&amp;col=12&amp;number=6.386e-06&amp;sourceID=30","6.386e-06")</f>
        <v>6.386e-06</v>
      </c>
      <c r="M113" s="4" t="str">
        <f>HYPERLINK("http://141.218.60.56/~jnz1568/getInfo.php?workbook=06_02.xlsx&amp;sheet=A0&amp;row=113&amp;col=13&amp;number=0.0003148&amp;sourceID=30","0.0003148")</f>
        <v>0.0003148</v>
      </c>
      <c r="N113" s="4" t="str">
        <f>HYPERLINK("http://141.218.60.56/~jnz1568/getInfo.php?workbook=06_02.xlsx&amp;sheet=A0&amp;row=113&amp;col=14&amp;number=&amp;sourceID=30","")</f>
        <v/>
      </c>
      <c r="O113" s="4" t="str">
        <f>HYPERLINK("http://141.218.60.56/~jnz1568/getInfo.php?workbook=06_02.xlsx&amp;sheet=A0&amp;row=113&amp;col=15&amp;number=&amp;sourceID=32","")</f>
        <v/>
      </c>
      <c r="P113" s="4" t="str">
        <f>HYPERLINK("http://141.218.60.56/~jnz1568/getInfo.php?workbook=06_02.xlsx&amp;sheet=A0&amp;row=113&amp;col=16&amp;number=4.929e-06&amp;sourceID=32","4.929e-06")</f>
        <v>4.929e-06</v>
      </c>
      <c r="Q113" s="4" t="str">
        <f>HYPERLINK("http://141.218.60.56/~jnz1568/getInfo.php?workbook=06_02.xlsx&amp;sheet=A0&amp;row=113&amp;col=17&amp;number=0.0002762&amp;sourceID=32","0.0002762")</f>
        <v>0.0002762</v>
      </c>
      <c r="R113" s="4" t="str">
        <f>HYPERLINK("http://141.218.60.56/~jnz1568/getInfo.php?workbook=06_02.xlsx&amp;sheet=A0&amp;row=113&amp;col=18&amp;number=&amp;sourceID=32","")</f>
        <v/>
      </c>
    </row>
    <row r="114" spans="1:18">
      <c r="A114" s="3">
        <v>6</v>
      </c>
      <c r="B114" s="3">
        <v>2</v>
      </c>
      <c r="C114" s="3">
        <v>17</v>
      </c>
      <c r="D114" s="3">
        <v>11</v>
      </c>
      <c r="E114" s="3">
        <f>((1/(INDEX(E0!J$4:J$52,C114,1)-INDEX(E0!J$4:J$52,D114,1))))*100000000</f>
        <v>0</v>
      </c>
      <c r="F114" s="4" t="str">
        <f>HYPERLINK("http://141.218.60.56/~jnz1568/getInfo.php?workbook=06_02.xlsx&amp;sheet=A0&amp;row=114&amp;col=6&amp;number=&amp;sourceID=27","")</f>
        <v/>
      </c>
      <c r="G114" s="4" t="str">
        <f>HYPERLINK("http://141.218.60.56/~jnz1568/getInfo.php?workbook=06_02.xlsx&amp;sheet=A0&amp;row=114&amp;col=7&amp;number=&amp;sourceID=34","")</f>
        <v/>
      </c>
      <c r="H114" s="4" t="str">
        <f>HYPERLINK("http://141.218.60.56/~jnz1568/getInfo.php?workbook=06_02.xlsx&amp;sheet=A0&amp;row=114&amp;col=8&amp;number=&amp;sourceID=34","")</f>
        <v/>
      </c>
      <c r="I114" s="4" t="str">
        <f>HYPERLINK("http://141.218.60.56/~jnz1568/getInfo.php?workbook=06_02.xlsx&amp;sheet=A0&amp;row=114&amp;col=9&amp;number=&amp;sourceID=34","")</f>
        <v/>
      </c>
      <c r="J114" s="4" t="str">
        <f>HYPERLINK("http://141.218.60.56/~jnz1568/getInfo.php?workbook=06_02.xlsx&amp;sheet=A0&amp;row=114&amp;col=10&amp;number=&amp;sourceID=34","")</f>
        <v/>
      </c>
      <c r="K114" s="4" t="str">
        <f>HYPERLINK("http://141.218.60.56/~jnz1568/getInfo.php?workbook=06_02.xlsx&amp;sheet=A0&amp;row=114&amp;col=11&amp;number=&amp;sourceID=30","")</f>
        <v/>
      </c>
      <c r="L114" s="4" t="str">
        <f>HYPERLINK("http://141.218.60.56/~jnz1568/getInfo.php?workbook=06_02.xlsx&amp;sheet=A0&amp;row=114&amp;col=12&amp;number=&amp;sourceID=30","")</f>
        <v/>
      </c>
      <c r="M114" s="4" t="str">
        <f>HYPERLINK("http://141.218.60.56/~jnz1568/getInfo.php?workbook=06_02.xlsx&amp;sheet=A0&amp;row=114&amp;col=13&amp;number=0.0003606&amp;sourceID=30","0.0003606")</f>
        <v>0.0003606</v>
      </c>
      <c r="N114" s="4" t="str">
        <f>HYPERLINK("http://141.218.60.56/~jnz1568/getInfo.php?workbook=06_02.xlsx&amp;sheet=A0&amp;row=114&amp;col=14&amp;number=&amp;sourceID=30","")</f>
        <v/>
      </c>
      <c r="O114" s="4" t="str">
        <f>HYPERLINK("http://141.218.60.56/~jnz1568/getInfo.php?workbook=06_02.xlsx&amp;sheet=A0&amp;row=114&amp;col=15&amp;number=&amp;sourceID=32","")</f>
        <v/>
      </c>
      <c r="P114" s="4" t="str">
        <f>HYPERLINK("http://141.218.60.56/~jnz1568/getInfo.php?workbook=06_02.xlsx&amp;sheet=A0&amp;row=114&amp;col=16&amp;number=&amp;sourceID=32","")</f>
        <v/>
      </c>
      <c r="Q114" s="4" t="str">
        <f>HYPERLINK("http://141.218.60.56/~jnz1568/getInfo.php?workbook=06_02.xlsx&amp;sheet=A0&amp;row=114&amp;col=17&amp;number=0.0003156&amp;sourceID=32","0.0003156")</f>
        <v>0.0003156</v>
      </c>
      <c r="R114" s="4" t="str">
        <f>HYPERLINK("http://141.218.60.56/~jnz1568/getInfo.php?workbook=06_02.xlsx&amp;sheet=A0&amp;row=114&amp;col=18&amp;number=&amp;sourceID=32","")</f>
        <v/>
      </c>
    </row>
    <row r="115" spans="1:18">
      <c r="A115" s="3">
        <v>6</v>
      </c>
      <c r="B115" s="3">
        <v>2</v>
      </c>
      <c r="C115" s="3">
        <v>17</v>
      </c>
      <c r="D115" s="3">
        <v>12</v>
      </c>
      <c r="E115" s="3">
        <f>((1/(INDEX(E0!J$4:J$52,C115,1)-INDEX(E0!J$4:J$52,D115,1))))*100000000</f>
        <v>0</v>
      </c>
      <c r="F115" s="4" t="str">
        <f>HYPERLINK("http://141.218.60.56/~jnz1568/getInfo.php?workbook=06_02.xlsx&amp;sheet=A0&amp;row=115&amp;col=6&amp;number=&amp;sourceID=27","")</f>
        <v/>
      </c>
      <c r="G115" s="4" t="str">
        <f>HYPERLINK("http://141.218.60.56/~jnz1568/getInfo.php?workbook=06_02.xlsx&amp;sheet=A0&amp;row=115&amp;col=7&amp;number=&amp;sourceID=34","")</f>
        <v/>
      </c>
      <c r="H115" s="4" t="str">
        <f>HYPERLINK("http://141.218.60.56/~jnz1568/getInfo.php?workbook=06_02.xlsx&amp;sheet=A0&amp;row=115&amp;col=8&amp;number=&amp;sourceID=34","")</f>
        <v/>
      </c>
      <c r="I115" s="4" t="str">
        <f>HYPERLINK("http://141.218.60.56/~jnz1568/getInfo.php?workbook=06_02.xlsx&amp;sheet=A0&amp;row=115&amp;col=9&amp;number=&amp;sourceID=34","")</f>
        <v/>
      </c>
      <c r="J115" s="4" t="str">
        <f>HYPERLINK("http://141.218.60.56/~jnz1568/getInfo.php?workbook=06_02.xlsx&amp;sheet=A0&amp;row=115&amp;col=10&amp;number=&amp;sourceID=34","")</f>
        <v/>
      </c>
      <c r="K115" s="4" t="str">
        <f>HYPERLINK("http://141.218.60.56/~jnz1568/getInfo.php?workbook=06_02.xlsx&amp;sheet=A0&amp;row=115&amp;col=11&amp;number=&amp;sourceID=30","")</f>
        <v/>
      </c>
      <c r="L115" s="4" t="str">
        <f>HYPERLINK("http://141.218.60.56/~jnz1568/getInfo.php?workbook=06_02.xlsx&amp;sheet=A0&amp;row=115&amp;col=12&amp;number=2.106e-06&amp;sourceID=30","2.106e-06")</f>
        <v>2.106e-06</v>
      </c>
      <c r="M115" s="4" t="str">
        <f>HYPERLINK("http://141.218.60.56/~jnz1568/getInfo.php?workbook=06_02.xlsx&amp;sheet=A0&amp;row=115&amp;col=13&amp;number=0.0002748&amp;sourceID=30","0.0002748")</f>
        <v>0.0002748</v>
      </c>
      <c r="N115" s="4" t="str">
        <f>HYPERLINK("http://141.218.60.56/~jnz1568/getInfo.php?workbook=06_02.xlsx&amp;sheet=A0&amp;row=115&amp;col=14&amp;number=&amp;sourceID=30","")</f>
        <v/>
      </c>
      <c r="O115" s="4" t="str">
        <f>HYPERLINK("http://141.218.60.56/~jnz1568/getInfo.php?workbook=06_02.xlsx&amp;sheet=A0&amp;row=115&amp;col=15&amp;number=&amp;sourceID=32","")</f>
        <v/>
      </c>
      <c r="P115" s="4" t="str">
        <f>HYPERLINK("http://141.218.60.56/~jnz1568/getInfo.php?workbook=06_02.xlsx&amp;sheet=A0&amp;row=115&amp;col=16&amp;number=1.608e-06&amp;sourceID=32","1.608e-06")</f>
        <v>1.608e-06</v>
      </c>
      <c r="Q115" s="4" t="str">
        <f>HYPERLINK("http://141.218.60.56/~jnz1568/getInfo.php?workbook=06_02.xlsx&amp;sheet=A0&amp;row=115&amp;col=17&amp;number=0.0002429&amp;sourceID=32","0.0002429")</f>
        <v>0.0002429</v>
      </c>
      <c r="R115" s="4" t="str">
        <f>HYPERLINK("http://141.218.60.56/~jnz1568/getInfo.php?workbook=06_02.xlsx&amp;sheet=A0&amp;row=115&amp;col=18&amp;number=&amp;sourceID=32","")</f>
        <v/>
      </c>
    </row>
    <row r="116" spans="1:18">
      <c r="A116" s="3">
        <v>6</v>
      </c>
      <c r="B116" s="3">
        <v>2</v>
      </c>
      <c r="C116" s="3">
        <v>17</v>
      </c>
      <c r="D116" s="3">
        <v>13</v>
      </c>
      <c r="E116" s="3">
        <f>((1/(INDEX(E0!J$4:J$52,C116,1)-INDEX(E0!J$4:J$52,D116,1))))*100000000</f>
        <v>0</v>
      </c>
      <c r="F116" s="4" t="str">
        <f>HYPERLINK("http://141.218.60.56/~jnz1568/getInfo.php?workbook=06_02.xlsx&amp;sheet=A0&amp;row=116&amp;col=6&amp;number=&amp;sourceID=27","")</f>
        <v/>
      </c>
      <c r="G116" s="4" t="str">
        <f>HYPERLINK("http://141.218.60.56/~jnz1568/getInfo.php?workbook=06_02.xlsx&amp;sheet=A0&amp;row=116&amp;col=7&amp;number=&amp;sourceID=34","")</f>
        <v/>
      </c>
      <c r="H116" s="4" t="str">
        <f>HYPERLINK("http://141.218.60.56/~jnz1568/getInfo.php?workbook=06_02.xlsx&amp;sheet=A0&amp;row=116&amp;col=8&amp;number=&amp;sourceID=34","")</f>
        <v/>
      </c>
      <c r="I116" s="4" t="str">
        <f>HYPERLINK("http://141.218.60.56/~jnz1568/getInfo.php?workbook=06_02.xlsx&amp;sheet=A0&amp;row=116&amp;col=9&amp;number=&amp;sourceID=34","")</f>
        <v/>
      </c>
      <c r="J116" s="4" t="str">
        <f>HYPERLINK("http://141.218.60.56/~jnz1568/getInfo.php?workbook=06_02.xlsx&amp;sheet=A0&amp;row=116&amp;col=10&amp;number=&amp;sourceID=34","")</f>
        <v/>
      </c>
      <c r="K116" s="4" t="str">
        <f>HYPERLINK("http://141.218.60.56/~jnz1568/getInfo.php?workbook=06_02.xlsx&amp;sheet=A0&amp;row=116&amp;col=11&amp;number=0.8957&amp;sourceID=30","0.8957")</f>
        <v>0.8957</v>
      </c>
      <c r="L116" s="4" t="str">
        <f>HYPERLINK("http://141.218.60.56/~jnz1568/getInfo.php?workbook=06_02.xlsx&amp;sheet=A0&amp;row=116&amp;col=12&amp;number=&amp;sourceID=30","")</f>
        <v/>
      </c>
      <c r="M116" s="4" t="str">
        <f>HYPERLINK("http://141.218.60.56/~jnz1568/getInfo.php?workbook=06_02.xlsx&amp;sheet=A0&amp;row=116&amp;col=13&amp;number=&amp;sourceID=30","")</f>
        <v/>
      </c>
      <c r="N116" s="4" t="str">
        <f>HYPERLINK("http://141.218.60.56/~jnz1568/getInfo.php?workbook=06_02.xlsx&amp;sheet=A0&amp;row=116&amp;col=14&amp;number=7.439e-11&amp;sourceID=30","7.439e-11")</f>
        <v>7.439e-11</v>
      </c>
      <c r="O116" s="4" t="str">
        <f>HYPERLINK("http://141.218.60.56/~jnz1568/getInfo.php?workbook=06_02.xlsx&amp;sheet=A0&amp;row=116&amp;col=15&amp;number=0.3693&amp;sourceID=32","0.3693")</f>
        <v>0.3693</v>
      </c>
      <c r="P116" s="4" t="str">
        <f>HYPERLINK("http://141.218.60.56/~jnz1568/getInfo.php?workbook=06_02.xlsx&amp;sheet=A0&amp;row=116&amp;col=16&amp;number=&amp;sourceID=32","")</f>
        <v/>
      </c>
      <c r="Q116" s="4" t="str">
        <f>HYPERLINK("http://141.218.60.56/~jnz1568/getInfo.php?workbook=06_02.xlsx&amp;sheet=A0&amp;row=116&amp;col=17&amp;number=&amp;sourceID=32","")</f>
        <v/>
      </c>
      <c r="R116" s="4" t="str">
        <f>HYPERLINK("http://141.218.60.56/~jnz1568/getInfo.php?workbook=06_02.xlsx&amp;sheet=A0&amp;row=116&amp;col=18&amp;number=1.519e-11&amp;sourceID=32","1.519e-11")</f>
        <v>1.519e-11</v>
      </c>
    </row>
    <row r="117" spans="1:18">
      <c r="A117" s="3">
        <v>6</v>
      </c>
      <c r="B117" s="3">
        <v>2</v>
      </c>
      <c r="C117" s="3">
        <v>17</v>
      </c>
      <c r="D117" s="3">
        <v>14</v>
      </c>
      <c r="E117" s="3">
        <f>((1/(INDEX(E0!J$4:J$52,C117,1)-INDEX(E0!J$4:J$52,D117,1))))*100000000</f>
        <v>0</v>
      </c>
      <c r="F117" s="4" t="str">
        <f>HYPERLINK("http://141.218.60.56/~jnz1568/getInfo.php?workbook=06_02.xlsx&amp;sheet=A0&amp;row=117&amp;col=6&amp;number=&amp;sourceID=27","")</f>
        <v/>
      </c>
      <c r="G117" s="4" t="str">
        <f>HYPERLINK("http://141.218.60.56/~jnz1568/getInfo.php?workbook=06_02.xlsx&amp;sheet=A0&amp;row=117&amp;col=7&amp;number=&amp;sourceID=34","")</f>
        <v/>
      </c>
      <c r="H117" s="4" t="str">
        <f>HYPERLINK("http://141.218.60.56/~jnz1568/getInfo.php?workbook=06_02.xlsx&amp;sheet=A0&amp;row=117&amp;col=8&amp;number=&amp;sourceID=34","")</f>
        <v/>
      </c>
      <c r="I117" s="4" t="str">
        <f>HYPERLINK("http://141.218.60.56/~jnz1568/getInfo.php?workbook=06_02.xlsx&amp;sheet=A0&amp;row=117&amp;col=9&amp;number=&amp;sourceID=34","")</f>
        <v/>
      </c>
      <c r="J117" s="4" t="str">
        <f>HYPERLINK("http://141.218.60.56/~jnz1568/getInfo.php?workbook=06_02.xlsx&amp;sheet=A0&amp;row=117&amp;col=10&amp;number=&amp;sourceID=34","")</f>
        <v/>
      </c>
      <c r="K117" s="4" t="str">
        <f>HYPERLINK("http://141.218.60.56/~jnz1568/getInfo.php?workbook=06_02.xlsx&amp;sheet=A0&amp;row=117&amp;col=11&amp;number=332&amp;sourceID=30","332")</f>
        <v>332</v>
      </c>
      <c r="L117" s="4" t="str">
        <f>HYPERLINK("http://141.218.60.56/~jnz1568/getInfo.php?workbook=06_02.xlsx&amp;sheet=A0&amp;row=117&amp;col=12&amp;number=&amp;sourceID=30","")</f>
        <v/>
      </c>
      <c r="M117" s="4" t="str">
        <f>HYPERLINK("http://141.218.60.56/~jnz1568/getInfo.php?workbook=06_02.xlsx&amp;sheet=A0&amp;row=117&amp;col=13&amp;number=&amp;sourceID=30","")</f>
        <v/>
      </c>
      <c r="N117" s="4" t="str">
        <f>HYPERLINK("http://141.218.60.56/~jnz1568/getInfo.php?workbook=06_02.xlsx&amp;sheet=A0&amp;row=117&amp;col=14&amp;number=9.516e-10&amp;sourceID=30","9.516e-10")</f>
        <v>9.516e-10</v>
      </c>
      <c r="O117" s="4" t="str">
        <f>HYPERLINK("http://141.218.60.56/~jnz1568/getInfo.php?workbook=06_02.xlsx&amp;sheet=A0&amp;row=117&amp;col=15&amp;number=178.4&amp;sourceID=32","178.4")</f>
        <v>178.4</v>
      </c>
      <c r="P117" s="4" t="str">
        <f>HYPERLINK("http://141.218.60.56/~jnz1568/getInfo.php?workbook=06_02.xlsx&amp;sheet=A0&amp;row=117&amp;col=16&amp;number=&amp;sourceID=32","")</f>
        <v/>
      </c>
      <c r="Q117" s="4" t="str">
        <f>HYPERLINK("http://141.218.60.56/~jnz1568/getInfo.php?workbook=06_02.xlsx&amp;sheet=A0&amp;row=117&amp;col=17&amp;number=&amp;sourceID=32","")</f>
        <v/>
      </c>
      <c r="R117" s="4" t="str">
        <f>HYPERLINK("http://141.218.60.56/~jnz1568/getInfo.php?workbook=06_02.xlsx&amp;sheet=A0&amp;row=117&amp;col=18&amp;number=1.877e-10&amp;sourceID=32","1.877e-10")</f>
        <v>1.877e-10</v>
      </c>
    </row>
    <row r="118" spans="1:18">
      <c r="A118" s="3">
        <v>6</v>
      </c>
      <c r="B118" s="3">
        <v>2</v>
      </c>
      <c r="C118" s="3">
        <v>17</v>
      </c>
      <c r="D118" s="3">
        <v>15</v>
      </c>
      <c r="E118" s="3">
        <f>((1/(INDEX(E0!J$4:J$52,C118,1)-INDEX(E0!J$4:J$52,D118,1))))*100000000</f>
        <v>0</v>
      </c>
      <c r="F118" s="4" t="str">
        <f>HYPERLINK("http://141.218.60.56/~jnz1568/getInfo.php?workbook=06_02.xlsx&amp;sheet=A0&amp;row=118&amp;col=6&amp;number=&amp;sourceID=27","")</f>
        <v/>
      </c>
      <c r="G118" s="4" t="str">
        <f>HYPERLINK("http://141.218.60.56/~jnz1568/getInfo.php?workbook=06_02.xlsx&amp;sheet=A0&amp;row=118&amp;col=7&amp;number=&amp;sourceID=34","")</f>
        <v/>
      </c>
      <c r="H118" s="4" t="str">
        <f>HYPERLINK("http://141.218.60.56/~jnz1568/getInfo.php?workbook=06_02.xlsx&amp;sheet=A0&amp;row=118&amp;col=8&amp;number=&amp;sourceID=34","")</f>
        <v/>
      </c>
      <c r="I118" s="4" t="str">
        <f>HYPERLINK("http://141.218.60.56/~jnz1568/getInfo.php?workbook=06_02.xlsx&amp;sheet=A0&amp;row=118&amp;col=9&amp;number=&amp;sourceID=34","")</f>
        <v/>
      </c>
      <c r="J118" s="4" t="str">
        <f>HYPERLINK("http://141.218.60.56/~jnz1568/getInfo.php?workbook=06_02.xlsx&amp;sheet=A0&amp;row=118&amp;col=10&amp;number=&amp;sourceID=34","")</f>
        <v/>
      </c>
      <c r="K118" s="4" t="str">
        <f>HYPERLINK("http://141.218.60.56/~jnz1568/getInfo.php?workbook=06_02.xlsx&amp;sheet=A0&amp;row=118&amp;col=11&amp;number=&amp;sourceID=30","")</f>
        <v/>
      </c>
      <c r="L118" s="4" t="str">
        <f>HYPERLINK("http://141.218.60.56/~jnz1568/getInfo.php?workbook=06_02.xlsx&amp;sheet=A0&amp;row=118&amp;col=12&amp;number=&amp;sourceID=30","")</f>
        <v/>
      </c>
      <c r="M118" s="4" t="str">
        <f>HYPERLINK("http://141.218.60.56/~jnz1568/getInfo.php?workbook=06_02.xlsx&amp;sheet=A0&amp;row=118&amp;col=13&amp;number=&amp;sourceID=30","")</f>
        <v/>
      </c>
      <c r="N118" s="4" t="str">
        <f>HYPERLINK("http://141.218.60.56/~jnz1568/getInfo.php?workbook=06_02.xlsx&amp;sheet=A0&amp;row=118&amp;col=14&amp;number=6.206e-09&amp;sourceID=30","6.206e-09")</f>
        <v>6.206e-09</v>
      </c>
      <c r="O118" s="4" t="str">
        <f>HYPERLINK("http://141.218.60.56/~jnz1568/getInfo.php?workbook=06_02.xlsx&amp;sheet=A0&amp;row=118&amp;col=15&amp;number=&amp;sourceID=32","")</f>
        <v/>
      </c>
      <c r="P118" s="4" t="str">
        <f>HYPERLINK("http://141.218.60.56/~jnz1568/getInfo.php?workbook=06_02.xlsx&amp;sheet=A0&amp;row=118&amp;col=16&amp;number=&amp;sourceID=32","")</f>
        <v/>
      </c>
      <c r="Q118" s="4" t="str">
        <f>HYPERLINK("http://141.218.60.56/~jnz1568/getInfo.php?workbook=06_02.xlsx&amp;sheet=A0&amp;row=118&amp;col=17&amp;number=&amp;sourceID=32","")</f>
        <v/>
      </c>
      <c r="R118" s="4" t="str">
        <f>HYPERLINK("http://141.218.60.56/~jnz1568/getInfo.php?workbook=06_02.xlsx&amp;sheet=A0&amp;row=118&amp;col=18&amp;number=1.258e-09&amp;sourceID=32","1.258e-09")</f>
        <v>1.258e-09</v>
      </c>
    </row>
    <row r="119" spans="1:18">
      <c r="A119" s="3">
        <v>6</v>
      </c>
      <c r="B119" s="3">
        <v>2</v>
      </c>
      <c r="C119" s="3">
        <v>17</v>
      </c>
      <c r="D119" s="3">
        <v>16</v>
      </c>
      <c r="E119" s="3">
        <f>((1/(INDEX(E0!J$4:J$52,C119,1)-INDEX(E0!J$4:J$52,D119,1))))*100000000</f>
        <v>0</v>
      </c>
      <c r="F119" s="4" t="str">
        <f>HYPERLINK("http://141.218.60.56/~jnz1568/getInfo.php?workbook=06_02.xlsx&amp;sheet=A0&amp;row=119&amp;col=6&amp;number=&amp;sourceID=27","")</f>
        <v/>
      </c>
      <c r="G119" s="4" t="str">
        <f>HYPERLINK("http://141.218.60.56/~jnz1568/getInfo.php?workbook=06_02.xlsx&amp;sheet=A0&amp;row=119&amp;col=7&amp;number=34370&amp;sourceID=34","34370")</f>
        <v>34370</v>
      </c>
      <c r="H119" s="4" t="str">
        <f>HYPERLINK("http://141.218.60.56/~jnz1568/getInfo.php?workbook=06_02.xlsx&amp;sheet=A0&amp;row=119&amp;col=8&amp;number=&amp;sourceID=34","")</f>
        <v/>
      </c>
      <c r="I119" s="4" t="str">
        <f>HYPERLINK("http://141.218.60.56/~jnz1568/getInfo.php?workbook=06_02.xlsx&amp;sheet=A0&amp;row=119&amp;col=9&amp;number=&amp;sourceID=34","")</f>
        <v/>
      </c>
      <c r="J119" s="4" t="str">
        <f>HYPERLINK("http://141.218.60.56/~jnz1568/getInfo.php?workbook=06_02.xlsx&amp;sheet=A0&amp;row=119&amp;col=10&amp;number=&amp;sourceID=34","")</f>
        <v/>
      </c>
      <c r="K119" s="4" t="str">
        <f>HYPERLINK("http://141.218.60.56/~jnz1568/getInfo.php?workbook=06_02.xlsx&amp;sheet=A0&amp;row=119&amp;col=11&amp;number=92710&amp;sourceID=30","92710")</f>
        <v>92710</v>
      </c>
      <c r="L119" s="4" t="str">
        <f>HYPERLINK("http://141.218.60.56/~jnz1568/getInfo.php?workbook=06_02.xlsx&amp;sheet=A0&amp;row=119&amp;col=12&amp;number=&amp;sourceID=30","")</f>
        <v/>
      </c>
      <c r="M119" s="4" t="str">
        <f>HYPERLINK("http://141.218.60.56/~jnz1568/getInfo.php?workbook=06_02.xlsx&amp;sheet=A0&amp;row=119&amp;col=13&amp;number=&amp;sourceID=30","")</f>
        <v/>
      </c>
      <c r="N119" s="4" t="str">
        <f>HYPERLINK("http://141.218.60.56/~jnz1568/getInfo.php?workbook=06_02.xlsx&amp;sheet=A0&amp;row=119&amp;col=14&amp;number=1.964e-09&amp;sourceID=30","1.964e-09")</f>
        <v>1.964e-09</v>
      </c>
      <c r="O119" s="4" t="str">
        <f>HYPERLINK("http://141.218.60.56/~jnz1568/getInfo.php?workbook=06_02.xlsx&amp;sheet=A0&amp;row=119&amp;col=15&amp;number=34010&amp;sourceID=32","34010")</f>
        <v>34010</v>
      </c>
      <c r="P119" s="4" t="str">
        <f>HYPERLINK("http://141.218.60.56/~jnz1568/getInfo.php?workbook=06_02.xlsx&amp;sheet=A0&amp;row=119&amp;col=16&amp;number=&amp;sourceID=32","")</f>
        <v/>
      </c>
      <c r="Q119" s="4" t="str">
        <f>HYPERLINK("http://141.218.60.56/~jnz1568/getInfo.php?workbook=06_02.xlsx&amp;sheet=A0&amp;row=119&amp;col=17&amp;number=&amp;sourceID=32","")</f>
        <v/>
      </c>
      <c r="R119" s="4" t="str">
        <f>HYPERLINK("http://141.218.60.56/~jnz1568/getInfo.php?workbook=06_02.xlsx&amp;sheet=A0&amp;row=119&amp;col=18&amp;number=3.726e-10&amp;sourceID=32","3.726e-10")</f>
        <v>3.726e-10</v>
      </c>
    </row>
    <row r="120" spans="1:18">
      <c r="A120" s="3">
        <v>6</v>
      </c>
      <c r="B120" s="3">
        <v>2</v>
      </c>
      <c r="C120" s="3">
        <v>18</v>
      </c>
      <c r="D120" s="3">
        <v>1</v>
      </c>
      <c r="E120" s="3">
        <f>((1/(INDEX(E0!J$4:J$52,C120,1)-INDEX(E0!J$4:J$52,D120,1))))*100000000</f>
        <v>0</v>
      </c>
      <c r="F120" s="4" t="str">
        <f>HYPERLINK("http://141.218.60.56/~jnz1568/getInfo.php?workbook=06_02.xlsx&amp;sheet=A0&amp;row=120&amp;col=6&amp;number=&amp;sourceID=27","")</f>
        <v/>
      </c>
      <c r="G120" s="4" t="str">
        <f>HYPERLINK("http://141.218.60.56/~jnz1568/getInfo.php?workbook=06_02.xlsx&amp;sheet=A0&amp;row=120&amp;col=7&amp;number=&amp;sourceID=34","")</f>
        <v/>
      </c>
      <c r="H120" s="4" t="str">
        <f>HYPERLINK("http://141.218.60.56/~jnz1568/getInfo.php?workbook=06_02.xlsx&amp;sheet=A0&amp;row=120&amp;col=8&amp;number=&amp;sourceID=34","")</f>
        <v/>
      </c>
      <c r="I120" s="4" t="str">
        <f>HYPERLINK("http://141.218.60.56/~jnz1568/getInfo.php?workbook=06_02.xlsx&amp;sheet=A0&amp;row=120&amp;col=9&amp;number=&amp;sourceID=34","")</f>
        <v/>
      </c>
      <c r="J120" s="4" t="str">
        <f>HYPERLINK("http://141.218.60.56/~jnz1568/getInfo.php?workbook=06_02.xlsx&amp;sheet=A0&amp;row=120&amp;col=10&amp;number=&amp;sourceID=34","")</f>
        <v/>
      </c>
      <c r="K120" s="4" t="str">
        <f>HYPERLINK("http://141.218.60.56/~jnz1568/getInfo.php?workbook=06_02.xlsx&amp;sheet=A0&amp;row=120&amp;col=11&amp;number=&amp;sourceID=30","")</f>
        <v/>
      </c>
      <c r="L120" s="4" t="str">
        <f>HYPERLINK("http://141.218.60.56/~jnz1568/getInfo.php?workbook=06_02.xlsx&amp;sheet=A0&amp;row=120&amp;col=12&amp;number=&amp;sourceID=30","")</f>
        <v/>
      </c>
      <c r="M120" s="4" t="str">
        <f>HYPERLINK("http://141.218.60.56/~jnz1568/getInfo.php?workbook=06_02.xlsx&amp;sheet=A0&amp;row=120&amp;col=13&amp;number=1.008&amp;sourceID=30","1.008")</f>
        <v>1.008</v>
      </c>
      <c r="N120" s="4" t="str">
        <f>HYPERLINK("http://141.218.60.56/~jnz1568/getInfo.php?workbook=06_02.xlsx&amp;sheet=A0&amp;row=120&amp;col=14&amp;number=&amp;sourceID=30","")</f>
        <v/>
      </c>
      <c r="O120" s="4" t="str">
        <f>HYPERLINK("http://141.218.60.56/~jnz1568/getInfo.php?workbook=06_02.xlsx&amp;sheet=A0&amp;row=120&amp;col=15&amp;number=&amp;sourceID=32","")</f>
        <v/>
      </c>
      <c r="P120" s="4" t="str">
        <f>HYPERLINK("http://141.218.60.56/~jnz1568/getInfo.php?workbook=06_02.xlsx&amp;sheet=A0&amp;row=120&amp;col=16&amp;number=&amp;sourceID=32","")</f>
        <v/>
      </c>
      <c r="Q120" s="4" t="str">
        <f>HYPERLINK("http://141.218.60.56/~jnz1568/getInfo.php?workbook=06_02.xlsx&amp;sheet=A0&amp;row=120&amp;col=17&amp;number=9.112&amp;sourceID=32","9.112")</f>
        <v>9.112</v>
      </c>
      <c r="R120" s="4" t="str">
        <f>HYPERLINK("http://141.218.60.56/~jnz1568/getInfo.php?workbook=06_02.xlsx&amp;sheet=A0&amp;row=120&amp;col=18&amp;number=&amp;sourceID=32","")</f>
        <v/>
      </c>
    </row>
    <row r="121" spans="1:18">
      <c r="A121" s="3">
        <v>6</v>
      </c>
      <c r="B121" s="3">
        <v>2</v>
      </c>
      <c r="C121" s="3">
        <v>18</v>
      </c>
      <c r="D121" s="3">
        <v>2</v>
      </c>
      <c r="E121" s="3">
        <f>((1/(INDEX(E0!J$4:J$52,C121,1)-INDEX(E0!J$4:J$52,D121,1))))*100000000</f>
        <v>0</v>
      </c>
      <c r="F121" s="4" t="str">
        <f>HYPERLINK("http://141.218.60.56/~jnz1568/getInfo.php?workbook=06_02.xlsx&amp;sheet=A0&amp;row=121&amp;col=6&amp;number=&amp;sourceID=27","")</f>
        <v/>
      </c>
      <c r="G121" s="4" t="str">
        <f>HYPERLINK("http://141.218.60.56/~jnz1568/getInfo.php?workbook=06_02.xlsx&amp;sheet=A0&amp;row=121&amp;col=7&amp;number=&amp;sourceID=34","")</f>
        <v/>
      </c>
      <c r="H121" s="4" t="str">
        <f>HYPERLINK("http://141.218.60.56/~jnz1568/getInfo.php?workbook=06_02.xlsx&amp;sheet=A0&amp;row=121&amp;col=8&amp;number=&amp;sourceID=34","")</f>
        <v/>
      </c>
      <c r="I121" s="4" t="str">
        <f>HYPERLINK("http://141.218.60.56/~jnz1568/getInfo.php?workbook=06_02.xlsx&amp;sheet=A0&amp;row=121&amp;col=9&amp;number=&amp;sourceID=34","")</f>
        <v/>
      </c>
      <c r="J121" s="4" t="str">
        <f>HYPERLINK("http://141.218.60.56/~jnz1568/getInfo.php?workbook=06_02.xlsx&amp;sheet=A0&amp;row=121&amp;col=10&amp;number=&amp;sourceID=34","")</f>
        <v/>
      </c>
      <c r="K121" s="4" t="str">
        <f>HYPERLINK("http://141.218.60.56/~jnz1568/getInfo.php?workbook=06_02.xlsx&amp;sheet=A0&amp;row=121&amp;col=11&amp;number=&amp;sourceID=30","")</f>
        <v/>
      </c>
      <c r="L121" s="4" t="str">
        <f>HYPERLINK("http://141.218.60.56/~jnz1568/getInfo.php?workbook=06_02.xlsx&amp;sheet=A0&amp;row=121&amp;col=12&amp;number=0.0002328&amp;sourceID=30","0.0002328")</f>
        <v>0.0002328</v>
      </c>
      <c r="M121" s="4" t="str">
        <f>HYPERLINK("http://141.218.60.56/~jnz1568/getInfo.php?workbook=06_02.xlsx&amp;sheet=A0&amp;row=121&amp;col=13&amp;number=0.01472&amp;sourceID=30","0.01472")</f>
        <v>0.01472</v>
      </c>
      <c r="N121" s="4" t="str">
        <f>HYPERLINK("http://141.218.60.56/~jnz1568/getInfo.php?workbook=06_02.xlsx&amp;sheet=A0&amp;row=121&amp;col=14&amp;number=&amp;sourceID=30","")</f>
        <v/>
      </c>
      <c r="O121" s="4" t="str">
        <f>HYPERLINK("http://141.218.60.56/~jnz1568/getInfo.php?workbook=06_02.xlsx&amp;sheet=A0&amp;row=121&amp;col=15&amp;number=&amp;sourceID=32","")</f>
        <v/>
      </c>
      <c r="P121" s="4" t="str">
        <f>HYPERLINK("http://141.218.60.56/~jnz1568/getInfo.php?workbook=06_02.xlsx&amp;sheet=A0&amp;row=121&amp;col=16&amp;number=0.0005611&amp;sourceID=32","0.0005611")</f>
        <v>0.0005611</v>
      </c>
      <c r="Q121" s="4" t="str">
        <f>HYPERLINK("http://141.218.60.56/~jnz1568/getInfo.php?workbook=06_02.xlsx&amp;sheet=A0&amp;row=121&amp;col=17&amp;number=0.01503&amp;sourceID=32","0.01503")</f>
        <v>0.01503</v>
      </c>
      <c r="R121" s="4" t="str">
        <f>HYPERLINK("http://141.218.60.56/~jnz1568/getInfo.php?workbook=06_02.xlsx&amp;sheet=A0&amp;row=121&amp;col=18&amp;number=&amp;sourceID=32","")</f>
        <v/>
      </c>
    </row>
    <row r="122" spans="1:18">
      <c r="A122" s="3">
        <v>6</v>
      </c>
      <c r="B122" s="3">
        <v>2</v>
      </c>
      <c r="C122" s="3">
        <v>18</v>
      </c>
      <c r="D122" s="3">
        <v>3</v>
      </c>
      <c r="E122" s="3">
        <f>((1/(INDEX(E0!J$4:J$52,C122,1)-INDEX(E0!J$4:J$52,D122,1))))*100000000</f>
        <v>0</v>
      </c>
      <c r="F122" s="4" t="str">
        <f>HYPERLINK("http://141.218.60.56/~jnz1568/getInfo.php?workbook=06_02.xlsx&amp;sheet=A0&amp;row=122&amp;col=6&amp;number=&amp;sourceID=27","")</f>
        <v/>
      </c>
      <c r="G122" s="4" t="str">
        <f>HYPERLINK("http://141.218.60.56/~jnz1568/getInfo.php?workbook=06_02.xlsx&amp;sheet=A0&amp;row=122&amp;col=7&amp;number=&amp;sourceID=34","")</f>
        <v/>
      </c>
      <c r="H122" s="4" t="str">
        <f>HYPERLINK("http://141.218.60.56/~jnz1568/getInfo.php?workbook=06_02.xlsx&amp;sheet=A0&amp;row=122&amp;col=8&amp;number=&amp;sourceID=34","")</f>
        <v/>
      </c>
      <c r="I122" s="4" t="str">
        <f>HYPERLINK("http://141.218.60.56/~jnz1568/getInfo.php?workbook=06_02.xlsx&amp;sheet=A0&amp;row=122&amp;col=9&amp;number=&amp;sourceID=34","")</f>
        <v/>
      </c>
      <c r="J122" s="4" t="str">
        <f>HYPERLINK("http://141.218.60.56/~jnz1568/getInfo.php?workbook=06_02.xlsx&amp;sheet=A0&amp;row=122&amp;col=10&amp;number=&amp;sourceID=34","")</f>
        <v/>
      </c>
      <c r="K122" s="4" t="str">
        <f>HYPERLINK("http://141.218.60.56/~jnz1568/getInfo.php?workbook=06_02.xlsx&amp;sheet=A0&amp;row=122&amp;col=11&amp;number=&amp;sourceID=30","")</f>
        <v/>
      </c>
      <c r="L122" s="4" t="str">
        <f>HYPERLINK("http://141.218.60.56/~jnz1568/getInfo.php?workbook=06_02.xlsx&amp;sheet=A0&amp;row=122&amp;col=12&amp;number=&amp;sourceID=30","")</f>
        <v/>
      </c>
      <c r="M122" s="4" t="str">
        <f>HYPERLINK("http://141.218.60.56/~jnz1568/getInfo.php?workbook=06_02.xlsx&amp;sheet=A0&amp;row=122&amp;col=13&amp;number=0.01127&amp;sourceID=30","0.01127")</f>
        <v>0.01127</v>
      </c>
      <c r="N122" s="4" t="str">
        <f>HYPERLINK("http://141.218.60.56/~jnz1568/getInfo.php?workbook=06_02.xlsx&amp;sheet=A0&amp;row=122&amp;col=14&amp;number=&amp;sourceID=30","")</f>
        <v/>
      </c>
      <c r="O122" s="4" t="str">
        <f>HYPERLINK("http://141.218.60.56/~jnz1568/getInfo.php?workbook=06_02.xlsx&amp;sheet=A0&amp;row=122&amp;col=15&amp;number=&amp;sourceID=32","")</f>
        <v/>
      </c>
      <c r="P122" s="4" t="str">
        <f>HYPERLINK("http://141.218.60.56/~jnz1568/getInfo.php?workbook=06_02.xlsx&amp;sheet=A0&amp;row=122&amp;col=16&amp;number=&amp;sourceID=32","")</f>
        <v/>
      </c>
      <c r="Q122" s="4" t="str">
        <f>HYPERLINK("http://141.218.60.56/~jnz1568/getInfo.php?workbook=06_02.xlsx&amp;sheet=A0&amp;row=122&amp;col=17&amp;number=0.01257&amp;sourceID=32","0.01257")</f>
        <v>0.01257</v>
      </c>
      <c r="R122" s="4" t="str">
        <f>HYPERLINK("http://141.218.60.56/~jnz1568/getInfo.php?workbook=06_02.xlsx&amp;sheet=A0&amp;row=122&amp;col=18&amp;number=&amp;sourceID=32","")</f>
        <v/>
      </c>
    </row>
    <row r="123" spans="1:18">
      <c r="A123" s="3">
        <v>6</v>
      </c>
      <c r="B123" s="3">
        <v>2</v>
      </c>
      <c r="C123" s="3">
        <v>18</v>
      </c>
      <c r="D123" s="3">
        <v>4</v>
      </c>
      <c r="E123" s="3">
        <f>((1/(INDEX(E0!J$4:J$52,C123,1)-INDEX(E0!J$4:J$52,D123,1))))*100000000</f>
        <v>0</v>
      </c>
      <c r="F123" s="4" t="str">
        <f>HYPERLINK("http://141.218.60.56/~jnz1568/getInfo.php?workbook=06_02.xlsx&amp;sheet=A0&amp;row=123&amp;col=6&amp;number=&amp;sourceID=27","")</f>
        <v/>
      </c>
      <c r="G123" s="4" t="str">
        <f>HYPERLINK("http://141.218.60.56/~jnz1568/getInfo.php?workbook=06_02.xlsx&amp;sheet=A0&amp;row=123&amp;col=7&amp;number=866000000&amp;sourceID=34","866000000")</f>
        <v>866000000</v>
      </c>
      <c r="H123" s="4" t="str">
        <f>HYPERLINK("http://141.218.60.56/~jnz1568/getInfo.php?workbook=06_02.xlsx&amp;sheet=A0&amp;row=123&amp;col=8&amp;number=&amp;sourceID=34","")</f>
        <v/>
      </c>
      <c r="I123" s="4" t="str">
        <f>HYPERLINK("http://141.218.60.56/~jnz1568/getInfo.php?workbook=06_02.xlsx&amp;sheet=A0&amp;row=123&amp;col=9&amp;number=&amp;sourceID=34","")</f>
        <v/>
      </c>
      <c r="J123" s="4" t="str">
        <f>HYPERLINK("http://141.218.60.56/~jnz1568/getInfo.php?workbook=06_02.xlsx&amp;sheet=A0&amp;row=123&amp;col=10&amp;number=&amp;sourceID=34","")</f>
        <v/>
      </c>
      <c r="K123" s="4" t="str">
        <f>HYPERLINK("http://141.218.60.56/~jnz1568/getInfo.php?workbook=06_02.xlsx&amp;sheet=A0&amp;row=123&amp;col=11&amp;number=718200000&amp;sourceID=30","718200000")</f>
        <v>718200000</v>
      </c>
      <c r="L123" s="4" t="str">
        <f>HYPERLINK("http://141.218.60.56/~jnz1568/getInfo.php?workbook=06_02.xlsx&amp;sheet=A0&amp;row=123&amp;col=12&amp;number=&amp;sourceID=30","")</f>
        <v/>
      </c>
      <c r="M123" s="4" t="str">
        <f>HYPERLINK("http://141.218.60.56/~jnz1568/getInfo.php?workbook=06_02.xlsx&amp;sheet=A0&amp;row=123&amp;col=13&amp;number=&amp;sourceID=30","")</f>
        <v/>
      </c>
      <c r="N123" s="4" t="str">
        <f>HYPERLINK("http://141.218.60.56/~jnz1568/getInfo.php?workbook=06_02.xlsx&amp;sheet=A0&amp;row=123&amp;col=14&amp;number=0.7212&amp;sourceID=30","0.7212")</f>
        <v>0.7212</v>
      </c>
      <c r="O123" s="4" t="str">
        <f>HYPERLINK("http://141.218.60.56/~jnz1568/getInfo.php?workbook=06_02.xlsx&amp;sheet=A0&amp;row=123&amp;col=15&amp;number=868500000&amp;sourceID=32","868500000")</f>
        <v>868500000</v>
      </c>
      <c r="P123" s="4" t="str">
        <f>HYPERLINK("http://141.218.60.56/~jnz1568/getInfo.php?workbook=06_02.xlsx&amp;sheet=A0&amp;row=123&amp;col=16&amp;number=&amp;sourceID=32","")</f>
        <v/>
      </c>
      <c r="Q123" s="4" t="str">
        <f>HYPERLINK("http://141.218.60.56/~jnz1568/getInfo.php?workbook=06_02.xlsx&amp;sheet=A0&amp;row=123&amp;col=17&amp;number=&amp;sourceID=32","")</f>
        <v/>
      </c>
      <c r="R123" s="4" t="str">
        <f>HYPERLINK("http://141.218.60.56/~jnz1568/getInfo.php?workbook=06_02.xlsx&amp;sheet=A0&amp;row=123&amp;col=18&amp;number=0.8792&amp;sourceID=32","0.8792")</f>
        <v>0.8792</v>
      </c>
    </row>
    <row r="124" spans="1:18">
      <c r="A124" s="3">
        <v>6</v>
      </c>
      <c r="B124" s="3">
        <v>2</v>
      </c>
      <c r="C124" s="3">
        <v>18</v>
      </c>
      <c r="D124" s="3">
        <v>5</v>
      </c>
      <c r="E124" s="3">
        <f>((1/(INDEX(E0!J$4:J$52,C124,1)-INDEX(E0!J$4:J$52,D124,1))))*100000000</f>
        <v>0</v>
      </c>
      <c r="F124" s="4" t="str">
        <f>HYPERLINK("http://141.218.60.56/~jnz1568/getInfo.php?workbook=06_02.xlsx&amp;sheet=A0&amp;row=124&amp;col=6&amp;number=&amp;sourceID=27","")</f>
        <v/>
      </c>
      <c r="G124" s="4" t="str">
        <f>HYPERLINK("http://141.218.60.56/~jnz1568/getInfo.php?workbook=06_02.xlsx&amp;sheet=A0&amp;row=124&amp;col=7&amp;number=288700000&amp;sourceID=34","288700000")</f>
        <v>288700000</v>
      </c>
      <c r="H124" s="4" t="str">
        <f>HYPERLINK("http://141.218.60.56/~jnz1568/getInfo.php?workbook=06_02.xlsx&amp;sheet=A0&amp;row=124&amp;col=8&amp;number=&amp;sourceID=34","")</f>
        <v/>
      </c>
      <c r="I124" s="4" t="str">
        <f>HYPERLINK("http://141.218.60.56/~jnz1568/getInfo.php?workbook=06_02.xlsx&amp;sheet=A0&amp;row=124&amp;col=9&amp;number=&amp;sourceID=34","")</f>
        <v/>
      </c>
      <c r="J124" s="4" t="str">
        <f>HYPERLINK("http://141.218.60.56/~jnz1568/getInfo.php?workbook=06_02.xlsx&amp;sheet=A0&amp;row=124&amp;col=10&amp;number=&amp;sourceID=34","")</f>
        <v/>
      </c>
      <c r="K124" s="4" t="str">
        <f>HYPERLINK("http://141.218.60.56/~jnz1568/getInfo.php?workbook=06_02.xlsx&amp;sheet=A0&amp;row=124&amp;col=11&amp;number=240200000&amp;sourceID=30","240200000")</f>
        <v>240200000</v>
      </c>
      <c r="L124" s="4" t="str">
        <f>HYPERLINK("http://141.218.60.56/~jnz1568/getInfo.php?workbook=06_02.xlsx&amp;sheet=A0&amp;row=124&amp;col=12&amp;number=&amp;sourceID=30","")</f>
        <v/>
      </c>
      <c r="M124" s="4" t="str">
        <f>HYPERLINK("http://141.218.60.56/~jnz1568/getInfo.php?workbook=06_02.xlsx&amp;sheet=A0&amp;row=124&amp;col=13&amp;number=&amp;sourceID=30","")</f>
        <v/>
      </c>
      <c r="N124" s="4" t="str">
        <f>HYPERLINK("http://141.218.60.56/~jnz1568/getInfo.php?workbook=06_02.xlsx&amp;sheet=A0&amp;row=124&amp;col=14&amp;number=&amp;sourceID=30","")</f>
        <v/>
      </c>
      <c r="O124" s="4" t="str">
        <f>HYPERLINK("http://141.218.60.56/~jnz1568/getInfo.php?workbook=06_02.xlsx&amp;sheet=A0&amp;row=124&amp;col=15&amp;number=289900000&amp;sourceID=32","289900000")</f>
        <v>289900000</v>
      </c>
      <c r="P124" s="4" t="str">
        <f>HYPERLINK("http://141.218.60.56/~jnz1568/getInfo.php?workbook=06_02.xlsx&amp;sheet=A0&amp;row=124&amp;col=16&amp;number=&amp;sourceID=32","")</f>
        <v/>
      </c>
      <c r="Q124" s="4" t="str">
        <f>HYPERLINK("http://141.218.60.56/~jnz1568/getInfo.php?workbook=06_02.xlsx&amp;sheet=A0&amp;row=124&amp;col=17&amp;number=&amp;sourceID=32","")</f>
        <v/>
      </c>
      <c r="R124" s="4" t="str">
        <f>HYPERLINK("http://141.218.60.56/~jnz1568/getInfo.php?workbook=06_02.xlsx&amp;sheet=A0&amp;row=124&amp;col=18&amp;number=&amp;sourceID=32","")</f>
        <v/>
      </c>
    </row>
    <row r="125" spans="1:18">
      <c r="A125" s="3">
        <v>6</v>
      </c>
      <c r="B125" s="3">
        <v>2</v>
      </c>
      <c r="C125" s="3">
        <v>18</v>
      </c>
      <c r="D125" s="3">
        <v>6</v>
      </c>
      <c r="E125" s="3">
        <f>((1/(INDEX(E0!J$4:J$52,C125,1)-INDEX(E0!J$4:J$52,D125,1))))*100000000</f>
        <v>0</v>
      </c>
      <c r="F125" s="4" t="str">
        <f>HYPERLINK("http://141.218.60.56/~jnz1568/getInfo.php?workbook=06_02.xlsx&amp;sheet=A0&amp;row=125&amp;col=6&amp;number=&amp;sourceID=27","")</f>
        <v/>
      </c>
      <c r="G125" s="4" t="str">
        <f>HYPERLINK("http://141.218.60.56/~jnz1568/getInfo.php?workbook=06_02.xlsx&amp;sheet=A0&amp;row=125&amp;col=7&amp;number=1442000000&amp;sourceID=34","1442000000")</f>
        <v>1442000000</v>
      </c>
      <c r="H125" s="4" t="str">
        <f>HYPERLINK("http://141.218.60.56/~jnz1568/getInfo.php?workbook=06_02.xlsx&amp;sheet=A0&amp;row=125&amp;col=8&amp;number=&amp;sourceID=34","")</f>
        <v/>
      </c>
      <c r="I125" s="4" t="str">
        <f>HYPERLINK("http://141.218.60.56/~jnz1568/getInfo.php?workbook=06_02.xlsx&amp;sheet=A0&amp;row=125&amp;col=9&amp;number=&amp;sourceID=34","")</f>
        <v/>
      </c>
      <c r="J125" s="4" t="str">
        <f>HYPERLINK("http://141.218.60.56/~jnz1568/getInfo.php?workbook=06_02.xlsx&amp;sheet=A0&amp;row=125&amp;col=10&amp;number=&amp;sourceID=34","")</f>
        <v/>
      </c>
      <c r="K125" s="4" t="str">
        <f>HYPERLINK("http://141.218.60.56/~jnz1568/getInfo.php?workbook=06_02.xlsx&amp;sheet=A0&amp;row=125&amp;col=11&amp;number=1198000000&amp;sourceID=30","1198000000")</f>
        <v>1198000000</v>
      </c>
      <c r="L125" s="4" t="str">
        <f>HYPERLINK("http://141.218.60.56/~jnz1568/getInfo.php?workbook=06_02.xlsx&amp;sheet=A0&amp;row=125&amp;col=12&amp;number=&amp;sourceID=30","")</f>
        <v/>
      </c>
      <c r="M125" s="4" t="str">
        <f>HYPERLINK("http://141.218.60.56/~jnz1568/getInfo.php?workbook=06_02.xlsx&amp;sheet=A0&amp;row=125&amp;col=13&amp;number=&amp;sourceID=30","")</f>
        <v/>
      </c>
      <c r="N125" s="4" t="str">
        <f>HYPERLINK("http://141.218.60.56/~jnz1568/getInfo.php?workbook=06_02.xlsx&amp;sheet=A0&amp;row=125&amp;col=14&amp;number=2.204&amp;sourceID=30","2.204")</f>
        <v>2.204</v>
      </c>
      <c r="O125" s="4" t="str">
        <f>HYPERLINK("http://141.218.60.56/~jnz1568/getInfo.php?workbook=06_02.xlsx&amp;sheet=A0&amp;row=125&amp;col=15&amp;number=1450000000&amp;sourceID=32","1450000000")</f>
        <v>1450000000</v>
      </c>
      <c r="P125" s="4" t="str">
        <f>HYPERLINK("http://141.218.60.56/~jnz1568/getInfo.php?workbook=06_02.xlsx&amp;sheet=A0&amp;row=125&amp;col=16&amp;number=&amp;sourceID=32","")</f>
        <v/>
      </c>
      <c r="Q125" s="4" t="str">
        <f>HYPERLINK("http://141.218.60.56/~jnz1568/getInfo.php?workbook=06_02.xlsx&amp;sheet=A0&amp;row=125&amp;col=17&amp;number=&amp;sourceID=32","")</f>
        <v/>
      </c>
      <c r="R125" s="4" t="str">
        <f>HYPERLINK("http://141.218.60.56/~jnz1568/getInfo.php?workbook=06_02.xlsx&amp;sheet=A0&amp;row=125&amp;col=18&amp;number=2.679&amp;sourceID=32","2.679")</f>
        <v>2.679</v>
      </c>
    </row>
    <row r="126" spans="1:18">
      <c r="A126" s="3">
        <v>6</v>
      </c>
      <c r="B126" s="3">
        <v>2</v>
      </c>
      <c r="C126" s="3">
        <v>18</v>
      </c>
      <c r="D126" s="3">
        <v>7</v>
      </c>
      <c r="E126" s="3">
        <f>((1/(INDEX(E0!J$4:J$52,C126,1)-INDEX(E0!J$4:J$52,D126,1))))*100000000</f>
        <v>0</v>
      </c>
      <c r="F126" s="4" t="str">
        <f>HYPERLINK("http://141.218.60.56/~jnz1568/getInfo.php?workbook=06_02.xlsx&amp;sheet=A0&amp;row=126&amp;col=6&amp;number=&amp;sourceID=27","")</f>
        <v/>
      </c>
      <c r="G126" s="4" t="str">
        <f>HYPERLINK("http://141.218.60.56/~jnz1568/getInfo.php?workbook=06_02.xlsx&amp;sheet=A0&amp;row=126&amp;col=7&amp;number=&amp;sourceID=34","")</f>
        <v/>
      </c>
      <c r="H126" s="4" t="str">
        <f>HYPERLINK("http://141.218.60.56/~jnz1568/getInfo.php?workbook=06_02.xlsx&amp;sheet=A0&amp;row=126&amp;col=8&amp;number=&amp;sourceID=34","")</f>
        <v/>
      </c>
      <c r="I126" s="4" t="str">
        <f>HYPERLINK("http://141.218.60.56/~jnz1568/getInfo.php?workbook=06_02.xlsx&amp;sheet=A0&amp;row=126&amp;col=9&amp;number=&amp;sourceID=34","")</f>
        <v/>
      </c>
      <c r="J126" s="4" t="str">
        <f>HYPERLINK("http://141.218.60.56/~jnz1568/getInfo.php?workbook=06_02.xlsx&amp;sheet=A0&amp;row=126&amp;col=10&amp;number=&amp;sourceID=34","")</f>
        <v/>
      </c>
      <c r="K126" s="4" t="str">
        <f>HYPERLINK("http://141.218.60.56/~jnz1568/getInfo.php?workbook=06_02.xlsx&amp;sheet=A0&amp;row=126&amp;col=11&amp;number=26280&amp;sourceID=30","26280")</f>
        <v>26280</v>
      </c>
      <c r="L126" s="4" t="str">
        <f>HYPERLINK("http://141.218.60.56/~jnz1568/getInfo.php?workbook=06_02.xlsx&amp;sheet=A0&amp;row=126&amp;col=12&amp;number=&amp;sourceID=30","")</f>
        <v/>
      </c>
      <c r="M126" s="4" t="str">
        <f>HYPERLINK("http://141.218.60.56/~jnz1568/getInfo.php?workbook=06_02.xlsx&amp;sheet=A0&amp;row=126&amp;col=13&amp;number=&amp;sourceID=30","")</f>
        <v/>
      </c>
      <c r="N126" s="4" t="str">
        <f>HYPERLINK("http://141.218.60.56/~jnz1568/getInfo.php?workbook=06_02.xlsx&amp;sheet=A0&amp;row=126&amp;col=14&amp;number=2.641&amp;sourceID=30","2.641")</f>
        <v>2.641</v>
      </c>
      <c r="O126" s="4" t="str">
        <f>HYPERLINK("http://141.218.60.56/~jnz1568/getInfo.php?workbook=06_02.xlsx&amp;sheet=A0&amp;row=126&amp;col=15&amp;number=29580&amp;sourceID=32","29580")</f>
        <v>29580</v>
      </c>
      <c r="P126" s="4" t="str">
        <f>HYPERLINK("http://141.218.60.56/~jnz1568/getInfo.php?workbook=06_02.xlsx&amp;sheet=A0&amp;row=126&amp;col=16&amp;number=&amp;sourceID=32","")</f>
        <v/>
      </c>
      <c r="Q126" s="4" t="str">
        <f>HYPERLINK("http://141.218.60.56/~jnz1568/getInfo.php?workbook=06_02.xlsx&amp;sheet=A0&amp;row=126&amp;col=17&amp;number=&amp;sourceID=32","")</f>
        <v/>
      </c>
      <c r="R126" s="4" t="str">
        <f>HYPERLINK("http://141.218.60.56/~jnz1568/getInfo.php?workbook=06_02.xlsx&amp;sheet=A0&amp;row=126&amp;col=18&amp;number=1.95&amp;sourceID=32","1.95")</f>
        <v>1.95</v>
      </c>
    </row>
    <row r="127" spans="1:18">
      <c r="A127" s="3">
        <v>6</v>
      </c>
      <c r="B127" s="3">
        <v>2</v>
      </c>
      <c r="C127" s="3">
        <v>18</v>
      </c>
      <c r="D127" s="3">
        <v>8</v>
      </c>
      <c r="E127" s="3">
        <f>((1/(INDEX(E0!J$4:J$52,C127,1)-INDEX(E0!J$4:J$52,D127,1))))*100000000</f>
        <v>0</v>
      </c>
      <c r="F127" s="4" t="str">
        <f>HYPERLINK("http://141.218.60.56/~jnz1568/getInfo.php?workbook=06_02.xlsx&amp;sheet=A0&amp;row=127&amp;col=6&amp;number=&amp;sourceID=27","")</f>
        <v/>
      </c>
      <c r="G127" s="4" t="str">
        <f>HYPERLINK("http://141.218.60.56/~jnz1568/getInfo.php?workbook=06_02.xlsx&amp;sheet=A0&amp;row=127&amp;col=7&amp;number=&amp;sourceID=34","")</f>
        <v/>
      </c>
      <c r="H127" s="4" t="str">
        <f>HYPERLINK("http://141.218.60.56/~jnz1568/getInfo.php?workbook=06_02.xlsx&amp;sheet=A0&amp;row=127&amp;col=8&amp;number=&amp;sourceID=34","")</f>
        <v/>
      </c>
      <c r="I127" s="4" t="str">
        <f>HYPERLINK("http://141.218.60.56/~jnz1568/getInfo.php?workbook=06_02.xlsx&amp;sheet=A0&amp;row=127&amp;col=9&amp;number=&amp;sourceID=34","")</f>
        <v/>
      </c>
      <c r="J127" s="4" t="str">
        <f>HYPERLINK("http://141.218.60.56/~jnz1568/getInfo.php?workbook=06_02.xlsx&amp;sheet=A0&amp;row=127&amp;col=10&amp;number=&amp;sourceID=34","")</f>
        <v/>
      </c>
      <c r="K127" s="4" t="str">
        <f>HYPERLINK("http://141.218.60.56/~jnz1568/getInfo.php?workbook=06_02.xlsx&amp;sheet=A0&amp;row=127&amp;col=11&amp;number=&amp;sourceID=30","")</f>
        <v/>
      </c>
      <c r="L127" s="4" t="str">
        <f>HYPERLINK("http://141.218.60.56/~jnz1568/getInfo.php?workbook=06_02.xlsx&amp;sheet=A0&amp;row=127&amp;col=12&amp;number=0.0006508&amp;sourceID=30","0.0006508")</f>
        <v>0.0006508</v>
      </c>
      <c r="M127" s="4" t="str">
        <f>HYPERLINK("http://141.218.60.56/~jnz1568/getInfo.php?workbook=06_02.xlsx&amp;sheet=A0&amp;row=127&amp;col=13&amp;number=0.0001564&amp;sourceID=30","0.0001564")</f>
        <v>0.0001564</v>
      </c>
      <c r="N127" s="4" t="str">
        <f>HYPERLINK("http://141.218.60.56/~jnz1568/getInfo.php?workbook=06_02.xlsx&amp;sheet=A0&amp;row=127&amp;col=14&amp;number=&amp;sourceID=30","")</f>
        <v/>
      </c>
      <c r="O127" s="4" t="str">
        <f>HYPERLINK("http://141.218.60.56/~jnz1568/getInfo.php?workbook=06_02.xlsx&amp;sheet=A0&amp;row=127&amp;col=15&amp;number=&amp;sourceID=32","")</f>
        <v/>
      </c>
      <c r="P127" s="4" t="str">
        <f>HYPERLINK("http://141.218.60.56/~jnz1568/getInfo.php?workbook=06_02.xlsx&amp;sheet=A0&amp;row=127&amp;col=16&amp;number=0.0007618&amp;sourceID=32","0.0007618")</f>
        <v>0.0007618</v>
      </c>
      <c r="Q127" s="4" t="str">
        <f>HYPERLINK("http://141.218.60.56/~jnz1568/getInfo.php?workbook=06_02.xlsx&amp;sheet=A0&amp;row=127&amp;col=17&amp;number=0.0001612&amp;sourceID=32","0.0001612")</f>
        <v>0.0001612</v>
      </c>
      <c r="R127" s="4" t="str">
        <f>HYPERLINK("http://141.218.60.56/~jnz1568/getInfo.php?workbook=06_02.xlsx&amp;sheet=A0&amp;row=127&amp;col=18&amp;number=&amp;sourceID=32","")</f>
        <v/>
      </c>
    </row>
    <row r="128" spans="1:18">
      <c r="A128" s="3">
        <v>6</v>
      </c>
      <c r="B128" s="3">
        <v>2</v>
      </c>
      <c r="C128" s="3">
        <v>18</v>
      </c>
      <c r="D128" s="3">
        <v>9</v>
      </c>
      <c r="E128" s="3">
        <f>((1/(INDEX(E0!J$4:J$52,C128,1)-INDEX(E0!J$4:J$52,D128,1))))*100000000</f>
        <v>0</v>
      </c>
      <c r="F128" s="4" t="str">
        <f>HYPERLINK("http://141.218.60.56/~jnz1568/getInfo.php?workbook=06_02.xlsx&amp;sheet=A0&amp;row=128&amp;col=6&amp;number=&amp;sourceID=27","")</f>
        <v/>
      </c>
      <c r="G128" s="4" t="str">
        <f>HYPERLINK("http://141.218.60.56/~jnz1568/getInfo.php?workbook=06_02.xlsx&amp;sheet=A0&amp;row=128&amp;col=7&amp;number=&amp;sourceID=34","")</f>
        <v/>
      </c>
      <c r="H128" s="4" t="str">
        <f>HYPERLINK("http://141.218.60.56/~jnz1568/getInfo.php?workbook=06_02.xlsx&amp;sheet=A0&amp;row=128&amp;col=8&amp;number=&amp;sourceID=34","")</f>
        <v/>
      </c>
      <c r="I128" s="4" t="str">
        <f>HYPERLINK("http://141.218.60.56/~jnz1568/getInfo.php?workbook=06_02.xlsx&amp;sheet=A0&amp;row=128&amp;col=9&amp;number=&amp;sourceID=34","")</f>
        <v/>
      </c>
      <c r="J128" s="4" t="str">
        <f>HYPERLINK("http://141.218.60.56/~jnz1568/getInfo.php?workbook=06_02.xlsx&amp;sheet=A0&amp;row=128&amp;col=10&amp;number=&amp;sourceID=34","")</f>
        <v/>
      </c>
      <c r="K128" s="4" t="str">
        <f>HYPERLINK("http://141.218.60.56/~jnz1568/getInfo.php?workbook=06_02.xlsx&amp;sheet=A0&amp;row=128&amp;col=11&amp;number=&amp;sourceID=30","")</f>
        <v/>
      </c>
      <c r="L128" s="4" t="str">
        <f>HYPERLINK("http://141.218.60.56/~jnz1568/getInfo.php?workbook=06_02.xlsx&amp;sheet=A0&amp;row=128&amp;col=12&amp;number=&amp;sourceID=30","")</f>
        <v/>
      </c>
      <c r="M128" s="4" t="str">
        <f>HYPERLINK("http://141.218.60.56/~jnz1568/getInfo.php?workbook=06_02.xlsx&amp;sheet=A0&amp;row=128&amp;col=13&amp;number=0.0003394&amp;sourceID=30","0.0003394")</f>
        <v>0.0003394</v>
      </c>
      <c r="N128" s="4" t="str">
        <f>HYPERLINK("http://141.218.60.56/~jnz1568/getInfo.php?workbook=06_02.xlsx&amp;sheet=A0&amp;row=128&amp;col=14&amp;number=&amp;sourceID=30","")</f>
        <v/>
      </c>
      <c r="O128" s="4" t="str">
        <f>HYPERLINK("http://141.218.60.56/~jnz1568/getInfo.php?workbook=06_02.xlsx&amp;sheet=A0&amp;row=128&amp;col=15&amp;number=&amp;sourceID=32","")</f>
        <v/>
      </c>
      <c r="P128" s="4" t="str">
        <f>HYPERLINK("http://141.218.60.56/~jnz1568/getInfo.php?workbook=06_02.xlsx&amp;sheet=A0&amp;row=128&amp;col=16&amp;number=&amp;sourceID=32","")</f>
        <v/>
      </c>
      <c r="Q128" s="4" t="str">
        <f>HYPERLINK("http://141.218.60.56/~jnz1568/getInfo.php?workbook=06_02.xlsx&amp;sheet=A0&amp;row=128&amp;col=17&amp;number=0.0002868&amp;sourceID=32","0.0002868")</f>
        <v>0.0002868</v>
      </c>
      <c r="R128" s="4" t="str">
        <f>HYPERLINK("http://141.218.60.56/~jnz1568/getInfo.php?workbook=06_02.xlsx&amp;sheet=A0&amp;row=128&amp;col=18&amp;number=&amp;sourceID=32","")</f>
        <v/>
      </c>
    </row>
    <row r="129" spans="1:18">
      <c r="A129" s="3">
        <v>6</v>
      </c>
      <c r="B129" s="3">
        <v>2</v>
      </c>
      <c r="C129" s="3">
        <v>18</v>
      </c>
      <c r="D129" s="3">
        <v>10</v>
      </c>
      <c r="E129" s="3">
        <f>((1/(INDEX(E0!J$4:J$52,C129,1)-INDEX(E0!J$4:J$52,D129,1))))*100000000</f>
        <v>0</v>
      </c>
      <c r="F129" s="4" t="str">
        <f>HYPERLINK("http://141.218.60.56/~jnz1568/getInfo.php?workbook=06_02.xlsx&amp;sheet=A0&amp;row=129&amp;col=6&amp;number=&amp;sourceID=27","")</f>
        <v/>
      </c>
      <c r="G129" s="4" t="str">
        <f>HYPERLINK("http://141.218.60.56/~jnz1568/getInfo.php?workbook=06_02.xlsx&amp;sheet=A0&amp;row=129&amp;col=7&amp;number=599300000&amp;sourceID=34","599300000")</f>
        <v>599300000</v>
      </c>
      <c r="H129" s="4" t="str">
        <f>HYPERLINK("http://141.218.60.56/~jnz1568/getInfo.php?workbook=06_02.xlsx&amp;sheet=A0&amp;row=129&amp;col=8&amp;number=&amp;sourceID=34","")</f>
        <v/>
      </c>
      <c r="I129" s="4" t="str">
        <f>HYPERLINK("http://141.218.60.56/~jnz1568/getInfo.php?workbook=06_02.xlsx&amp;sheet=A0&amp;row=129&amp;col=9&amp;number=&amp;sourceID=34","")</f>
        <v/>
      </c>
      <c r="J129" s="4" t="str">
        <f>HYPERLINK("http://141.218.60.56/~jnz1568/getInfo.php?workbook=06_02.xlsx&amp;sheet=A0&amp;row=129&amp;col=10&amp;number=&amp;sourceID=34","")</f>
        <v/>
      </c>
      <c r="K129" s="4" t="str">
        <f>HYPERLINK("http://141.218.60.56/~jnz1568/getInfo.php?workbook=06_02.xlsx&amp;sheet=A0&amp;row=129&amp;col=11&amp;number=580400000&amp;sourceID=30","580400000")</f>
        <v>580400000</v>
      </c>
      <c r="L129" s="4" t="str">
        <f>HYPERLINK("http://141.218.60.56/~jnz1568/getInfo.php?workbook=06_02.xlsx&amp;sheet=A0&amp;row=129&amp;col=12&amp;number=&amp;sourceID=30","")</f>
        <v/>
      </c>
      <c r="M129" s="4" t="str">
        <f>HYPERLINK("http://141.218.60.56/~jnz1568/getInfo.php?workbook=06_02.xlsx&amp;sheet=A0&amp;row=129&amp;col=13&amp;number=&amp;sourceID=30","")</f>
        <v/>
      </c>
      <c r="N129" s="4" t="str">
        <f>HYPERLINK("http://141.218.60.56/~jnz1568/getInfo.php?workbook=06_02.xlsx&amp;sheet=A0&amp;row=129&amp;col=14&amp;number=0.03658&amp;sourceID=30","0.03658")</f>
        <v>0.03658</v>
      </c>
      <c r="O129" s="4" t="str">
        <f>HYPERLINK("http://141.218.60.56/~jnz1568/getInfo.php?workbook=06_02.xlsx&amp;sheet=A0&amp;row=129&amp;col=15&amp;number=600500000&amp;sourceID=32","600500000")</f>
        <v>600500000</v>
      </c>
      <c r="P129" s="4" t="str">
        <f>HYPERLINK("http://141.218.60.56/~jnz1568/getInfo.php?workbook=06_02.xlsx&amp;sheet=A0&amp;row=129&amp;col=16&amp;number=&amp;sourceID=32","")</f>
        <v/>
      </c>
      <c r="Q129" s="4" t="str">
        <f>HYPERLINK("http://141.218.60.56/~jnz1568/getInfo.php?workbook=06_02.xlsx&amp;sheet=A0&amp;row=129&amp;col=17&amp;number=&amp;sourceID=32","")</f>
        <v/>
      </c>
      <c r="R129" s="4" t="str">
        <f>HYPERLINK("http://141.218.60.56/~jnz1568/getInfo.php?workbook=06_02.xlsx&amp;sheet=A0&amp;row=129&amp;col=18&amp;number=0.03799&amp;sourceID=32","0.03799")</f>
        <v>0.03799</v>
      </c>
    </row>
    <row r="130" spans="1:18">
      <c r="A130" s="3">
        <v>6</v>
      </c>
      <c r="B130" s="3">
        <v>2</v>
      </c>
      <c r="C130" s="3">
        <v>18</v>
      </c>
      <c r="D130" s="3">
        <v>11</v>
      </c>
      <c r="E130" s="3">
        <f>((1/(INDEX(E0!J$4:J$52,C130,1)-INDEX(E0!J$4:J$52,D130,1))))*100000000</f>
        <v>0</v>
      </c>
      <c r="F130" s="4" t="str">
        <f>HYPERLINK("http://141.218.60.56/~jnz1568/getInfo.php?workbook=06_02.xlsx&amp;sheet=A0&amp;row=130&amp;col=6&amp;number=&amp;sourceID=27","")</f>
        <v/>
      </c>
      <c r="G130" s="4" t="str">
        <f>HYPERLINK("http://141.218.60.56/~jnz1568/getInfo.php?workbook=06_02.xlsx&amp;sheet=A0&amp;row=130&amp;col=7&amp;number=199800000&amp;sourceID=34","199800000")</f>
        <v>199800000</v>
      </c>
      <c r="H130" s="4" t="str">
        <f>HYPERLINK("http://141.218.60.56/~jnz1568/getInfo.php?workbook=06_02.xlsx&amp;sheet=A0&amp;row=130&amp;col=8&amp;number=&amp;sourceID=34","")</f>
        <v/>
      </c>
      <c r="I130" s="4" t="str">
        <f>HYPERLINK("http://141.218.60.56/~jnz1568/getInfo.php?workbook=06_02.xlsx&amp;sheet=A0&amp;row=130&amp;col=9&amp;number=&amp;sourceID=34","")</f>
        <v/>
      </c>
      <c r="J130" s="4" t="str">
        <f>HYPERLINK("http://141.218.60.56/~jnz1568/getInfo.php?workbook=06_02.xlsx&amp;sheet=A0&amp;row=130&amp;col=10&amp;number=&amp;sourceID=34","")</f>
        <v/>
      </c>
      <c r="K130" s="4" t="str">
        <f>HYPERLINK("http://141.218.60.56/~jnz1568/getInfo.php?workbook=06_02.xlsx&amp;sheet=A0&amp;row=130&amp;col=11&amp;number=193700000&amp;sourceID=30","193700000")</f>
        <v>193700000</v>
      </c>
      <c r="L130" s="4" t="str">
        <f>HYPERLINK("http://141.218.60.56/~jnz1568/getInfo.php?workbook=06_02.xlsx&amp;sheet=A0&amp;row=130&amp;col=12&amp;number=&amp;sourceID=30","")</f>
        <v/>
      </c>
      <c r="M130" s="4" t="str">
        <f>HYPERLINK("http://141.218.60.56/~jnz1568/getInfo.php?workbook=06_02.xlsx&amp;sheet=A0&amp;row=130&amp;col=13&amp;number=&amp;sourceID=30","")</f>
        <v/>
      </c>
      <c r="N130" s="4" t="str">
        <f>HYPERLINK("http://141.218.60.56/~jnz1568/getInfo.php?workbook=06_02.xlsx&amp;sheet=A0&amp;row=130&amp;col=14&amp;number=&amp;sourceID=30","")</f>
        <v/>
      </c>
      <c r="O130" s="4" t="str">
        <f>HYPERLINK("http://141.218.60.56/~jnz1568/getInfo.php?workbook=06_02.xlsx&amp;sheet=A0&amp;row=130&amp;col=15&amp;number=200400000&amp;sourceID=32","200400000")</f>
        <v>200400000</v>
      </c>
      <c r="P130" s="4" t="str">
        <f>HYPERLINK("http://141.218.60.56/~jnz1568/getInfo.php?workbook=06_02.xlsx&amp;sheet=A0&amp;row=130&amp;col=16&amp;number=&amp;sourceID=32","")</f>
        <v/>
      </c>
      <c r="Q130" s="4" t="str">
        <f>HYPERLINK("http://141.218.60.56/~jnz1568/getInfo.php?workbook=06_02.xlsx&amp;sheet=A0&amp;row=130&amp;col=17&amp;number=&amp;sourceID=32","")</f>
        <v/>
      </c>
      <c r="R130" s="4" t="str">
        <f>HYPERLINK("http://141.218.60.56/~jnz1568/getInfo.php?workbook=06_02.xlsx&amp;sheet=A0&amp;row=130&amp;col=18&amp;number=&amp;sourceID=32","")</f>
        <v/>
      </c>
    </row>
    <row r="131" spans="1:18">
      <c r="A131" s="3">
        <v>6</v>
      </c>
      <c r="B131" s="3">
        <v>2</v>
      </c>
      <c r="C131" s="3">
        <v>18</v>
      </c>
      <c r="D131" s="3">
        <v>12</v>
      </c>
      <c r="E131" s="3">
        <f>((1/(INDEX(E0!J$4:J$52,C131,1)-INDEX(E0!J$4:J$52,D131,1))))*100000000</f>
        <v>0</v>
      </c>
      <c r="F131" s="4" t="str">
        <f>HYPERLINK("http://141.218.60.56/~jnz1568/getInfo.php?workbook=06_02.xlsx&amp;sheet=A0&amp;row=131&amp;col=6&amp;number=&amp;sourceID=27","")</f>
        <v/>
      </c>
      <c r="G131" s="4" t="str">
        <f>HYPERLINK("http://141.218.60.56/~jnz1568/getInfo.php?workbook=06_02.xlsx&amp;sheet=A0&amp;row=131&amp;col=7&amp;number=998000000&amp;sourceID=34","998000000")</f>
        <v>998000000</v>
      </c>
      <c r="H131" s="4" t="str">
        <f>HYPERLINK("http://141.218.60.56/~jnz1568/getInfo.php?workbook=06_02.xlsx&amp;sheet=A0&amp;row=131&amp;col=8&amp;number=&amp;sourceID=34","")</f>
        <v/>
      </c>
      <c r="I131" s="4" t="str">
        <f>HYPERLINK("http://141.218.60.56/~jnz1568/getInfo.php?workbook=06_02.xlsx&amp;sheet=A0&amp;row=131&amp;col=9&amp;number=&amp;sourceID=34","")</f>
        <v/>
      </c>
      <c r="J131" s="4" t="str">
        <f>HYPERLINK("http://141.218.60.56/~jnz1568/getInfo.php?workbook=06_02.xlsx&amp;sheet=A0&amp;row=131&amp;col=10&amp;number=&amp;sourceID=34","")</f>
        <v/>
      </c>
      <c r="K131" s="4" t="str">
        <f>HYPERLINK("http://141.218.60.56/~jnz1568/getInfo.php?workbook=06_02.xlsx&amp;sheet=A0&amp;row=131&amp;col=11&amp;number=968600000&amp;sourceID=30","968600000")</f>
        <v>968600000</v>
      </c>
      <c r="L131" s="4" t="str">
        <f>HYPERLINK("http://141.218.60.56/~jnz1568/getInfo.php?workbook=06_02.xlsx&amp;sheet=A0&amp;row=131&amp;col=12&amp;number=&amp;sourceID=30","")</f>
        <v/>
      </c>
      <c r="M131" s="4" t="str">
        <f>HYPERLINK("http://141.218.60.56/~jnz1568/getInfo.php?workbook=06_02.xlsx&amp;sheet=A0&amp;row=131&amp;col=13&amp;number=&amp;sourceID=30","")</f>
        <v/>
      </c>
      <c r="N131" s="4" t="str">
        <f>HYPERLINK("http://141.218.60.56/~jnz1568/getInfo.php?workbook=06_02.xlsx&amp;sheet=A0&amp;row=131&amp;col=14&amp;number=0.1115&amp;sourceID=30","0.1115")</f>
        <v>0.1115</v>
      </c>
      <c r="O131" s="4" t="str">
        <f>HYPERLINK("http://141.218.60.56/~jnz1568/getInfo.php?workbook=06_02.xlsx&amp;sheet=A0&amp;row=131&amp;col=15&amp;number=1002000000&amp;sourceID=32","1002000000")</f>
        <v>1002000000</v>
      </c>
      <c r="P131" s="4" t="str">
        <f>HYPERLINK("http://141.218.60.56/~jnz1568/getInfo.php?workbook=06_02.xlsx&amp;sheet=A0&amp;row=131&amp;col=16&amp;number=&amp;sourceID=32","")</f>
        <v/>
      </c>
      <c r="Q131" s="4" t="str">
        <f>HYPERLINK("http://141.218.60.56/~jnz1568/getInfo.php?workbook=06_02.xlsx&amp;sheet=A0&amp;row=131&amp;col=17&amp;number=&amp;sourceID=32","")</f>
        <v/>
      </c>
      <c r="R131" s="4" t="str">
        <f>HYPERLINK("http://141.218.60.56/~jnz1568/getInfo.php?workbook=06_02.xlsx&amp;sheet=A0&amp;row=131&amp;col=18&amp;number=0.1158&amp;sourceID=32","0.1158")</f>
        <v>0.1158</v>
      </c>
    </row>
    <row r="132" spans="1:18">
      <c r="A132" s="3">
        <v>6</v>
      </c>
      <c r="B132" s="3">
        <v>2</v>
      </c>
      <c r="C132" s="3">
        <v>18</v>
      </c>
      <c r="D132" s="3">
        <v>13</v>
      </c>
      <c r="E132" s="3">
        <f>((1/(INDEX(E0!J$4:J$52,C132,1)-INDEX(E0!J$4:J$52,D132,1))))*100000000</f>
        <v>0</v>
      </c>
      <c r="F132" s="4" t="str">
        <f>HYPERLINK("http://141.218.60.56/~jnz1568/getInfo.php?workbook=06_02.xlsx&amp;sheet=A0&amp;row=132&amp;col=6&amp;number=&amp;sourceID=27","")</f>
        <v/>
      </c>
      <c r="G132" s="4" t="str">
        <f>HYPERLINK("http://141.218.60.56/~jnz1568/getInfo.php?workbook=06_02.xlsx&amp;sheet=A0&amp;row=132&amp;col=7&amp;number=&amp;sourceID=34","")</f>
        <v/>
      </c>
      <c r="H132" s="4" t="str">
        <f>HYPERLINK("http://141.218.60.56/~jnz1568/getInfo.php?workbook=06_02.xlsx&amp;sheet=A0&amp;row=132&amp;col=8&amp;number=&amp;sourceID=34","")</f>
        <v/>
      </c>
      <c r="I132" s="4" t="str">
        <f>HYPERLINK("http://141.218.60.56/~jnz1568/getInfo.php?workbook=06_02.xlsx&amp;sheet=A0&amp;row=132&amp;col=9&amp;number=&amp;sourceID=34","")</f>
        <v/>
      </c>
      <c r="J132" s="4" t="str">
        <f>HYPERLINK("http://141.218.60.56/~jnz1568/getInfo.php?workbook=06_02.xlsx&amp;sheet=A0&amp;row=132&amp;col=10&amp;number=&amp;sourceID=34","")</f>
        <v/>
      </c>
      <c r="K132" s="4" t="str">
        <f>HYPERLINK("http://141.218.60.56/~jnz1568/getInfo.php?workbook=06_02.xlsx&amp;sheet=A0&amp;row=132&amp;col=11&amp;number=&amp;sourceID=30","")</f>
        <v/>
      </c>
      <c r="L132" s="4" t="str">
        <f>HYPERLINK("http://141.218.60.56/~jnz1568/getInfo.php?workbook=06_02.xlsx&amp;sheet=A0&amp;row=132&amp;col=12&amp;number=3830&amp;sourceID=30","3830")</f>
        <v>3830</v>
      </c>
      <c r="M132" s="4" t="str">
        <f>HYPERLINK("http://141.218.60.56/~jnz1568/getInfo.php?workbook=06_02.xlsx&amp;sheet=A0&amp;row=132&amp;col=13&amp;number=1.058e-05&amp;sourceID=30","1.058e-05")</f>
        <v>1.058e-05</v>
      </c>
      <c r="N132" s="4" t="str">
        <f>HYPERLINK("http://141.218.60.56/~jnz1568/getInfo.php?workbook=06_02.xlsx&amp;sheet=A0&amp;row=132&amp;col=14&amp;number=&amp;sourceID=30","")</f>
        <v/>
      </c>
      <c r="O132" s="4" t="str">
        <f>HYPERLINK("http://141.218.60.56/~jnz1568/getInfo.php?workbook=06_02.xlsx&amp;sheet=A0&amp;row=132&amp;col=15&amp;number=&amp;sourceID=32","")</f>
        <v/>
      </c>
      <c r="P132" s="4" t="str">
        <f>HYPERLINK("http://141.218.60.56/~jnz1568/getInfo.php?workbook=06_02.xlsx&amp;sheet=A0&amp;row=132&amp;col=16&amp;number=3858&amp;sourceID=32","3858")</f>
        <v>3858</v>
      </c>
      <c r="Q132" s="4" t="str">
        <f>HYPERLINK("http://141.218.60.56/~jnz1568/getInfo.php?workbook=06_02.xlsx&amp;sheet=A0&amp;row=132&amp;col=17&amp;number=1.149e-05&amp;sourceID=32","1.149e-05")</f>
        <v>1.149e-05</v>
      </c>
      <c r="R132" s="4" t="str">
        <f>HYPERLINK("http://141.218.60.56/~jnz1568/getInfo.php?workbook=06_02.xlsx&amp;sheet=A0&amp;row=132&amp;col=18&amp;number=&amp;sourceID=32","")</f>
        <v/>
      </c>
    </row>
    <row r="133" spans="1:18">
      <c r="A133" s="3">
        <v>6</v>
      </c>
      <c r="B133" s="3">
        <v>2</v>
      </c>
      <c r="C133" s="3">
        <v>18</v>
      </c>
      <c r="D133" s="3">
        <v>14</v>
      </c>
      <c r="E133" s="3">
        <f>((1/(INDEX(E0!J$4:J$52,C133,1)-INDEX(E0!J$4:J$52,D133,1))))*100000000</f>
        <v>0</v>
      </c>
      <c r="F133" s="4" t="str">
        <f>HYPERLINK("http://141.218.60.56/~jnz1568/getInfo.php?workbook=06_02.xlsx&amp;sheet=A0&amp;row=133&amp;col=6&amp;number=&amp;sourceID=27","")</f>
        <v/>
      </c>
      <c r="G133" s="4" t="str">
        <f>HYPERLINK("http://141.218.60.56/~jnz1568/getInfo.php?workbook=06_02.xlsx&amp;sheet=A0&amp;row=133&amp;col=7&amp;number=&amp;sourceID=34","")</f>
        <v/>
      </c>
      <c r="H133" s="4" t="str">
        <f>HYPERLINK("http://141.218.60.56/~jnz1568/getInfo.php?workbook=06_02.xlsx&amp;sheet=A0&amp;row=133&amp;col=8&amp;number=&amp;sourceID=34","")</f>
        <v/>
      </c>
      <c r="I133" s="4" t="str">
        <f>HYPERLINK("http://141.218.60.56/~jnz1568/getInfo.php?workbook=06_02.xlsx&amp;sheet=A0&amp;row=133&amp;col=9&amp;number=&amp;sourceID=34","")</f>
        <v/>
      </c>
      <c r="J133" s="4" t="str">
        <f>HYPERLINK("http://141.218.60.56/~jnz1568/getInfo.php?workbook=06_02.xlsx&amp;sheet=A0&amp;row=133&amp;col=10&amp;number=&amp;sourceID=34","")</f>
        <v/>
      </c>
      <c r="K133" s="4" t="str">
        <f>HYPERLINK("http://141.218.60.56/~jnz1568/getInfo.php?workbook=06_02.xlsx&amp;sheet=A0&amp;row=133&amp;col=11&amp;number=&amp;sourceID=30","")</f>
        <v/>
      </c>
      <c r="L133" s="4" t="str">
        <f>HYPERLINK("http://141.218.60.56/~jnz1568/getInfo.php?workbook=06_02.xlsx&amp;sheet=A0&amp;row=133&amp;col=12&amp;number=6360&amp;sourceID=30","6360")</f>
        <v>6360</v>
      </c>
      <c r="M133" s="4" t="str">
        <f>HYPERLINK("http://141.218.60.56/~jnz1568/getInfo.php?workbook=06_02.xlsx&amp;sheet=A0&amp;row=133&amp;col=13&amp;number=2.537e-06&amp;sourceID=30","2.537e-06")</f>
        <v>2.537e-06</v>
      </c>
      <c r="N133" s="4" t="str">
        <f>HYPERLINK("http://141.218.60.56/~jnz1568/getInfo.php?workbook=06_02.xlsx&amp;sheet=A0&amp;row=133&amp;col=14&amp;number=&amp;sourceID=30","")</f>
        <v/>
      </c>
      <c r="O133" s="4" t="str">
        <f>HYPERLINK("http://141.218.60.56/~jnz1568/getInfo.php?workbook=06_02.xlsx&amp;sheet=A0&amp;row=133&amp;col=15&amp;number=&amp;sourceID=32","")</f>
        <v/>
      </c>
      <c r="P133" s="4" t="str">
        <f>HYPERLINK("http://141.218.60.56/~jnz1568/getInfo.php?workbook=06_02.xlsx&amp;sheet=A0&amp;row=133&amp;col=16&amp;number=6400&amp;sourceID=32","6400")</f>
        <v>6400</v>
      </c>
      <c r="Q133" s="4" t="str">
        <f>HYPERLINK("http://141.218.60.56/~jnz1568/getInfo.php?workbook=06_02.xlsx&amp;sheet=A0&amp;row=133&amp;col=17&amp;number=2.227e-06&amp;sourceID=32","2.227e-06")</f>
        <v>2.227e-06</v>
      </c>
      <c r="R133" s="4" t="str">
        <f>HYPERLINK("http://141.218.60.56/~jnz1568/getInfo.php?workbook=06_02.xlsx&amp;sheet=A0&amp;row=133&amp;col=18&amp;number=&amp;sourceID=32","")</f>
        <v/>
      </c>
    </row>
    <row r="134" spans="1:18">
      <c r="A134" s="3">
        <v>6</v>
      </c>
      <c r="B134" s="3">
        <v>2</v>
      </c>
      <c r="C134" s="3">
        <v>18</v>
      </c>
      <c r="D134" s="3">
        <v>15</v>
      </c>
      <c r="E134" s="3">
        <f>((1/(INDEX(E0!J$4:J$52,C134,1)-INDEX(E0!J$4:J$52,D134,1))))*100000000</f>
        <v>0</v>
      </c>
      <c r="F134" s="4" t="str">
        <f>HYPERLINK("http://141.218.60.56/~jnz1568/getInfo.php?workbook=06_02.xlsx&amp;sheet=A0&amp;row=134&amp;col=6&amp;number=&amp;sourceID=27","")</f>
        <v/>
      </c>
      <c r="G134" s="4" t="str">
        <f>HYPERLINK("http://141.218.60.56/~jnz1568/getInfo.php?workbook=06_02.xlsx&amp;sheet=A0&amp;row=134&amp;col=7&amp;number=&amp;sourceID=34","")</f>
        <v/>
      </c>
      <c r="H134" s="4" t="str">
        <f>HYPERLINK("http://141.218.60.56/~jnz1568/getInfo.php?workbook=06_02.xlsx&amp;sheet=A0&amp;row=134&amp;col=8&amp;number=&amp;sourceID=34","")</f>
        <v/>
      </c>
      <c r="I134" s="4" t="str">
        <f>HYPERLINK("http://141.218.60.56/~jnz1568/getInfo.php?workbook=06_02.xlsx&amp;sheet=A0&amp;row=134&amp;col=9&amp;number=&amp;sourceID=34","")</f>
        <v/>
      </c>
      <c r="J134" s="4" t="str">
        <f>HYPERLINK("http://141.218.60.56/~jnz1568/getInfo.php?workbook=06_02.xlsx&amp;sheet=A0&amp;row=134&amp;col=10&amp;number=&amp;sourceID=34","")</f>
        <v/>
      </c>
      <c r="K134" s="4" t="str">
        <f>HYPERLINK("http://141.218.60.56/~jnz1568/getInfo.php?workbook=06_02.xlsx&amp;sheet=A0&amp;row=134&amp;col=11&amp;number=&amp;sourceID=30","")</f>
        <v/>
      </c>
      <c r="L134" s="4" t="str">
        <f>HYPERLINK("http://141.218.60.56/~jnz1568/getInfo.php?workbook=06_02.xlsx&amp;sheet=A0&amp;row=134&amp;col=12&amp;number=8935&amp;sourceID=30","8935")</f>
        <v>8935</v>
      </c>
      <c r="M134" s="4" t="str">
        <f>HYPERLINK("http://141.218.60.56/~jnz1568/getInfo.php?workbook=06_02.xlsx&amp;sheet=A0&amp;row=134&amp;col=13&amp;number=&amp;sourceID=30","")</f>
        <v/>
      </c>
      <c r="N134" s="4" t="str">
        <f>HYPERLINK("http://141.218.60.56/~jnz1568/getInfo.php?workbook=06_02.xlsx&amp;sheet=A0&amp;row=134&amp;col=14&amp;number=&amp;sourceID=30","")</f>
        <v/>
      </c>
      <c r="O134" s="4" t="str">
        <f>HYPERLINK("http://141.218.60.56/~jnz1568/getInfo.php?workbook=06_02.xlsx&amp;sheet=A0&amp;row=134&amp;col=15&amp;number=&amp;sourceID=32","")</f>
        <v/>
      </c>
      <c r="P134" s="4" t="str">
        <f>HYPERLINK("http://141.218.60.56/~jnz1568/getInfo.php?workbook=06_02.xlsx&amp;sheet=A0&amp;row=134&amp;col=16&amp;number=9001&amp;sourceID=32","9001")</f>
        <v>9001</v>
      </c>
      <c r="Q134" s="4" t="str">
        <f>HYPERLINK("http://141.218.60.56/~jnz1568/getInfo.php?workbook=06_02.xlsx&amp;sheet=A0&amp;row=134&amp;col=17&amp;number=&amp;sourceID=32","")</f>
        <v/>
      </c>
      <c r="R134" s="4" t="str">
        <f>HYPERLINK("http://141.218.60.56/~jnz1568/getInfo.php?workbook=06_02.xlsx&amp;sheet=A0&amp;row=134&amp;col=18&amp;number=&amp;sourceID=32","")</f>
        <v/>
      </c>
    </row>
    <row r="135" spans="1:18">
      <c r="A135" s="3">
        <v>6</v>
      </c>
      <c r="B135" s="3">
        <v>2</v>
      </c>
      <c r="C135" s="3">
        <v>18</v>
      </c>
      <c r="D135" s="3">
        <v>16</v>
      </c>
      <c r="E135" s="3">
        <f>((1/(INDEX(E0!J$4:J$52,C135,1)-INDEX(E0!J$4:J$52,D135,1))))*100000000</f>
        <v>0</v>
      </c>
      <c r="F135" s="4" t="str">
        <f>HYPERLINK("http://141.218.60.56/~jnz1568/getInfo.php?workbook=06_02.xlsx&amp;sheet=A0&amp;row=135&amp;col=6&amp;number=&amp;sourceID=27","")</f>
        <v/>
      </c>
      <c r="G135" s="4" t="str">
        <f>HYPERLINK("http://141.218.60.56/~jnz1568/getInfo.php?workbook=06_02.xlsx&amp;sheet=A0&amp;row=135&amp;col=7&amp;number=&amp;sourceID=34","")</f>
        <v/>
      </c>
      <c r="H135" s="4" t="str">
        <f>HYPERLINK("http://141.218.60.56/~jnz1568/getInfo.php?workbook=06_02.xlsx&amp;sheet=A0&amp;row=135&amp;col=8&amp;number=&amp;sourceID=34","")</f>
        <v/>
      </c>
      <c r="I135" s="4" t="str">
        <f>HYPERLINK("http://141.218.60.56/~jnz1568/getInfo.php?workbook=06_02.xlsx&amp;sheet=A0&amp;row=135&amp;col=9&amp;number=&amp;sourceID=34","")</f>
        <v/>
      </c>
      <c r="J135" s="4" t="str">
        <f>HYPERLINK("http://141.218.60.56/~jnz1568/getInfo.php?workbook=06_02.xlsx&amp;sheet=A0&amp;row=135&amp;col=10&amp;number=&amp;sourceID=34","")</f>
        <v/>
      </c>
      <c r="K135" s="4" t="str">
        <f>HYPERLINK("http://141.218.60.56/~jnz1568/getInfo.php?workbook=06_02.xlsx&amp;sheet=A0&amp;row=135&amp;col=11&amp;number=&amp;sourceID=30","")</f>
        <v/>
      </c>
      <c r="L135" s="4" t="str">
        <f>HYPERLINK("http://141.218.60.56/~jnz1568/getInfo.php?workbook=06_02.xlsx&amp;sheet=A0&amp;row=135&amp;col=12&amp;number=20&amp;sourceID=30","20")</f>
        <v>20</v>
      </c>
      <c r="M135" s="4" t="str">
        <f>HYPERLINK("http://141.218.60.56/~jnz1568/getInfo.php?workbook=06_02.xlsx&amp;sheet=A0&amp;row=135&amp;col=13&amp;number=6.762e-08&amp;sourceID=30","6.762e-08")</f>
        <v>6.762e-08</v>
      </c>
      <c r="N135" s="4" t="str">
        <f>HYPERLINK("http://141.218.60.56/~jnz1568/getInfo.php?workbook=06_02.xlsx&amp;sheet=A0&amp;row=135&amp;col=14&amp;number=&amp;sourceID=30","")</f>
        <v/>
      </c>
      <c r="O135" s="4" t="str">
        <f>HYPERLINK("http://141.218.60.56/~jnz1568/getInfo.php?workbook=06_02.xlsx&amp;sheet=A0&amp;row=135&amp;col=15&amp;number=&amp;sourceID=32","")</f>
        <v/>
      </c>
      <c r="P135" s="4" t="str">
        <f>HYPERLINK("http://141.218.60.56/~jnz1568/getInfo.php?workbook=06_02.xlsx&amp;sheet=A0&amp;row=135&amp;col=16&amp;number=27.43&amp;sourceID=32","27.43")</f>
        <v>27.43</v>
      </c>
      <c r="Q135" s="4" t="str">
        <f>HYPERLINK("http://141.218.60.56/~jnz1568/getInfo.php?workbook=06_02.xlsx&amp;sheet=A0&amp;row=135&amp;col=17&amp;number=1.334e-07&amp;sourceID=32","1.334e-07")</f>
        <v>1.334e-07</v>
      </c>
      <c r="R135" s="4" t="str">
        <f>HYPERLINK("http://141.218.60.56/~jnz1568/getInfo.php?workbook=06_02.xlsx&amp;sheet=A0&amp;row=135&amp;col=18&amp;number=&amp;sourceID=32","")</f>
        <v/>
      </c>
    </row>
    <row r="136" spans="1:18">
      <c r="A136" s="3">
        <v>6</v>
      </c>
      <c r="B136" s="3">
        <v>2</v>
      </c>
      <c r="C136" s="3">
        <v>18</v>
      </c>
      <c r="D136" s="3">
        <v>17</v>
      </c>
      <c r="E136" s="3">
        <f>((1/(INDEX(E0!J$4:J$52,C136,1)-INDEX(E0!J$4:J$52,D136,1))))*100000000</f>
        <v>0</v>
      </c>
      <c r="F136" s="4" t="str">
        <f>HYPERLINK("http://141.218.60.56/~jnz1568/getInfo.php?workbook=06_02.xlsx&amp;sheet=A0&amp;row=136&amp;col=6&amp;number=&amp;sourceID=27","")</f>
        <v/>
      </c>
      <c r="G136" s="4" t="str">
        <f>HYPERLINK("http://141.218.60.56/~jnz1568/getInfo.php?workbook=06_02.xlsx&amp;sheet=A0&amp;row=136&amp;col=7&amp;number=&amp;sourceID=34","")</f>
        <v/>
      </c>
      <c r="H136" s="4" t="str">
        <f>HYPERLINK("http://141.218.60.56/~jnz1568/getInfo.php?workbook=06_02.xlsx&amp;sheet=A0&amp;row=136&amp;col=8&amp;number=&amp;sourceID=34","")</f>
        <v/>
      </c>
      <c r="I136" s="4" t="str">
        <f>HYPERLINK("http://141.218.60.56/~jnz1568/getInfo.php?workbook=06_02.xlsx&amp;sheet=A0&amp;row=136&amp;col=9&amp;number=&amp;sourceID=34","")</f>
        <v/>
      </c>
      <c r="J136" s="4" t="str">
        <f>HYPERLINK("http://141.218.60.56/~jnz1568/getInfo.php?workbook=06_02.xlsx&amp;sheet=A0&amp;row=136&amp;col=10&amp;number=&amp;sourceID=34","")</f>
        <v/>
      </c>
      <c r="K136" s="4" t="str">
        <f>HYPERLINK("http://141.218.60.56/~jnz1568/getInfo.php?workbook=06_02.xlsx&amp;sheet=A0&amp;row=136&amp;col=11&amp;number=20250&amp;sourceID=30","20250")</f>
        <v>20250</v>
      </c>
      <c r="L136" s="4" t="str">
        <f>HYPERLINK("http://141.218.60.56/~jnz1568/getInfo.php?workbook=06_02.xlsx&amp;sheet=A0&amp;row=136&amp;col=12&amp;number=&amp;sourceID=30","")</f>
        <v/>
      </c>
      <c r="M136" s="4" t="str">
        <f>HYPERLINK("http://141.218.60.56/~jnz1568/getInfo.php?workbook=06_02.xlsx&amp;sheet=A0&amp;row=136&amp;col=13&amp;number=&amp;sourceID=30","")</f>
        <v/>
      </c>
      <c r="N136" s="4" t="str">
        <f>HYPERLINK("http://141.218.60.56/~jnz1568/getInfo.php?workbook=06_02.xlsx&amp;sheet=A0&amp;row=136&amp;col=14&amp;number=0.08717&amp;sourceID=30","0.08717")</f>
        <v>0.08717</v>
      </c>
      <c r="O136" s="4" t="str">
        <f>HYPERLINK("http://141.218.60.56/~jnz1568/getInfo.php?workbook=06_02.xlsx&amp;sheet=A0&amp;row=136&amp;col=15&amp;number=21880&amp;sourceID=32","21880")</f>
        <v>21880</v>
      </c>
      <c r="P136" s="4" t="str">
        <f>HYPERLINK("http://141.218.60.56/~jnz1568/getInfo.php?workbook=06_02.xlsx&amp;sheet=A0&amp;row=136&amp;col=16&amp;number=&amp;sourceID=32","")</f>
        <v/>
      </c>
      <c r="Q136" s="4" t="str">
        <f>HYPERLINK("http://141.218.60.56/~jnz1568/getInfo.php?workbook=06_02.xlsx&amp;sheet=A0&amp;row=136&amp;col=17&amp;number=&amp;sourceID=32","")</f>
        <v/>
      </c>
      <c r="R136" s="4" t="str">
        <f>HYPERLINK("http://141.218.60.56/~jnz1568/getInfo.php?workbook=06_02.xlsx&amp;sheet=A0&amp;row=136&amp;col=18&amp;number=0.08278&amp;sourceID=32","0.08278")</f>
        <v>0.08278</v>
      </c>
    </row>
    <row r="137" spans="1:18">
      <c r="A137" s="3">
        <v>6</v>
      </c>
      <c r="B137" s="3">
        <v>2</v>
      </c>
      <c r="C137" s="3">
        <v>19</v>
      </c>
      <c r="D137" s="3">
        <v>2</v>
      </c>
      <c r="E137" s="3">
        <f>((1/(INDEX(E0!J$4:J$52,C137,1)-INDEX(E0!J$4:J$52,D137,1))))*100000000</f>
        <v>0</v>
      </c>
      <c r="F137" s="4" t="str">
        <f>HYPERLINK("http://141.218.60.56/~jnz1568/getInfo.php?workbook=06_02.xlsx&amp;sheet=A0&amp;row=137&amp;col=6&amp;number=&amp;sourceID=27","")</f>
        <v/>
      </c>
      <c r="G137" s="4" t="str">
        <f>HYPERLINK("http://141.218.60.56/~jnz1568/getInfo.php?workbook=06_02.xlsx&amp;sheet=A0&amp;row=137&amp;col=7&amp;number=&amp;sourceID=34","")</f>
        <v/>
      </c>
      <c r="H137" s="4" t="str">
        <f>HYPERLINK("http://141.218.60.56/~jnz1568/getInfo.php?workbook=06_02.xlsx&amp;sheet=A0&amp;row=137&amp;col=8&amp;number=&amp;sourceID=34","")</f>
        <v/>
      </c>
      <c r="I137" s="4" t="str">
        <f>HYPERLINK("http://141.218.60.56/~jnz1568/getInfo.php?workbook=06_02.xlsx&amp;sheet=A0&amp;row=137&amp;col=9&amp;number=&amp;sourceID=34","")</f>
        <v/>
      </c>
      <c r="J137" s="4" t="str">
        <f>HYPERLINK("http://141.218.60.56/~jnz1568/getInfo.php?workbook=06_02.xlsx&amp;sheet=A0&amp;row=137&amp;col=10&amp;number=&amp;sourceID=34","")</f>
        <v/>
      </c>
      <c r="K137" s="4" t="str">
        <f>HYPERLINK("http://141.218.60.56/~jnz1568/getInfo.php?workbook=06_02.xlsx&amp;sheet=A0&amp;row=137&amp;col=11&amp;number=&amp;sourceID=30","")</f>
        <v/>
      </c>
      <c r="L137" s="4" t="str">
        <f>HYPERLINK("http://141.218.60.56/~jnz1568/getInfo.php?workbook=06_02.xlsx&amp;sheet=A0&amp;row=137&amp;col=12&amp;number=&amp;sourceID=30","")</f>
        <v/>
      </c>
      <c r="M137" s="4" t="str">
        <f>HYPERLINK("http://141.218.60.56/~jnz1568/getInfo.php?workbook=06_02.xlsx&amp;sheet=A0&amp;row=137&amp;col=13&amp;number=0.01599&amp;sourceID=30","0.01599")</f>
        <v>0.01599</v>
      </c>
      <c r="N137" s="4" t="str">
        <f>HYPERLINK("http://141.218.60.56/~jnz1568/getInfo.php?workbook=06_02.xlsx&amp;sheet=A0&amp;row=137&amp;col=14&amp;number=&amp;sourceID=30","")</f>
        <v/>
      </c>
      <c r="O137" s="4" t="str">
        <f>HYPERLINK("http://141.218.60.56/~jnz1568/getInfo.php?workbook=06_02.xlsx&amp;sheet=A0&amp;row=137&amp;col=15&amp;number=&amp;sourceID=32","")</f>
        <v/>
      </c>
      <c r="P137" s="4" t="str">
        <f>HYPERLINK("http://141.218.60.56/~jnz1568/getInfo.php?workbook=06_02.xlsx&amp;sheet=A0&amp;row=137&amp;col=16&amp;number=&amp;sourceID=32","")</f>
        <v/>
      </c>
      <c r="Q137" s="4" t="str">
        <f>HYPERLINK("http://141.218.60.56/~jnz1568/getInfo.php?workbook=06_02.xlsx&amp;sheet=A0&amp;row=137&amp;col=17&amp;number=0.01187&amp;sourceID=32","0.01187")</f>
        <v>0.01187</v>
      </c>
      <c r="R137" s="4" t="str">
        <f>HYPERLINK("http://141.218.60.56/~jnz1568/getInfo.php?workbook=06_02.xlsx&amp;sheet=A0&amp;row=137&amp;col=18&amp;number=&amp;sourceID=32","")</f>
        <v/>
      </c>
    </row>
    <row r="138" spans="1:18">
      <c r="A138" s="3">
        <v>6</v>
      </c>
      <c r="B138" s="3">
        <v>2</v>
      </c>
      <c r="C138" s="3">
        <v>19</v>
      </c>
      <c r="D138" s="3">
        <v>4</v>
      </c>
      <c r="E138" s="3">
        <f>((1/(INDEX(E0!J$4:J$52,C138,1)-INDEX(E0!J$4:J$52,D138,1))))*100000000</f>
        <v>0</v>
      </c>
      <c r="F138" s="4" t="str">
        <f>HYPERLINK("http://141.218.60.56/~jnz1568/getInfo.php?workbook=06_02.xlsx&amp;sheet=A0&amp;row=138&amp;col=6&amp;number=&amp;sourceID=27","")</f>
        <v/>
      </c>
      <c r="G138" s="4" t="str">
        <f>HYPERLINK("http://141.218.60.56/~jnz1568/getInfo.php?workbook=06_02.xlsx&amp;sheet=A0&amp;row=138&amp;col=7&amp;number=&amp;sourceID=34","")</f>
        <v/>
      </c>
      <c r="H138" s="4" t="str">
        <f>HYPERLINK("http://141.218.60.56/~jnz1568/getInfo.php?workbook=06_02.xlsx&amp;sheet=A0&amp;row=138&amp;col=8&amp;number=&amp;sourceID=34","")</f>
        <v/>
      </c>
      <c r="I138" s="4" t="str">
        <f>HYPERLINK("http://141.218.60.56/~jnz1568/getInfo.php?workbook=06_02.xlsx&amp;sheet=A0&amp;row=138&amp;col=9&amp;number=&amp;sourceID=34","")</f>
        <v/>
      </c>
      <c r="J138" s="4" t="str">
        <f>HYPERLINK("http://141.218.60.56/~jnz1568/getInfo.php?workbook=06_02.xlsx&amp;sheet=A0&amp;row=138&amp;col=10&amp;number=&amp;sourceID=34","")</f>
        <v/>
      </c>
      <c r="K138" s="4" t="str">
        <f>HYPERLINK("http://141.218.60.56/~jnz1568/getInfo.php?workbook=06_02.xlsx&amp;sheet=A0&amp;row=138&amp;col=11&amp;number=71010&amp;sourceID=30","71010")</f>
        <v>71010</v>
      </c>
      <c r="L138" s="4" t="str">
        <f>HYPERLINK("http://141.218.60.56/~jnz1568/getInfo.php?workbook=06_02.xlsx&amp;sheet=A0&amp;row=138&amp;col=12&amp;number=&amp;sourceID=30","")</f>
        <v/>
      </c>
      <c r="M138" s="4" t="str">
        <f>HYPERLINK("http://141.218.60.56/~jnz1568/getInfo.php?workbook=06_02.xlsx&amp;sheet=A0&amp;row=138&amp;col=13&amp;number=&amp;sourceID=30","")</f>
        <v/>
      </c>
      <c r="N138" s="4" t="str">
        <f>HYPERLINK("http://141.218.60.56/~jnz1568/getInfo.php?workbook=06_02.xlsx&amp;sheet=A0&amp;row=138&amp;col=14&amp;number=&amp;sourceID=30","")</f>
        <v/>
      </c>
      <c r="O138" s="4" t="str">
        <f>HYPERLINK("http://141.218.60.56/~jnz1568/getInfo.php?workbook=06_02.xlsx&amp;sheet=A0&amp;row=138&amp;col=15&amp;number=49610&amp;sourceID=32","49610")</f>
        <v>49610</v>
      </c>
      <c r="P138" s="4" t="str">
        <f>HYPERLINK("http://141.218.60.56/~jnz1568/getInfo.php?workbook=06_02.xlsx&amp;sheet=A0&amp;row=138&amp;col=16&amp;number=&amp;sourceID=32","")</f>
        <v/>
      </c>
      <c r="Q138" s="4" t="str">
        <f>HYPERLINK("http://141.218.60.56/~jnz1568/getInfo.php?workbook=06_02.xlsx&amp;sheet=A0&amp;row=138&amp;col=17&amp;number=&amp;sourceID=32","")</f>
        <v/>
      </c>
      <c r="R138" s="4" t="str">
        <f>HYPERLINK("http://141.218.60.56/~jnz1568/getInfo.php?workbook=06_02.xlsx&amp;sheet=A0&amp;row=138&amp;col=18&amp;number=&amp;sourceID=32","")</f>
        <v/>
      </c>
    </row>
    <row r="139" spans="1:18">
      <c r="A139" s="3">
        <v>6</v>
      </c>
      <c r="B139" s="3">
        <v>2</v>
      </c>
      <c r="C139" s="3">
        <v>19</v>
      </c>
      <c r="D139" s="3">
        <v>6</v>
      </c>
      <c r="E139" s="3">
        <f>((1/(INDEX(E0!J$4:J$52,C139,1)-INDEX(E0!J$4:J$52,D139,1))))*100000000</f>
        <v>0</v>
      </c>
      <c r="F139" s="4" t="str">
        <f>HYPERLINK("http://141.218.60.56/~jnz1568/getInfo.php?workbook=06_02.xlsx&amp;sheet=A0&amp;row=139&amp;col=6&amp;number=&amp;sourceID=27","")</f>
        <v/>
      </c>
      <c r="G139" s="4" t="str">
        <f>HYPERLINK("http://141.218.60.56/~jnz1568/getInfo.php?workbook=06_02.xlsx&amp;sheet=A0&amp;row=139&amp;col=7&amp;number=&amp;sourceID=34","")</f>
        <v/>
      </c>
      <c r="H139" s="4" t="str">
        <f>HYPERLINK("http://141.218.60.56/~jnz1568/getInfo.php?workbook=06_02.xlsx&amp;sheet=A0&amp;row=139&amp;col=8&amp;number=&amp;sourceID=34","")</f>
        <v/>
      </c>
      <c r="I139" s="4" t="str">
        <f>HYPERLINK("http://141.218.60.56/~jnz1568/getInfo.php?workbook=06_02.xlsx&amp;sheet=A0&amp;row=139&amp;col=9&amp;number=&amp;sourceID=34","")</f>
        <v/>
      </c>
      <c r="J139" s="4" t="str">
        <f>HYPERLINK("http://141.218.60.56/~jnz1568/getInfo.php?workbook=06_02.xlsx&amp;sheet=A0&amp;row=139&amp;col=10&amp;number=&amp;sourceID=34","")</f>
        <v/>
      </c>
      <c r="K139" s="4" t="str">
        <f>HYPERLINK("http://141.218.60.56/~jnz1568/getInfo.php?workbook=06_02.xlsx&amp;sheet=A0&amp;row=139&amp;col=11&amp;number=&amp;sourceID=30","")</f>
        <v/>
      </c>
      <c r="L139" s="4" t="str">
        <f>HYPERLINK("http://141.218.60.56/~jnz1568/getInfo.php?workbook=06_02.xlsx&amp;sheet=A0&amp;row=139&amp;col=12&amp;number=&amp;sourceID=30","")</f>
        <v/>
      </c>
      <c r="M139" s="4" t="str">
        <f>HYPERLINK("http://141.218.60.56/~jnz1568/getInfo.php?workbook=06_02.xlsx&amp;sheet=A0&amp;row=139&amp;col=13&amp;number=&amp;sourceID=30","")</f>
        <v/>
      </c>
      <c r="N139" s="4" t="str">
        <f>HYPERLINK("http://141.218.60.56/~jnz1568/getInfo.php?workbook=06_02.xlsx&amp;sheet=A0&amp;row=139&amp;col=14&amp;number=3.153&amp;sourceID=30","3.153")</f>
        <v>3.153</v>
      </c>
      <c r="O139" s="4" t="str">
        <f>HYPERLINK("http://141.218.60.56/~jnz1568/getInfo.php?workbook=06_02.xlsx&amp;sheet=A0&amp;row=139&amp;col=15&amp;number=&amp;sourceID=32","")</f>
        <v/>
      </c>
      <c r="P139" s="4" t="str">
        <f>HYPERLINK("http://141.218.60.56/~jnz1568/getInfo.php?workbook=06_02.xlsx&amp;sheet=A0&amp;row=139&amp;col=16&amp;number=&amp;sourceID=32","")</f>
        <v/>
      </c>
      <c r="Q139" s="4" t="str">
        <f>HYPERLINK("http://141.218.60.56/~jnz1568/getInfo.php?workbook=06_02.xlsx&amp;sheet=A0&amp;row=139&amp;col=17&amp;number=&amp;sourceID=32","")</f>
        <v/>
      </c>
      <c r="R139" s="4" t="str">
        <f>HYPERLINK("http://141.218.60.56/~jnz1568/getInfo.php?workbook=06_02.xlsx&amp;sheet=A0&amp;row=139&amp;col=18&amp;number=3.383&amp;sourceID=32","3.383")</f>
        <v>3.383</v>
      </c>
    </row>
    <row r="140" spans="1:18">
      <c r="A140" s="3">
        <v>6</v>
      </c>
      <c r="B140" s="3">
        <v>2</v>
      </c>
      <c r="C140" s="3">
        <v>19</v>
      </c>
      <c r="D140" s="3">
        <v>7</v>
      </c>
      <c r="E140" s="3">
        <f>((1/(INDEX(E0!J$4:J$52,C140,1)-INDEX(E0!J$4:J$52,D140,1))))*100000000</f>
        <v>0</v>
      </c>
      <c r="F140" s="4" t="str">
        <f>HYPERLINK("http://141.218.60.56/~jnz1568/getInfo.php?workbook=06_02.xlsx&amp;sheet=A0&amp;row=140&amp;col=6&amp;number=&amp;sourceID=27","")</f>
        <v/>
      </c>
      <c r="G140" s="4" t="str">
        <f>HYPERLINK("http://141.218.60.56/~jnz1568/getInfo.php?workbook=06_02.xlsx&amp;sheet=A0&amp;row=140&amp;col=7&amp;number=&amp;sourceID=34","")</f>
        <v/>
      </c>
      <c r="H140" s="4" t="str">
        <f>HYPERLINK("http://141.218.60.56/~jnz1568/getInfo.php?workbook=06_02.xlsx&amp;sheet=A0&amp;row=140&amp;col=8&amp;number=&amp;sourceID=34","")</f>
        <v/>
      </c>
      <c r="I140" s="4" t="str">
        <f>HYPERLINK("http://141.218.60.56/~jnz1568/getInfo.php?workbook=06_02.xlsx&amp;sheet=A0&amp;row=140&amp;col=9&amp;number=&amp;sourceID=34","")</f>
        <v/>
      </c>
      <c r="J140" s="4" t="str">
        <f>HYPERLINK("http://141.218.60.56/~jnz1568/getInfo.php?workbook=06_02.xlsx&amp;sheet=A0&amp;row=140&amp;col=10&amp;number=&amp;sourceID=34","")</f>
        <v/>
      </c>
      <c r="K140" s="4" t="str">
        <f>HYPERLINK("http://141.218.60.56/~jnz1568/getInfo.php?workbook=06_02.xlsx&amp;sheet=A0&amp;row=140&amp;col=11&amp;number=3514000000&amp;sourceID=30","3514000000")</f>
        <v>3514000000</v>
      </c>
      <c r="L140" s="4" t="str">
        <f>HYPERLINK("http://141.218.60.56/~jnz1568/getInfo.php?workbook=06_02.xlsx&amp;sheet=A0&amp;row=140&amp;col=12&amp;number=&amp;sourceID=30","")</f>
        <v/>
      </c>
      <c r="M140" s="4" t="str">
        <f>HYPERLINK("http://141.218.60.56/~jnz1568/getInfo.php?workbook=06_02.xlsx&amp;sheet=A0&amp;row=140&amp;col=13&amp;number=&amp;sourceID=30","")</f>
        <v/>
      </c>
      <c r="N140" s="4" t="str">
        <f>HYPERLINK("http://141.218.60.56/~jnz1568/getInfo.php?workbook=06_02.xlsx&amp;sheet=A0&amp;row=140&amp;col=14&amp;number=&amp;sourceID=30","")</f>
        <v/>
      </c>
      <c r="O140" s="4" t="str">
        <f>HYPERLINK("http://141.218.60.56/~jnz1568/getInfo.php?workbook=06_02.xlsx&amp;sheet=A0&amp;row=140&amp;col=15&amp;number=2294000000&amp;sourceID=32","2294000000")</f>
        <v>2294000000</v>
      </c>
      <c r="P140" s="4" t="str">
        <f>HYPERLINK("http://141.218.60.56/~jnz1568/getInfo.php?workbook=06_02.xlsx&amp;sheet=A0&amp;row=140&amp;col=16&amp;number=&amp;sourceID=32","")</f>
        <v/>
      </c>
      <c r="Q140" s="4" t="str">
        <f>HYPERLINK("http://141.218.60.56/~jnz1568/getInfo.php?workbook=06_02.xlsx&amp;sheet=A0&amp;row=140&amp;col=17&amp;number=&amp;sourceID=32","")</f>
        <v/>
      </c>
      <c r="R140" s="4" t="str">
        <f>HYPERLINK("http://141.218.60.56/~jnz1568/getInfo.php?workbook=06_02.xlsx&amp;sheet=A0&amp;row=140&amp;col=18&amp;number=&amp;sourceID=32","")</f>
        <v/>
      </c>
    </row>
    <row r="141" spans="1:18">
      <c r="A141" s="3">
        <v>6</v>
      </c>
      <c r="B141" s="3">
        <v>2</v>
      </c>
      <c r="C141" s="3">
        <v>19</v>
      </c>
      <c r="D141" s="3">
        <v>8</v>
      </c>
      <c r="E141" s="3">
        <f>((1/(INDEX(E0!J$4:J$52,C141,1)-INDEX(E0!J$4:J$52,D141,1))))*100000000</f>
        <v>0</v>
      </c>
      <c r="F141" s="4" t="str">
        <f>HYPERLINK("http://141.218.60.56/~jnz1568/getInfo.php?workbook=06_02.xlsx&amp;sheet=A0&amp;row=141&amp;col=6&amp;number=&amp;sourceID=27","")</f>
        <v/>
      </c>
      <c r="G141" s="4" t="str">
        <f>HYPERLINK("http://141.218.60.56/~jnz1568/getInfo.php?workbook=06_02.xlsx&amp;sheet=A0&amp;row=141&amp;col=7&amp;number=&amp;sourceID=34","")</f>
        <v/>
      </c>
      <c r="H141" s="4" t="str">
        <f>HYPERLINK("http://141.218.60.56/~jnz1568/getInfo.php?workbook=06_02.xlsx&amp;sheet=A0&amp;row=141&amp;col=8&amp;number=&amp;sourceID=34","")</f>
        <v/>
      </c>
      <c r="I141" s="4" t="str">
        <f>HYPERLINK("http://141.218.60.56/~jnz1568/getInfo.php?workbook=06_02.xlsx&amp;sheet=A0&amp;row=141&amp;col=9&amp;number=&amp;sourceID=34","")</f>
        <v/>
      </c>
      <c r="J141" s="4" t="str">
        <f>HYPERLINK("http://141.218.60.56/~jnz1568/getInfo.php?workbook=06_02.xlsx&amp;sheet=A0&amp;row=141&amp;col=10&amp;number=&amp;sourceID=34","")</f>
        <v/>
      </c>
      <c r="K141" s="4" t="str">
        <f>HYPERLINK("http://141.218.60.56/~jnz1568/getInfo.php?workbook=06_02.xlsx&amp;sheet=A0&amp;row=141&amp;col=11&amp;number=&amp;sourceID=30","")</f>
        <v/>
      </c>
      <c r="L141" s="4" t="str">
        <f>HYPERLINK("http://141.218.60.56/~jnz1568/getInfo.php?workbook=06_02.xlsx&amp;sheet=A0&amp;row=141&amp;col=12&amp;number=&amp;sourceID=30","")</f>
        <v/>
      </c>
      <c r="M141" s="4" t="str">
        <f>HYPERLINK("http://141.218.60.56/~jnz1568/getInfo.php?workbook=06_02.xlsx&amp;sheet=A0&amp;row=141&amp;col=13&amp;number=1.422e-06&amp;sourceID=30","1.422e-06")</f>
        <v>1.422e-06</v>
      </c>
      <c r="N141" s="4" t="str">
        <f>HYPERLINK("http://141.218.60.56/~jnz1568/getInfo.php?workbook=06_02.xlsx&amp;sheet=A0&amp;row=141&amp;col=14&amp;number=&amp;sourceID=30","")</f>
        <v/>
      </c>
      <c r="O141" s="4" t="str">
        <f>HYPERLINK("http://141.218.60.56/~jnz1568/getInfo.php?workbook=06_02.xlsx&amp;sheet=A0&amp;row=141&amp;col=15&amp;number=&amp;sourceID=32","")</f>
        <v/>
      </c>
      <c r="P141" s="4" t="str">
        <f>HYPERLINK("http://141.218.60.56/~jnz1568/getInfo.php?workbook=06_02.xlsx&amp;sheet=A0&amp;row=141&amp;col=16&amp;number=&amp;sourceID=32","")</f>
        <v/>
      </c>
      <c r="Q141" s="4" t="str">
        <f>HYPERLINK("http://141.218.60.56/~jnz1568/getInfo.php?workbook=06_02.xlsx&amp;sheet=A0&amp;row=141&amp;col=17&amp;number=1.163e-06&amp;sourceID=32","1.163e-06")</f>
        <v>1.163e-06</v>
      </c>
      <c r="R141" s="4" t="str">
        <f>HYPERLINK("http://141.218.60.56/~jnz1568/getInfo.php?workbook=06_02.xlsx&amp;sheet=A0&amp;row=141&amp;col=18&amp;number=&amp;sourceID=32","")</f>
        <v/>
      </c>
    </row>
    <row r="142" spans="1:18">
      <c r="A142" s="3">
        <v>6</v>
      </c>
      <c r="B142" s="3">
        <v>2</v>
      </c>
      <c r="C142" s="3">
        <v>19</v>
      </c>
      <c r="D142" s="3">
        <v>10</v>
      </c>
      <c r="E142" s="3">
        <f>((1/(INDEX(E0!J$4:J$52,C142,1)-INDEX(E0!J$4:J$52,D142,1))))*100000000</f>
        <v>0</v>
      </c>
      <c r="F142" s="4" t="str">
        <f>HYPERLINK("http://141.218.60.56/~jnz1568/getInfo.php?workbook=06_02.xlsx&amp;sheet=A0&amp;row=142&amp;col=6&amp;number=&amp;sourceID=27","")</f>
        <v/>
      </c>
      <c r="G142" s="4" t="str">
        <f>HYPERLINK("http://141.218.60.56/~jnz1568/getInfo.php?workbook=06_02.xlsx&amp;sheet=A0&amp;row=142&amp;col=7&amp;number=&amp;sourceID=34","")</f>
        <v/>
      </c>
      <c r="H142" s="4" t="str">
        <f>HYPERLINK("http://141.218.60.56/~jnz1568/getInfo.php?workbook=06_02.xlsx&amp;sheet=A0&amp;row=142&amp;col=8&amp;number=&amp;sourceID=34","")</f>
        <v/>
      </c>
      <c r="I142" s="4" t="str">
        <f>HYPERLINK("http://141.218.60.56/~jnz1568/getInfo.php?workbook=06_02.xlsx&amp;sheet=A0&amp;row=142&amp;col=9&amp;number=&amp;sourceID=34","")</f>
        <v/>
      </c>
      <c r="J142" s="4" t="str">
        <f>HYPERLINK("http://141.218.60.56/~jnz1568/getInfo.php?workbook=06_02.xlsx&amp;sheet=A0&amp;row=142&amp;col=10&amp;number=&amp;sourceID=34","")</f>
        <v/>
      </c>
      <c r="K142" s="4" t="str">
        <f>HYPERLINK("http://141.218.60.56/~jnz1568/getInfo.php?workbook=06_02.xlsx&amp;sheet=A0&amp;row=142&amp;col=11&amp;number=35990&amp;sourceID=30","35990")</f>
        <v>35990</v>
      </c>
      <c r="L142" s="4" t="str">
        <f>HYPERLINK("http://141.218.60.56/~jnz1568/getInfo.php?workbook=06_02.xlsx&amp;sheet=A0&amp;row=142&amp;col=12&amp;number=&amp;sourceID=30","")</f>
        <v/>
      </c>
      <c r="M142" s="4" t="str">
        <f>HYPERLINK("http://141.218.60.56/~jnz1568/getInfo.php?workbook=06_02.xlsx&amp;sheet=A0&amp;row=142&amp;col=13&amp;number=&amp;sourceID=30","")</f>
        <v/>
      </c>
      <c r="N142" s="4" t="str">
        <f>HYPERLINK("http://141.218.60.56/~jnz1568/getInfo.php?workbook=06_02.xlsx&amp;sheet=A0&amp;row=142&amp;col=14&amp;number=&amp;sourceID=30","")</f>
        <v/>
      </c>
      <c r="O142" s="4" t="str">
        <f>HYPERLINK("http://141.218.60.56/~jnz1568/getInfo.php?workbook=06_02.xlsx&amp;sheet=A0&amp;row=142&amp;col=15&amp;number=36640&amp;sourceID=32","36640")</f>
        <v>36640</v>
      </c>
      <c r="P142" s="4" t="str">
        <f>HYPERLINK("http://141.218.60.56/~jnz1568/getInfo.php?workbook=06_02.xlsx&amp;sheet=A0&amp;row=142&amp;col=16&amp;number=&amp;sourceID=32","")</f>
        <v/>
      </c>
      <c r="Q142" s="4" t="str">
        <f>HYPERLINK("http://141.218.60.56/~jnz1568/getInfo.php?workbook=06_02.xlsx&amp;sheet=A0&amp;row=142&amp;col=17&amp;number=&amp;sourceID=32","")</f>
        <v/>
      </c>
      <c r="R142" s="4" t="str">
        <f>HYPERLINK("http://141.218.60.56/~jnz1568/getInfo.php?workbook=06_02.xlsx&amp;sheet=A0&amp;row=142&amp;col=18&amp;number=&amp;sourceID=32","")</f>
        <v/>
      </c>
    </row>
    <row r="143" spans="1:18">
      <c r="A143" s="3">
        <v>6</v>
      </c>
      <c r="B143" s="3">
        <v>2</v>
      </c>
      <c r="C143" s="3">
        <v>19</v>
      </c>
      <c r="D143" s="3">
        <v>12</v>
      </c>
      <c r="E143" s="3">
        <f>((1/(INDEX(E0!J$4:J$52,C143,1)-INDEX(E0!J$4:J$52,D143,1))))*100000000</f>
        <v>0</v>
      </c>
      <c r="F143" s="4" t="str">
        <f>HYPERLINK("http://141.218.60.56/~jnz1568/getInfo.php?workbook=06_02.xlsx&amp;sheet=A0&amp;row=143&amp;col=6&amp;number=&amp;sourceID=27","")</f>
        <v/>
      </c>
      <c r="G143" s="4" t="str">
        <f>HYPERLINK("http://141.218.60.56/~jnz1568/getInfo.php?workbook=06_02.xlsx&amp;sheet=A0&amp;row=143&amp;col=7&amp;number=&amp;sourceID=34","")</f>
        <v/>
      </c>
      <c r="H143" s="4" t="str">
        <f>HYPERLINK("http://141.218.60.56/~jnz1568/getInfo.php?workbook=06_02.xlsx&amp;sheet=A0&amp;row=143&amp;col=8&amp;number=&amp;sourceID=34","")</f>
        <v/>
      </c>
      <c r="I143" s="4" t="str">
        <f>HYPERLINK("http://141.218.60.56/~jnz1568/getInfo.php?workbook=06_02.xlsx&amp;sheet=A0&amp;row=143&amp;col=9&amp;number=&amp;sourceID=34","")</f>
        <v/>
      </c>
      <c r="J143" s="4" t="str">
        <f>HYPERLINK("http://141.218.60.56/~jnz1568/getInfo.php?workbook=06_02.xlsx&amp;sheet=A0&amp;row=143&amp;col=10&amp;number=&amp;sourceID=34","")</f>
        <v/>
      </c>
      <c r="K143" s="4" t="str">
        <f>HYPERLINK("http://141.218.60.56/~jnz1568/getInfo.php?workbook=06_02.xlsx&amp;sheet=A0&amp;row=143&amp;col=11&amp;number=&amp;sourceID=30","")</f>
        <v/>
      </c>
      <c r="L143" s="4" t="str">
        <f>HYPERLINK("http://141.218.60.56/~jnz1568/getInfo.php?workbook=06_02.xlsx&amp;sheet=A0&amp;row=143&amp;col=12&amp;number=&amp;sourceID=30","")</f>
        <v/>
      </c>
      <c r="M143" s="4" t="str">
        <f>HYPERLINK("http://141.218.60.56/~jnz1568/getInfo.php?workbook=06_02.xlsx&amp;sheet=A0&amp;row=143&amp;col=13&amp;number=&amp;sourceID=30","")</f>
        <v/>
      </c>
      <c r="N143" s="4" t="str">
        <f>HYPERLINK("http://141.218.60.56/~jnz1568/getInfo.php?workbook=06_02.xlsx&amp;sheet=A0&amp;row=143&amp;col=14&amp;number=0.1591&amp;sourceID=30","0.1591")</f>
        <v>0.1591</v>
      </c>
      <c r="O143" s="4" t="str">
        <f>HYPERLINK("http://141.218.60.56/~jnz1568/getInfo.php?workbook=06_02.xlsx&amp;sheet=A0&amp;row=143&amp;col=15&amp;number=&amp;sourceID=32","")</f>
        <v/>
      </c>
      <c r="P143" s="4" t="str">
        <f>HYPERLINK("http://141.218.60.56/~jnz1568/getInfo.php?workbook=06_02.xlsx&amp;sheet=A0&amp;row=143&amp;col=16&amp;number=&amp;sourceID=32","")</f>
        <v/>
      </c>
      <c r="Q143" s="4" t="str">
        <f>HYPERLINK("http://141.218.60.56/~jnz1568/getInfo.php?workbook=06_02.xlsx&amp;sheet=A0&amp;row=143&amp;col=17&amp;number=&amp;sourceID=32","")</f>
        <v/>
      </c>
      <c r="R143" s="4" t="str">
        <f>HYPERLINK("http://141.218.60.56/~jnz1568/getInfo.php?workbook=06_02.xlsx&amp;sheet=A0&amp;row=143&amp;col=18&amp;number=0.1649&amp;sourceID=32","0.1649")</f>
        <v>0.1649</v>
      </c>
    </row>
    <row r="144" spans="1:18">
      <c r="A144" s="3">
        <v>6</v>
      </c>
      <c r="B144" s="3">
        <v>2</v>
      </c>
      <c r="C144" s="3">
        <v>19</v>
      </c>
      <c r="D144" s="3">
        <v>13</v>
      </c>
      <c r="E144" s="3">
        <f>((1/(INDEX(E0!J$4:J$52,C144,1)-INDEX(E0!J$4:J$52,D144,1))))*100000000</f>
        <v>0</v>
      </c>
      <c r="F144" s="4" t="str">
        <f>HYPERLINK("http://141.218.60.56/~jnz1568/getInfo.php?workbook=06_02.xlsx&amp;sheet=A0&amp;row=144&amp;col=6&amp;number=&amp;sourceID=27","")</f>
        <v/>
      </c>
      <c r="G144" s="4" t="str">
        <f>HYPERLINK("http://141.218.60.56/~jnz1568/getInfo.php?workbook=06_02.xlsx&amp;sheet=A0&amp;row=144&amp;col=7&amp;number=&amp;sourceID=34","")</f>
        <v/>
      </c>
      <c r="H144" s="4" t="str">
        <f>HYPERLINK("http://141.218.60.56/~jnz1568/getInfo.php?workbook=06_02.xlsx&amp;sheet=A0&amp;row=144&amp;col=8&amp;number=&amp;sourceID=34","")</f>
        <v/>
      </c>
      <c r="I144" s="4" t="str">
        <f>HYPERLINK("http://141.218.60.56/~jnz1568/getInfo.php?workbook=06_02.xlsx&amp;sheet=A0&amp;row=144&amp;col=9&amp;number=&amp;sourceID=34","")</f>
        <v/>
      </c>
      <c r="J144" s="4" t="str">
        <f>HYPERLINK("http://141.218.60.56/~jnz1568/getInfo.php?workbook=06_02.xlsx&amp;sheet=A0&amp;row=144&amp;col=10&amp;number=&amp;sourceID=34","")</f>
        <v/>
      </c>
      <c r="K144" s="4" t="str">
        <f>HYPERLINK("http://141.218.60.56/~jnz1568/getInfo.php?workbook=06_02.xlsx&amp;sheet=A0&amp;row=144&amp;col=11&amp;number=&amp;sourceID=30","")</f>
        <v/>
      </c>
      <c r="L144" s="4" t="str">
        <f>HYPERLINK("http://141.218.60.56/~jnz1568/getInfo.php?workbook=06_02.xlsx&amp;sheet=A0&amp;row=144&amp;col=12&amp;number=&amp;sourceID=30","")</f>
        <v/>
      </c>
      <c r="M144" s="4" t="str">
        <f>HYPERLINK("http://141.218.60.56/~jnz1568/getInfo.php?workbook=06_02.xlsx&amp;sheet=A0&amp;row=144&amp;col=13&amp;number=5.488e-08&amp;sourceID=30","5.488e-08")</f>
        <v>5.488e-08</v>
      </c>
      <c r="N144" s="4" t="str">
        <f>HYPERLINK("http://141.218.60.56/~jnz1568/getInfo.php?workbook=06_02.xlsx&amp;sheet=A0&amp;row=144&amp;col=14&amp;number=&amp;sourceID=30","")</f>
        <v/>
      </c>
      <c r="O144" s="4" t="str">
        <f>HYPERLINK("http://141.218.60.56/~jnz1568/getInfo.php?workbook=06_02.xlsx&amp;sheet=A0&amp;row=144&amp;col=15&amp;number=&amp;sourceID=32","")</f>
        <v/>
      </c>
      <c r="P144" s="4" t="str">
        <f>HYPERLINK("http://141.218.60.56/~jnz1568/getInfo.php?workbook=06_02.xlsx&amp;sheet=A0&amp;row=144&amp;col=16&amp;number=&amp;sourceID=32","")</f>
        <v/>
      </c>
      <c r="Q144" s="4" t="str">
        <f>HYPERLINK("http://141.218.60.56/~jnz1568/getInfo.php?workbook=06_02.xlsx&amp;sheet=A0&amp;row=144&amp;col=17&amp;number=2.097e-07&amp;sourceID=32","2.097e-07")</f>
        <v>2.097e-07</v>
      </c>
      <c r="R144" s="4" t="str">
        <f>HYPERLINK("http://141.218.60.56/~jnz1568/getInfo.php?workbook=06_02.xlsx&amp;sheet=A0&amp;row=144&amp;col=18&amp;number=&amp;sourceID=32","")</f>
        <v/>
      </c>
    </row>
    <row r="145" spans="1:18">
      <c r="A145" s="3">
        <v>6</v>
      </c>
      <c r="B145" s="3">
        <v>2</v>
      </c>
      <c r="C145" s="3">
        <v>19</v>
      </c>
      <c r="D145" s="3">
        <v>14</v>
      </c>
      <c r="E145" s="3">
        <f>((1/(INDEX(E0!J$4:J$52,C145,1)-INDEX(E0!J$4:J$52,D145,1))))*100000000</f>
        <v>0</v>
      </c>
      <c r="F145" s="4" t="str">
        <f>HYPERLINK("http://141.218.60.56/~jnz1568/getInfo.php?workbook=06_02.xlsx&amp;sheet=A0&amp;row=145&amp;col=6&amp;number=&amp;sourceID=27","")</f>
        <v/>
      </c>
      <c r="G145" s="4" t="str">
        <f>HYPERLINK("http://141.218.60.56/~jnz1568/getInfo.php?workbook=06_02.xlsx&amp;sheet=A0&amp;row=145&amp;col=7&amp;number=&amp;sourceID=34","")</f>
        <v/>
      </c>
      <c r="H145" s="4" t="str">
        <f>HYPERLINK("http://141.218.60.56/~jnz1568/getInfo.php?workbook=06_02.xlsx&amp;sheet=A0&amp;row=145&amp;col=8&amp;number=&amp;sourceID=34","")</f>
        <v/>
      </c>
      <c r="I145" s="4" t="str">
        <f>HYPERLINK("http://141.218.60.56/~jnz1568/getInfo.php?workbook=06_02.xlsx&amp;sheet=A0&amp;row=145&amp;col=9&amp;number=&amp;sourceID=34","")</f>
        <v/>
      </c>
      <c r="J145" s="4" t="str">
        <f>HYPERLINK("http://141.218.60.56/~jnz1568/getInfo.php?workbook=06_02.xlsx&amp;sheet=A0&amp;row=145&amp;col=10&amp;number=&amp;sourceID=34","")</f>
        <v/>
      </c>
      <c r="K145" s="4" t="str">
        <f>HYPERLINK("http://141.218.60.56/~jnz1568/getInfo.php?workbook=06_02.xlsx&amp;sheet=A0&amp;row=145&amp;col=11&amp;number=&amp;sourceID=30","")</f>
        <v/>
      </c>
      <c r="L145" s="4" t="str">
        <f>HYPERLINK("http://141.218.60.56/~jnz1568/getInfo.php?workbook=06_02.xlsx&amp;sheet=A0&amp;row=145&amp;col=12&amp;number=55.04&amp;sourceID=30","55.04")</f>
        <v>55.04</v>
      </c>
      <c r="M145" s="4" t="str">
        <f>HYPERLINK("http://141.218.60.56/~jnz1568/getInfo.php?workbook=06_02.xlsx&amp;sheet=A0&amp;row=145&amp;col=13&amp;number=&amp;sourceID=30","")</f>
        <v/>
      </c>
      <c r="N145" s="4" t="str">
        <f>HYPERLINK("http://141.218.60.56/~jnz1568/getInfo.php?workbook=06_02.xlsx&amp;sheet=A0&amp;row=145&amp;col=14&amp;number=&amp;sourceID=30","")</f>
        <v/>
      </c>
      <c r="O145" s="4" t="str">
        <f>HYPERLINK("http://141.218.60.56/~jnz1568/getInfo.php?workbook=06_02.xlsx&amp;sheet=A0&amp;row=145&amp;col=15&amp;number=&amp;sourceID=32","")</f>
        <v/>
      </c>
      <c r="P145" s="4" t="str">
        <f>HYPERLINK("http://141.218.60.56/~jnz1568/getInfo.php?workbook=06_02.xlsx&amp;sheet=A0&amp;row=145&amp;col=16&amp;number=74.4&amp;sourceID=32","74.4")</f>
        <v>74.4</v>
      </c>
      <c r="Q145" s="4" t="str">
        <f>HYPERLINK("http://141.218.60.56/~jnz1568/getInfo.php?workbook=06_02.xlsx&amp;sheet=A0&amp;row=145&amp;col=17&amp;number=&amp;sourceID=32","")</f>
        <v/>
      </c>
      <c r="R145" s="4" t="str">
        <f>HYPERLINK("http://141.218.60.56/~jnz1568/getInfo.php?workbook=06_02.xlsx&amp;sheet=A0&amp;row=145&amp;col=18&amp;number=&amp;sourceID=32","")</f>
        <v/>
      </c>
    </row>
    <row r="146" spans="1:18">
      <c r="A146" s="3">
        <v>6</v>
      </c>
      <c r="B146" s="3">
        <v>2</v>
      </c>
      <c r="C146" s="3">
        <v>19</v>
      </c>
      <c r="D146" s="3">
        <v>16</v>
      </c>
      <c r="E146" s="3">
        <f>((1/(INDEX(E0!J$4:J$52,C146,1)-INDEX(E0!J$4:J$52,D146,1))))*100000000</f>
        <v>0</v>
      </c>
      <c r="F146" s="4" t="str">
        <f>HYPERLINK("http://141.218.60.56/~jnz1568/getInfo.php?workbook=06_02.xlsx&amp;sheet=A0&amp;row=146&amp;col=6&amp;number=&amp;sourceID=27","")</f>
        <v/>
      </c>
      <c r="G146" s="4" t="str">
        <f>HYPERLINK("http://141.218.60.56/~jnz1568/getInfo.php?workbook=06_02.xlsx&amp;sheet=A0&amp;row=146&amp;col=7&amp;number=&amp;sourceID=34","")</f>
        <v/>
      </c>
      <c r="H146" s="4" t="str">
        <f>HYPERLINK("http://141.218.60.56/~jnz1568/getInfo.php?workbook=06_02.xlsx&amp;sheet=A0&amp;row=146&amp;col=8&amp;number=&amp;sourceID=34","")</f>
        <v/>
      </c>
      <c r="I146" s="4" t="str">
        <f>HYPERLINK("http://141.218.60.56/~jnz1568/getInfo.php?workbook=06_02.xlsx&amp;sheet=A0&amp;row=146&amp;col=9&amp;number=&amp;sourceID=34","")</f>
        <v/>
      </c>
      <c r="J146" s="4" t="str">
        <f>HYPERLINK("http://141.218.60.56/~jnz1568/getInfo.php?workbook=06_02.xlsx&amp;sheet=A0&amp;row=146&amp;col=10&amp;number=&amp;sourceID=34","")</f>
        <v/>
      </c>
      <c r="K146" s="4" t="str">
        <f>HYPERLINK("http://141.218.60.56/~jnz1568/getInfo.php?workbook=06_02.xlsx&amp;sheet=A0&amp;row=146&amp;col=11&amp;number=&amp;sourceID=30","")</f>
        <v/>
      </c>
      <c r="L146" s="4" t="str">
        <f>HYPERLINK("http://141.218.60.56/~jnz1568/getInfo.php?workbook=06_02.xlsx&amp;sheet=A0&amp;row=146&amp;col=12&amp;number=17540&amp;sourceID=30","17540")</f>
        <v>17540</v>
      </c>
      <c r="M146" s="4" t="str">
        <f>HYPERLINK("http://141.218.60.56/~jnz1568/getInfo.php?workbook=06_02.xlsx&amp;sheet=A0&amp;row=146&amp;col=13&amp;number=&amp;sourceID=30","")</f>
        <v/>
      </c>
      <c r="N146" s="4" t="str">
        <f>HYPERLINK("http://141.218.60.56/~jnz1568/getInfo.php?workbook=06_02.xlsx&amp;sheet=A0&amp;row=146&amp;col=14&amp;number=&amp;sourceID=30","")</f>
        <v/>
      </c>
      <c r="O146" s="4" t="str">
        <f>HYPERLINK("http://141.218.60.56/~jnz1568/getInfo.php?workbook=06_02.xlsx&amp;sheet=A0&amp;row=146&amp;col=15&amp;number=&amp;sourceID=32","")</f>
        <v/>
      </c>
      <c r="P146" s="4" t="str">
        <f>HYPERLINK("http://141.218.60.56/~jnz1568/getInfo.php?workbook=06_02.xlsx&amp;sheet=A0&amp;row=146&amp;col=16&amp;number=17370&amp;sourceID=32","17370")</f>
        <v>17370</v>
      </c>
      <c r="Q146" s="4" t="str">
        <f>HYPERLINK("http://141.218.60.56/~jnz1568/getInfo.php?workbook=06_02.xlsx&amp;sheet=A0&amp;row=146&amp;col=17&amp;number=&amp;sourceID=32","")</f>
        <v/>
      </c>
      <c r="R146" s="4" t="str">
        <f>HYPERLINK("http://141.218.60.56/~jnz1568/getInfo.php?workbook=06_02.xlsx&amp;sheet=A0&amp;row=146&amp;col=18&amp;number=&amp;sourceID=32","")</f>
        <v/>
      </c>
    </row>
    <row r="147" spans="1:18">
      <c r="A147" s="3">
        <v>6</v>
      </c>
      <c r="B147" s="3">
        <v>2</v>
      </c>
      <c r="C147" s="3">
        <v>19</v>
      </c>
      <c r="D147" s="3">
        <v>17</v>
      </c>
      <c r="E147" s="3">
        <f>((1/(INDEX(E0!J$4:J$52,C147,1)-INDEX(E0!J$4:J$52,D147,1))))*100000000</f>
        <v>0</v>
      </c>
      <c r="F147" s="4" t="str">
        <f>HYPERLINK("http://141.218.60.56/~jnz1568/getInfo.php?workbook=06_02.xlsx&amp;sheet=A0&amp;row=147&amp;col=6&amp;number=&amp;sourceID=27","")</f>
        <v/>
      </c>
      <c r="G147" s="4" t="str">
        <f>HYPERLINK("http://141.218.60.56/~jnz1568/getInfo.php?workbook=06_02.xlsx&amp;sheet=A0&amp;row=147&amp;col=7&amp;number=&amp;sourceID=34","")</f>
        <v/>
      </c>
      <c r="H147" s="4" t="str">
        <f>HYPERLINK("http://141.218.60.56/~jnz1568/getInfo.php?workbook=06_02.xlsx&amp;sheet=A0&amp;row=147&amp;col=8&amp;number=&amp;sourceID=34","")</f>
        <v/>
      </c>
      <c r="I147" s="4" t="str">
        <f>HYPERLINK("http://141.218.60.56/~jnz1568/getInfo.php?workbook=06_02.xlsx&amp;sheet=A0&amp;row=147&amp;col=9&amp;number=&amp;sourceID=34","")</f>
        <v/>
      </c>
      <c r="J147" s="4" t="str">
        <f>HYPERLINK("http://141.218.60.56/~jnz1568/getInfo.php?workbook=06_02.xlsx&amp;sheet=A0&amp;row=147&amp;col=10&amp;number=&amp;sourceID=34","")</f>
        <v/>
      </c>
      <c r="K147" s="4" t="str">
        <f>HYPERLINK("http://141.218.60.56/~jnz1568/getInfo.php?workbook=06_02.xlsx&amp;sheet=A0&amp;row=147&amp;col=11&amp;number=1693000000&amp;sourceID=30","1693000000")</f>
        <v>1693000000</v>
      </c>
      <c r="L147" s="4" t="str">
        <f>HYPERLINK("http://141.218.60.56/~jnz1568/getInfo.php?workbook=06_02.xlsx&amp;sheet=A0&amp;row=147&amp;col=12&amp;number=&amp;sourceID=30","")</f>
        <v/>
      </c>
      <c r="M147" s="4" t="str">
        <f>HYPERLINK("http://141.218.60.56/~jnz1568/getInfo.php?workbook=06_02.xlsx&amp;sheet=A0&amp;row=147&amp;col=13&amp;number=&amp;sourceID=30","")</f>
        <v/>
      </c>
      <c r="N147" s="4" t="str">
        <f>HYPERLINK("http://141.218.60.56/~jnz1568/getInfo.php?workbook=06_02.xlsx&amp;sheet=A0&amp;row=147&amp;col=14&amp;number=&amp;sourceID=30","")</f>
        <v/>
      </c>
      <c r="O147" s="4" t="str">
        <f>HYPERLINK("http://141.218.60.56/~jnz1568/getInfo.php?workbook=06_02.xlsx&amp;sheet=A0&amp;row=147&amp;col=15&amp;number=1566000000&amp;sourceID=32","1566000000")</f>
        <v>1566000000</v>
      </c>
      <c r="P147" s="4" t="str">
        <f>HYPERLINK("http://141.218.60.56/~jnz1568/getInfo.php?workbook=06_02.xlsx&amp;sheet=A0&amp;row=147&amp;col=16&amp;number=&amp;sourceID=32","")</f>
        <v/>
      </c>
      <c r="Q147" s="4" t="str">
        <f>HYPERLINK("http://141.218.60.56/~jnz1568/getInfo.php?workbook=06_02.xlsx&amp;sheet=A0&amp;row=147&amp;col=17&amp;number=&amp;sourceID=32","")</f>
        <v/>
      </c>
      <c r="R147" s="4" t="str">
        <f>HYPERLINK("http://141.218.60.56/~jnz1568/getInfo.php?workbook=06_02.xlsx&amp;sheet=A0&amp;row=147&amp;col=18&amp;number=&amp;sourceID=32","")</f>
        <v/>
      </c>
    </row>
    <row r="148" spans="1:18">
      <c r="A148" s="3">
        <v>6</v>
      </c>
      <c r="B148" s="3">
        <v>2</v>
      </c>
      <c r="C148" s="3">
        <v>19</v>
      </c>
      <c r="D148" s="3">
        <v>18</v>
      </c>
      <c r="E148" s="3">
        <f>((1/(INDEX(E0!J$4:J$52,C148,1)-INDEX(E0!J$4:J$52,D148,1))))*100000000</f>
        <v>0</v>
      </c>
      <c r="F148" s="4" t="str">
        <f>HYPERLINK("http://141.218.60.56/~jnz1568/getInfo.php?workbook=06_02.xlsx&amp;sheet=A0&amp;row=148&amp;col=6&amp;number=&amp;sourceID=27","")</f>
        <v/>
      </c>
      <c r="G148" s="4" t="str">
        <f>HYPERLINK("http://141.218.60.56/~jnz1568/getInfo.php?workbook=06_02.xlsx&amp;sheet=A0&amp;row=148&amp;col=7&amp;number=&amp;sourceID=34","")</f>
        <v/>
      </c>
      <c r="H148" s="4" t="str">
        <f>HYPERLINK("http://141.218.60.56/~jnz1568/getInfo.php?workbook=06_02.xlsx&amp;sheet=A0&amp;row=148&amp;col=8&amp;number=&amp;sourceID=34","")</f>
        <v/>
      </c>
      <c r="I148" s="4" t="str">
        <f>HYPERLINK("http://141.218.60.56/~jnz1568/getInfo.php?workbook=06_02.xlsx&amp;sheet=A0&amp;row=148&amp;col=9&amp;number=&amp;sourceID=34","")</f>
        <v/>
      </c>
      <c r="J148" s="4" t="str">
        <f>HYPERLINK("http://141.218.60.56/~jnz1568/getInfo.php?workbook=06_02.xlsx&amp;sheet=A0&amp;row=148&amp;col=10&amp;number=&amp;sourceID=34","")</f>
        <v/>
      </c>
      <c r="K148" s="4" t="str">
        <f>HYPERLINK("http://141.218.60.56/~jnz1568/getInfo.php?workbook=06_02.xlsx&amp;sheet=A0&amp;row=148&amp;col=11&amp;number=&amp;sourceID=30","")</f>
        <v/>
      </c>
      <c r="L148" s="4" t="str">
        <f>HYPERLINK("http://141.218.60.56/~jnz1568/getInfo.php?workbook=06_02.xlsx&amp;sheet=A0&amp;row=148&amp;col=12&amp;number=&amp;sourceID=30","")</f>
        <v/>
      </c>
      <c r="M148" s="4" t="str">
        <f>HYPERLINK("http://141.218.60.56/~jnz1568/getInfo.php?workbook=06_02.xlsx&amp;sheet=A0&amp;row=148&amp;col=13&amp;number=4.878e-06&amp;sourceID=30","4.878e-06")</f>
        <v>4.878e-06</v>
      </c>
      <c r="N148" s="4" t="str">
        <f>HYPERLINK("http://141.218.60.56/~jnz1568/getInfo.php?workbook=06_02.xlsx&amp;sheet=A0&amp;row=148&amp;col=14&amp;number=&amp;sourceID=30","")</f>
        <v/>
      </c>
      <c r="O148" s="4" t="str">
        <f>HYPERLINK("http://141.218.60.56/~jnz1568/getInfo.php?workbook=06_02.xlsx&amp;sheet=A0&amp;row=148&amp;col=15&amp;number=&amp;sourceID=32","")</f>
        <v/>
      </c>
      <c r="P148" s="4" t="str">
        <f>HYPERLINK("http://141.218.60.56/~jnz1568/getInfo.php?workbook=06_02.xlsx&amp;sheet=A0&amp;row=148&amp;col=16&amp;number=&amp;sourceID=32","")</f>
        <v/>
      </c>
      <c r="Q148" s="4" t="str">
        <f>HYPERLINK("http://141.218.60.56/~jnz1568/getInfo.php?workbook=06_02.xlsx&amp;sheet=A0&amp;row=148&amp;col=17&amp;number=3.118e-06&amp;sourceID=32","3.118e-06")</f>
        <v>3.118e-06</v>
      </c>
      <c r="R148" s="4" t="str">
        <f>HYPERLINK("http://141.218.60.56/~jnz1568/getInfo.php?workbook=06_02.xlsx&amp;sheet=A0&amp;row=148&amp;col=18&amp;number=&amp;sourceID=32","")</f>
        <v/>
      </c>
    </row>
    <row r="149" spans="1:18">
      <c r="A149" s="3">
        <v>6</v>
      </c>
      <c r="B149" s="3">
        <v>2</v>
      </c>
      <c r="C149" s="3">
        <v>20</v>
      </c>
      <c r="D149" s="3">
        <v>2</v>
      </c>
      <c r="E149" s="3">
        <f>((1/(INDEX(E0!J$4:J$52,C149,1)-INDEX(E0!J$4:J$52,D149,1))))*100000000</f>
        <v>0</v>
      </c>
      <c r="F149" s="4" t="str">
        <f>HYPERLINK("http://141.218.60.56/~jnz1568/getInfo.php?workbook=06_02.xlsx&amp;sheet=A0&amp;row=149&amp;col=6&amp;number=&amp;sourceID=27","")</f>
        <v/>
      </c>
      <c r="G149" s="4" t="str">
        <f>HYPERLINK("http://141.218.60.56/~jnz1568/getInfo.php?workbook=06_02.xlsx&amp;sheet=A0&amp;row=149&amp;col=7&amp;number=&amp;sourceID=34","")</f>
        <v/>
      </c>
      <c r="H149" s="4" t="str">
        <f>HYPERLINK("http://141.218.60.56/~jnz1568/getInfo.php?workbook=06_02.xlsx&amp;sheet=A0&amp;row=149&amp;col=8&amp;number=&amp;sourceID=34","")</f>
        <v/>
      </c>
      <c r="I149" s="4" t="str">
        <f>HYPERLINK("http://141.218.60.56/~jnz1568/getInfo.php?workbook=06_02.xlsx&amp;sheet=A0&amp;row=149&amp;col=9&amp;number=&amp;sourceID=34","")</f>
        <v/>
      </c>
      <c r="J149" s="4" t="str">
        <f>HYPERLINK("http://141.218.60.56/~jnz1568/getInfo.php?workbook=06_02.xlsx&amp;sheet=A0&amp;row=149&amp;col=10&amp;number=&amp;sourceID=34","")</f>
        <v/>
      </c>
      <c r="K149" s="4" t="str">
        <f>HYPERLINK("http://141.218.60.56/~jnz1568/getInfo.php?workbook=06_02.xlsx&amp;sheet=A0&amp;row=149&amp;col=11&amp;number=5688000000&amp;sourceID=30","5688000000")</f>
        <v>5688000000</v>
      </c>
      <c r="L149" s="4" t="str">
        <f>HYPERLINK("http://141.218.60.56/~jnz1568/getInfo.php?workbook=06_02.xlsx&amp;sheet=A0&amp;row=149&amp;col=12&amp;number=&amp;sourceID=30","")</f>
        <v/>
      </c>
      <c r="M149" s="4" t="str">
        <f>HYPERLINK("http://141.218.60.56/~jnz1568/getInfo.php?workbook=06_02.xlsx&amp;sheet=A0&amp;row=149&amp;col=13&amp;number=&amp;sourceID=30","")</f>
        <v/>
      </c>
      <c r="N149" s="4" t="str">
        <f>HYPERLINK("http://141.218.60.56/~jnz1568/getInfo.php?workbook=06_02.xlsx&amp;sheet=A0&amp;row=149&amp;col=14&amp;number=&amp;sourceID=30","")</f>
        <v/>
      </c>
      <c r="O149" s="4" t="str">
        <f>HYPERLINK("http://141.218.60.56/~jnz1568/getInfo.php?workbook=06_02.xlsx&amp;sheet=A0&amp;row=149&amp;col=15&amp;number=6188000000&amp;sourceID=32","6188000000")</f>
        <v>6188000000</v>
      </c>
      <c r="P149" s="4" t="str">
        <f>HYPERLINK("http://141.218.60.56/~jnz1568/getInfo.php?workbook=06_02.xlsx&amp;sheet=A0&amp;row=149&amp;col=16&amp;number=&amp;sourceID=32","")</f>
        <v/>
      </c>
      <c r="Q149" s="4" t="str">
        <f>HYPERLINK("http://141.218.60.56/~jnz1568/getInfo.php?workbook=06_02.xlsx&amp;sheet=A0&amp;row=149&amp;col=17&amp;number=&amp;sourceID=32","")</f>
        <v/>
      </c>
      <c r="R149" s="4" t="str">
        <f>HYPERLINK("http://141.218.60.56/~jnz1568/getInfo.php?workbook=06_02.xlsx&amp;sheet=A0&amp;row=149&amp;col=18&amp;number=&amp;sourceID=32","")</f>
        <v/>
      </c>
    </row>
    <row r="150" spans="1:18">
      <c r="A150" s="3">
        <v>6</v>
      </c>
      <c r="B150" s="3">
        <v>2</v>
      </c>
      <c r="C150" s="3">
        <v>20</v>
      </c>
      <c r="D150" s="3">
        <v>4</v>
      </c>
      <c r="E150" s="3">
        <f>((1/(INDEX(E0!J$4:J$52,C150,1)-INDEX(E0!J$4:J$52,D150,1))))*100000000</f>
        <v>0</v>
      </c>
      <c r="F150" s="4" t="str">
        <f>HYPERLINK("http://141.218.60.56/~jnz1568/getInfo.php?workbook=06_02.xlsx&amp;sheet=A0&amp;row=150&amp;col=6&amp;number=&amp;sourceID=27","")</f>
        <v/>
      </c>
      <c r="G150" s="4" t="str">
        <f>HYPERLINK("http://141.218.60.56/~jnz1568/getInfo.php?workbook=06_02.xlsx&amp;sheet=A0&amp;row=150&amp;col=7&amp;number=&amp;sourceID=34","")</f>
        <v/>
      </c>
      <c r="H150" s="4" t="str">
        <f>HYPERLINK("http://141.218.60.56/~jnz1568/getInfo.php?workbook=06_02.xlsx&amp;sheet=A0&amp;row=150&amp;col=8&amp;number=&amp;sourceID=34","")</f>
        <v/>
      </c>
      <c r="I150" s="4" t="str">
        <f>HYPERLINK("http://141.218.60.56/~jnz1568/getInfo.php?workbook=06_02.xlsx&amp;sheet=A0&amp;row=150&amp;col=9&amp;number=&amp;sourceID=34","")</f>
        <v/>
      </c>
      <c r="J150" s="4" t="str">
        <f>HYPERLINK("http://141.218.60.56/~jnz1568/getInfo.php?workbook=06_02.xlsx&amp;sheet=A0&amp;row=150&amp;col=10&amp;number=&amp;sourceID=34","")</f>
        <v/>
      </c>
      <c r="K150" s="4" t="str">
        <f>HYPERLINK("http://141.218.60.56/~jnz1568/getInfo.php?workbook=06_02.xlsx&amp;sheet=A0&amp;row=150&amp;col=11&amp;number=&amp;sourceID=30","")</f>
        <v/>
      </c>
      <c r="L150" s="4" t="str">
        <f>HYPERLINK("http://141.218.60.56/~jnz1568/getInfo.php?workbook=06_02.xlsx&amp;sheet=A0&amp;row=150&amp;col=12&amp;number=&amp;sourceID=30","")</f>
        <v/>
      </c>
      <c r="M150" s="4" t="str">
        <f>HYPERLINK("http://141.218.60.56/~jnz1568/getInfo.php?workbook=06_02.xlsx&amp;sheet=A0&amp;row=150&amp;col=13&amp;number=0.001041&amp;sourceID=30","0.001041")</f>
        <v>0.001041</v>
      </c>
      <c r="N150" s="4" t="str">
        <f>HYPERLINK("http://141.218.60.56/~jnz1568/getInfo.php?workbook=06_02.xlsx&amp;sheet=A0&amp;row=150&amp;col=14&amp;number=&amp;sourceID=30","")</f>
        <v/>
      </c>
      <c r="O150" s="4" t="str">
        <f>HYPERLINK("http://141.218.60.56/~jnz1568/getInfo.php?workbook=06_02.xlsx&amp;sheet=A0&amp;row=150&amp;col=15&amp;number=&amp;sourceID=32","")</f>
        <v/>
      </c>
      <c r="P150" s="4" t="str">
        <f>HYPERLINK("http://141.218.60.56/~jnz1568/getInfo.php?workbook=06_02.xlsx&amp;sheet=A0&amp;row=150&amp;col=16&amp;number=&amp;sourceID=32","")</f>
        <v/>
      </c>
      <c r="Q150" s="4" t="str">
        <f>HYPERLINK("http://141.218.60.56/~jnz1568/getInfo.php?workbook=06_02.xlsx&amp;sheet=A0&amp;row=150&amp;col=17&amp;number=0.003508&amp;sourceID=32","0.003508")</f>
        <v>0.003508</v>
      </c>
      <c r="R150" s="4" t="str">
        <f>HYPERLINK("http://141.218.60.56/~jnz1568/getInfo.php?workbook=06_02.xlsx&amp;sheet=A0&amp;row=150&amp;col=18&amp;number=&amp;sourceID=32","")</f>
        <v/>
      </c>
    </row>
    <row r="151" spans="1:18">
      <c r="A151" s="3">
        <v>6</v>
      </c>
      <c r="B151" s="3">
        <v>2</v>
      </c>
      <c r="C151" s="3">
        <v>20</v>
      </c>
      <c r="D151" s="3">
        <v>6</v>
      </c>
      <c r="E151" s="3">
        <f>((1/(INDEX(E0!J$4:J$52,C151,1)-INDEX(E0!J$4:J$52,D151,1))))*100000000</f>
        <v>0</v>
      </c>
      <c r="F151" s="4" t="str">
        <f>HYPERLINK("http://141.218.60.56/~jnz1568/getInfo.php?workbook=06_02.xlsx&amp;sheet=A0&amp;row=151&amp;col=6&amp;number=&amp;sourceID=27","")</f>
        <v/>
      </c>
      <c r="G151" s="4" t="str">
        <f>HYPERLINK("http://141.218.60.56/~jnz1568/getInfo.php?workbook=06_02.xlsx&amp;sheet=A0&amp;row=151&amp;col=7&amp;number=&amp;sourceID=34","")</f>
        <v/>
      </c>
      <c r="H151" s="4" t="str">
        <f>HYPERLINK("http://141.218.60.56/~jnz1568/getInfo.php?workbook=06_02.xlsx&amp;sheet=A0&amp;row=151&amp;col=8&amp;number=&amp;sourceID=34","")</f>
        <v/>
      </c>
      <c r="I151" s="4" t="str">
        <f>HYPERLINK("http://141.218.60.56/~jnz1568/getInfo.php?workbook=06_02.xlsx&amp;sheet=A0&amp;row=151&amp;col=9&amp;number=&amp;sourceID=34","")</f>
        <v/>
      </c>
      <c r="J151" s="4" t="str">
        <f>HYPERLINK("http://141.218.60.56/~jnz1568/getInfo.php?workbook=06_02.xlsx&amp;sheet=A0&amp;row=151&amp;col=10&amp;number=&amp;sourceID=34","")</f>
        <v/>
      </c>
      <c r="K151" s="4" t="str">
        <f>HYPERLINK("http://141.218.60.56/~jnz1568/getInfo.php?workbook=06_02.xlsx&amp;sheet=A0&amp;row=151&amp;col=11&amp;number=&amp;sourceID=30","")</f>
        <v/>
      </c>
      <c r="L151" s="4" t="str">
        <f>HYPERLINK("http://141.218.60.56/~jnz1568/getInfo.php?workbook=06_02.xlsx&amp;sheet=A0&amp;row=151&amp;col=12&amp;number=144100&amp;sourceID=30","144100")</f>
        <v>144100</v>
      </c>
      <c r="M151" s="4" t="str">
        <f>HYPERLINK("http://141.218.60.56/~jnz1568/getInfo.php?workbook=06_02.xlsx&amp;sheet=A0&amp;row=151&amp;col=13&amp;number=&amp;sourceID=30","")</f>
        <v/>
      </c>
      <c r="N151" s="4" t="str">
        <f>HYPERLINK("http://141.218.60.56/~jnz1568/getInfo.php?workbook=06_02.xlsx&amp;sheet=A0&amp;row=151&amp;col=14&amp;number=&amp;sourceID=30","")</f>
        <v/>
      </c>
      <c r="O151" s="4" t="str">
        <f>HYPERLINK("http://141.218.60.56/~jnz1568/getInfo.php?workbook=06_02.xlsx&amp;sheet=A0&amp;row=151&amp;col=15&amp;number=&amp;sourceID=32","")</f>
        <v/>
      </c>
      <c r="P151" s="4" t="str">
        <f>HYPERLINK("http://141.218.60.56/~jnz1568/getInfo.php?workbook=06_02.xlsx&amp;sheet=A0&amp;row=151&amp;col=16&amp;number=172600&amp;sourceID=32","172600")</f>
        <v>172600</v>
      </c>
      <c r="Q151" s="4" t="str">
        <f>HYPERLINK("http://141.218.60.56/~jnz1568/getInfo.php?workbook=06_02.xlsx&amp;sheet=A0&amp;row=151&amp;col=17&amp;number=&amp;sourceID=32","")</f>
        <v/>
      </c>
      <c r="R151" s="4" t="str">
        <f>HYPERLINK("http://141.218.60.56/~jnz1568/getInfo.php?workbook=06_02.xlsx&amp;sheet=A0&amp;row=151&amp;col=18&amp;number=&amp;sourceID=32","")</f>
        <v/>
      </c>
    </row>
    <row r="152" spans="1:18">
      <c r="A152" s="3">
        <v>6</v>
      </c>
      <c r="B152" s="3">
        <v>2</v>
      </c>
      <c r="C152" s="3">
        <v>20</v>
      </c>
      <c r="D152" s="3">
        <v>7</v>
      </c>
      <c r="E152" s="3">
        <f>((1/(INDEX(E0!J$4:J$52,C152,1)-INDEX(E0!J$4:J$52,D152,1))))*100000000</f>
        <v>0</v>
      </c>
      <c r="F152" s="4" t="str">
        <f>HYPERLINK("http://141.218.60.56/~jnz1568/getInfo.php?workbook=06_02.xlsx&amp;sheet=A0&amp;row=152&amp;col=6&amp;number=&amp;sourceID=27","")</f>
        <v/>
      </c>
      <c r="G152" s="4" t="str">
        <f>HYPERLINK("http://141.218.60.56/~jnz1568/getInfo.php?workbook=06_02.xlsx&amp;sheet=A0&amp;row=152&amp;col=7&amp;number=&amp;sourceID=34","")</f>
        <v/>
      </c>
      <c r="H152" s="4" t="str">
        <f>HYPERLINK("http://141.218.60.56/~jnz1568/getInfo.php?workbook=06_02.xlsx&amp;sheet=A0&amp;row=152&amp;col=8&amp;number=&amp;sourceID=34","")</f>
        <v/>
      </c>
      <c r="I152" s="4" t="str">
        <f>HYPERLINK("http://141.218.60.56/~jnz1568/getInfo.php?workbook=06_02.xlsx&amp;sheet=A0&amp;row=152&amp;col=9&amp;number=&amp;sourceID=34","")</f>
        <v/>
      </c>
      <c r="J152" s="4" t="str">
        <f>HYPERLINK("http://141.218.60.56/~jnz1568/getInfo.php?workbook=06_02.xlsx&amp;sheet=A0&amp;row=152&amp;col=10&amp;number=&amp;sourceID=34","")</f>
        <v/>
      </c>
      <c r="K152" s="4" t="str">
        <f>HYPERLINK("http://141.218.60.56/~jnz1568/getInfo.php?workbook=06_02.xlsx&amp;sheet=A0&amp;row=152&amp;col=11&amp;number=&amp;sourceID=30","")</f>
        <v/>
      </c>
      <c r="L152" s="4" t="str">
        <f>HYPERLINK("http://141.218.60.56/~jnz1568/getInfo.php?workbook=06_02.xlsx&amp;sheet=A0&amp;row=152&amp;col=12&amp;number=&amp;sourceID=30","")</f>
        <v/>
      </c>
      <c r="M152" s="4" t="str">
        <f>HYPERLINK("http://141.218.60.56/~jnz1568/getInfo.php?workbook=06_02.xlsx&amp;sheet=A0&amp;row=152&amp;col=13&amp;number=0.1032&amp;sourceID=30","0.1032")</f>
        <v>0.1032</v>
      </c>
      <c r="N152" s="4" t="str">
        <f>HYPERLINK("http://141.218.60.56/~jnz1568/getInfo.php?workbook=06_02.xlsx&amp;sheet=A0&amp;row=152&amp;col=14&amp;number=&amp;sourceID=30","")</f>
        <v/>
      </c>
      <c r="O152" s="4" t="str">
        <f>HYPERLINK("http://141.218.60.56/~jnz1568/getInfo.php?workbook=06_02.xlsx&amp;sheet=A0&amp;row=152&amp;col=15&amp;number=&amp;sourceID=32","")</f>
        <v/>
      </c>
      <c r="P152" s="4" t="str">
        <f>HYPERLINK("http://141.218.60.56/~jnz1568/getInfo.php?workbook=06_02.xlsx&amp;sheet=A0&amp;row=152&amp;col=16&amp;number=&amp;sourceID=32","")</f>
        <v/>
      </c>
      <c r="Q152" s="4" t="str">
        <f>HYPERLINK("http://141.218.60.56/~jnz1568/getInfo.php?workbook=06_02.xlsx&amp;sheet=A0&amp;row=152&amp;col=17&amp;number=0.1141&amp;sourceID=32","0.1141")</f>
        <v>0.1141</v>
      </c>
      <c r="R152" s="4" t="str">
        <f>HYPERLINK("http://141.218.60.56/~jnz1568/getInfo.php?workbook=06_02.xlsx&amp;sheet=A0&amp;row=152&amp;col=18&amp;number=&amp;sourceID=32","")</f>
        <v/>
      </c>
    </row>
    <row r="153" spans="1:18">
      <c r="A153" s="3">
        <v>6</v>
      </c>
      <c r="B153" s="3">
        <v>2</v>
      </c>
      <c r="C153" s="3">
        <v>20</v>
      </c>
      <c r="D153" s="3">
        <v>8</v>
      </c>
      <c r="E153" s="3">
        <f>((1/(INDEX(E0!J$4:J$52,C153,1)-INDEX(E0!J$4:J$52,D153,1))))*100000000</f>
        <v>0</v>
      </c>
      <c r="F153" s="4" t="str">
        <f>HYPERLINK("http://141.218.60.56/~jnz1568/getInfo.php?workbook=06_02.xlsx&amp;sheet=A0&amp;row=153&amp;col=6&amp;number=&amp;sourceID=27","")</f>
        <v/>
      </c>
      <c r="G153" s="4" t="str">
        <f>HYPERLINK("http://141.218.60.56/~jnz1568/getInfo.php?workbook=06_02.xlsx&amp;sheet=A0&amp;row=153&amp;col=7&amp;number=&amp;sourceID=34","")</f>
        <v/>
      </c>
      <c r="H153" s="4" t="str">
        <f>HYPERLINK("http://141.218.60.56/~jnz1568/getInfo.php?workbook=06_02.xlsx&amp;sheet=A0&amp;row=153&amp;col=8&amp;number=&amp;sourceID=34","")</f>
        <v/>
      </c>
      <c r="I153" s="4" t="str">
        <f>HYPERLINK("http://141.218.60.56/~jnz1568/getInfo.php?workbook=06_02.xlsx&amp;sheet=A0&amp;row=153&amp;col=9&amp;number=&amp;sourceID=34","")</f>
        <v/>
      </c>
      <c r="J153" s="4" t="str">
        <f>HYPERLINK("http://141.218.60.56/~jnz1568/getInfo.php?workbook=06_02.xlsx&amp;sheet=A0&amp;row=153&amp;col=10&amp;number=&amp;sourceID=34","")</f>
        <v/>
      </c>
      <c r="K153" s="4" t="str">
        <f>HYPERLINK("http://141.218.60.56/~jnz1568/getInfo.php?workbook=06_02.xlsx&amp;sheet=A0&amp;row=153&amp;col=11&amp;number=1622000000&amp;sourceID=30","1622000000")</f>
        <v>1622000000</v>
      </c>
      <c r="L153" s="4" t="str">
        <f>HYPERLINK("http://141.218.60.56/~jnz1568/getInfo.php?workbook=06_02.xlsx&amp;sheet=A0&amp;row=153&amp;col=12&amp;number=&amp;sourceID=30","")</f>
        <v/>
      </c>
      <c r="M153" s="4" t="str">
        <f>HYPERLINK("http://141.218.60.56/~jnz1568/getInfo.php?workbook=06_02.xlsx&amp;sheet=A0&amp;row=153&amp;col=13&amp;number=&amp;sourceID=30","")</f>
        <v/>
      </c>
      <c r="N153" s="4" t="str">
        <f>HYPERLINK("http://141.218.60.56/~jnz1568/getInfo.php?workbook=06_02.xlsx&amp;sheet=A0&amp;row=153&amp;col=14&amp;number=&amp;sourceID=30","")</f>
        <v/>
      </c>
      <c r="O153" s="4" t="str">
        <f>HYPERLINK("http://141.218.60.56/~jnz1568/getInfo.php?workbook=06_02.xlsx&amp;sheet=A0&amp;row=153&amp;col=15&amp;number=1674000000&amp;sourceID=32","1674000000")</f>
        <v>1674000000</v>
      </c>
      <c r="P153" s="4" t="str">
        <f>HYPERLINK("http://141.218.60.56/~jnz1568/getInfo.php?workbook=06_02.xlsx&amp;sheet=A0&amp;row=153&amp;col=16&amp;number=&amp;sourceID=32","")</f>
        <v/>
      </c>
      <c r="Q153" s="4" t="str">
        <f>HYPERLINK("http://141.218.60.56/~jnz1568/getInfo.php?workbook=06_02.xlsx&amp;sheet=A0&amp;row=153&amp;col=17&amp;number=&amp;sourceID=32","")</f>
        <v/>
      </c>
      <c r="R153" s="4" t="str">
        <f>HYPERLINK("http://141.218.60.56/~jnz1568/getInfo.php?workbook=06_02.xlsx&amp;sheet=A0&amp;row=153&amp;col=18&amp;number=&amp;sourceID=32","")</f>
        <v/>
      </c>
    </row>
    <row r="154" spans="1:18">
      <c r="A154" s="3">
        <v>6</v>
      </c>
      <c r="B154" s="3">
        <v>2</v>
      </c>
      <c r="C154" s="3">
        <v>20</v>
      </c>
      <c r="D154" s="3">
        <v>10</v>
      </c>
      <c r="E154" s="3">
        <f>((1/(INDEX(E0!J$4:J$52,C154,1)-INDEX(E0!J$4:J$52,D154,1))))*100000000</f>
        <v>0</v>
      </c>
      <c r="F154" s="4" t="str">
        <f>HYPERLINK("http://141.218.60.56/~jnz1568/getInfo.php?workbook=06_02.xlsx&amp;sheet=A0&amp;row=154&amp;col=6&amp;number=&amp;sourceID=27","")</f>
        <v/>
      </c>
      <c r="G154" s="4" t="str">
        <f>HYPERLINK("http://141.218.60.56/~jnz1568/getInfo.php?workbook=06_02.xlsx&amp;sheet=A0&amp;row=154&amp;col=7&amp;number=&amp;sourceID=34","")</f>
        <v/>
      </c>
      <c r="H154" s="4" t="str">
        <f>HYPERLINK("http://141.218.60.56/~jnz1568/getInfo.php?workbook=06_02.xlsx&amp;sheet=A0&amp;row=154&amp;col=8&amp;number=&amp;sourceID=34","")</f>
        <v/>
      </c>
      <c r="I154" s="4" t="str">
        <f>HYPERLINK("http://141.218.60.56/~jnz1568/getInfo.php?workbook=06_02.xlsx&amp;sheet=A0&amp;row=154&amp;col=9&amp;number=&amp;sourceID=34","")</f>
        <v/>
      </c>
      <c r="J154" s="4" t="str">
        <f>HYPERLINK("http://141.218.60.56/~jnz1568/getInfo.php?workbook=06_02.xlsx&amp;sheet=A0&amp;row=154&amp;col=10&amp;number=&amp;sourceID=34","")</f>
        <v/>
      </c>
      <c r="K154" s="4" t="str">
        <f>HYPERLINK("http://141.218.60.56/~jnz1568/getInfo.php?workbook=06_02.xlsx&amp;sheet=A0&amp;row=154&amp;col=11&amp;number=&amp;sourceID=30","")</f>
        <v/>
      </c>
      <c r="L154" s="4" t="str">
        <f>HYPERLINK("http://141.218.60.56/~jnz1568/getInfo.php?workbook=06_02.xlsx&amp;sheet=A0&amp;row=154&amp;col=12&amp;number=&amp;sourceID=30","")</f>
        <v/>
      </c>
      <c r="M154" s="4" t="str">
        <f>HYPERLINK("http://141.218.60.56/~jnz1568/getInfo.php?workbook=06_02.xlsx&amp;sheet=A0&amp;row=154&amp;col=13&amp;number=2.172e-05&amp;sourceID=30","2.172e-05")</f>
        <v>2.172e-05</v>
      </c>
      <c r="N154" s="4" t="str">
        <f>HYPERLINK("http://141.218.60.56/~jnz1568/getInfo.php?workbook=06_02.xlsx&amp;sheet=A0&amp;row=154&amp;col=14&amp;number=&amp;sourceID=30","")</f>
        <v/>
      </c>
      <c r="O154" s="4" t="str">
        <f>HYPERLINK("http://141.218.60.56/~jnz1568/getInfo.php?workbook=06_02.xlsx&amp;sheet=A0&amp;row=154&amp;col=15&amp;number=&amp;sourceID=32","")</f>
        <v/>
      </c>
      <c r="P154" s="4" t="str">
        <f>HYPERLINK("http://141.218.60.56/~jnz1568/getInfo.php?workbook=06_02.xlsx&amp;sheet=A0&amp;row=154&amp;col=16&amp;number=&amp;sourceID=32","")</f>
        <v/>
      </c>
      <c r="Q154" s="4" t="str">
        <f>HYPERLINK("http://141.218.60.56/~jnz1568/getInfo.php?workbook=06_02.xlsx&amp;sheet=A0&amp;row=154&amp;col=17&amp;number=6.208e-05&amp;sourceID=32","6.208e-05")</f>
        <v>6.208e-05</v>
      </c>
      <c r="R154" s="4" t="str">
        <f>HYPERLINK("http://141.218.60.56/~jnz1568/getInfo.php?workbook=06_02.xlsx&amp;sheet=A0&amp;row=154&amp;col=18&amp;number=&amp;sourceID=32","")</f>
        <v/>
      </c>
    </row>
    <row r="155" spans="1:18">
      <c r="A155" s="3">
        <v>6</v>
      </c>
      <c r="B155" s="3">
        <v>2</v>
      </c>
      <c r="C155" s="3">
        <v>20</v>
      </c>
      <c r="D155" s="3">
        <v>12</v>
      </c>
      <c r="E155" s="3">
        <f>((1/(INDEX(E0!J$4:J$52,C155,1)-INDEX(E0!J$4:J$52,D155,1))))*100000000</f>
        <v>0</v>
      </c>
      <c r="F155" s="4" t="str">
        <f>HYPERLINK("http://141.218.60.56/~jnz1568/getInfo.php?workbook=06_02.xlsx&amp;sheet=A0&amp;row=155&amp;col=6&amp;number=&amp;sourceID=27","")</f>
        <v/>
      </c>
      <c r="G155" s="4" t="str">
        <f>HYPERLINK("http://141.218.60.56/~jnz1568/getInfo.php?workbook=06_02.xlsx&amp;sheet=A0&amp;row=155&amp;col=7&amp;number=&amp;sourceID=34","")</f>
        <v/>
      </c>
      <c r="H155" s="4" t="str">
        <f>HYPERLINK("http://141.218.60.56/~jnz1568/getInfo.php?workbook=06_02.xlsx&amp;sheet=A0&amp;row=155&amp;col=8&amp;number=&amp;sourceID=34","")</f>
        <v/>
      </c>
      <c r="I155" s="4" t="str">
        <f>HYPERLINK("http://141.218.60.56/~jnz1568/getInfo.php?workbook=06_02.xlsx&amp;sheet=A0&amp;row=155&amp;col=9&amp;number=&amp;sourceID=34","")</f>
        <v/>
      </c>
      <c r="J155" s="4" t="str">
        <f>HYPERLINK("http://141.218.60.56/~jnz1568/getInfo.php?workbook=06_02.xlsx&amp;sheet=A0&amp;row=155&amp;col=10&amp;number=&amp;sourceID=34","")</f>
        <v/>
      </c>
      <c r="K155" s="4" t="str">
        <f>HYPERLINK("http://141.218.60.56/~jnz1568/getInfo.php?workbook=06_02.xlsx&amp;sheet=A0&amp;row=155&amp;col=11&amp;number=&amp;sourceID=30","")</f>
        <v/>
      </c>
      <c r="L155" s="4" t="str">
        <f>HYPERLINK("http://141.218.60.56/~jnz1568/getInfo.php?workbook=06_02.xlsx&amp;sheet=A0&amp;row=155&amp;col=12&amp;number=41400&amp;sourceID=30","41400")</f>
        <v>41400</v>
      </c>
      <c r="M155" s="4" t="str">
        <f>HYPERLINK("http://141.218.60.56/~jnz1568/getInfo.php?workbook=06_02.xlsx&amp;sheet=A0&amp;row=155&amp;col=13&amp;number=&amp;sourceID=30","")</f>
        <v/>
      </c>
      <c r="N155" s="4" t="str">
        <f>HYPERLINK("http://141.218.60.56/~jnz1568/getInfo.php?workbook=06_02.xlsx&amp;sheet=A0&amp;row=155&amp;col=14&amp;number=&amp;sourceID=30","")</f>
        <v/>
      </c>
      <c r="O155" s="4" t="str">
        <f>HYPERLINK("http://141.218.60.56/~jnz1568/getInfo.php?workbook=06_02.xlsx&amp;sheet=A0&amp;row=155&amp;col=15&amp;number=&amp;sourceID=32","")</f>
        <v/>
      </c>
      <c r="P155" s="4" t="str">
        <f>HYPERLINK("http://141.218.60.56/~jnz1568/getInfo.php?workbook=06_02.xlsx&amp;sheet=A0&amp;row=155&amp;col=16&amp;number=42260&amp;sourceID=32","42260")</f>
        <v>42260</v>
      </c>
      <c r="Q155" s="4" t="str">
        <f>HYPERLINK("http://141.218.60.56/~jnz1568/getInfo.php?workbook=06_02.xlsx&amp;sheet=A0&amp;row=155&amp;col=17&amp;number=&amp;sourceID=32","")</f>
        <v/>
      </c>
      <c r="R155" s="4" t="str">
        <f>HYPERLINK("http://141.218.60.56/~jnz1568/getInfo.php?workbook=06_02.xlsx&amp;sheet=A0&amp;row=155&amp;col=18&amp;number=&amp;sourceID=32","")</f>
        <v/>
      </c>
    </row>
    <row r="156" spans="1:18">
      <c r="A156" s="3">
        <v>6</v>
      </c>
      <c r="B156" s="3">
        <v>2</v>
      </c>
      <c r="C156" s="3">
        <v>20</v>
      </c>
      <c r="D156" s="3">
        <v>13</v>
      </c>
      <c r="E156" s="3">
        <f>((1/(INDEX(E0!J$4:J$52,C156,1)-INDEX(E0!J$4:J$52,D156,1))))*100000000</f>
        <v>0</v>
      </c>
      <c r="F156" s="4" t="str">
        <f>HYPERLINK("http://141.218.60.56/~jnz1568/getInfo.php?workbook=06_02.xlsx&amp;sheet=A0&amp;row=156&amp;col=6&amp;number=&amp;sourceID=27","")</f>
        <v/>
      </c>
      <c r="G156" s="4" t="str">
        <f>HYPERLINK("http://141.218.60.56/~jnz1568/getInfo.php?workbook=06_02.xlsx&amp;sheet=A0&amp;row=156&amp;col=7&amp;number=&amp;sourceID=34","")</f>
        <v/>
      </c>
      <c r="H156" s="4" t="str">
        <f>HYPERLINK("http://141.218.60.56/~jnz1568/getInfo.php?workbook=06_02.xlsx&amp;sheet=A0&amp;row=156&amp;col=8&amp;number=&amp;sourceID=34","")</f>
        <v/>
      </c>
      <c r="I156" s="4" t="str">
        <f>HYPERLINK("http://141.218.60.56/~jnz1568/getInfo.php?workbook=06_02.xlsx&amp;sheet=A0&amp;row=156&amp;col=9&amp;number=&amp;sourceID=34","")</f>
        <v/>
      </c>
      <c r="J156" s="4" t="str">
        <f>HYPERLINK("http://141.218.60.56/~jnz1568/getInfo.php?workbook=06_02.xlsx&amp;sheet=A0&amp;row=156&amp;col=10&amp;number=&amp;sourceID=34","")</f>
        <v/>
      </c>
      <c r="K156" s="4" t="str">
        <f>HYPERLINK("http://141.218.60.56/~jnz1568/getInfo.php?workbook=06_02.xlsx&amp;sheet=A0&amp;row=156&amp;col=11&amp;number=286800000&amp;sourceID=30","286800000")</f>
        <v>286800000</v>
      </c>
      <c r="L156" s="4" t="str">
        <f>HYPERLINK("http://141.218.60.56/~jnz1568/getInfo.php?workbook=06_02.xlsx&amp;sheet=A0&amp;row=156&amp;col=12&amp;number=&amp;sourceID=30","")</f>
        <v/>
      </c>
      <c r="M156" s="4" t="str">
        <f>HYPERLINK("http://141.218.60.56/~jnz1568/getInfo.php?workbook=06_02.xlsx&amp;sheet=A0&amp;row=156&amp;col=13&amp;number=&amp;sourceID=30","")</f>
        <v/>
      </c>
      <c r="N156" s="4" t="str">
        <f>HYPERLINK("http://141.218.60.56/~jnz1568/getInfo.php?workbook=06_02.xlsx&amp;sheet=A0&amp;row=156&amp;col=14&amp;number=&amp;sourceID=30","")</f>
        <v/>
      </c>
      <c r="O156" s="4" t="str">
        <f>HYPERLINK("http://141.218.60.56/~jnz1568/getInfo.php?workbook=06_02.xlsx&amp;sheet=A0&amp;row=156&amp;col=15&amp;number=293100000&amp;sourceID=32","293100000")</f>
        <v>293100000</v>
      </c>
      <c r="P156" s="4" t="str">
        <f>HYPERLINK("http://141.218.60.56/~jnz1568/getInfo.php?workbook=06_02.xlsx&amp;sheet=A0&amp;row=156&amp;col=16&amp;number=&amp;sourceID=32","")</f>
        <v/>
      </c>
      <c r="Q156" s="4" t="str">
        <f>HYPERLINK("http://141.218.60.56/~jnz1568/getInfo.php?workbook=06_02.xlsx&amp;sheet=A0&amp;row=156&amp;col=17&amp;number=&amp;sourceID=32","")</f>
        <v/>
      </c>
      <c r="R156" s="4" t="str">
        <f>HYPERLINK("http://141.218.60.56/~jnz1568/getInfo.php?workbook=06_02.xlsx&amp;sheet=A0&amp;row=156&amp;col=18&amp;number=&amp;sourceID=32","")</f>
        <v/>
      </c>
    </row>
    <row r="157" spans="1:18">
      <c r="A157" s="3">
        <v>6</v>
      </c>
      <c r="B157" s="3">
        <v>2</v>
      </c>
      <c r="C157" s="3">
        <v>20</v>
      </c>
      <c r="D157" s="3">
        <v>14</v>
      </c>
      <c r="E157" s="3">
        <f>((1/(INDEX(E0!J$4:J$52,C157,1)-INDEX(E0!J$4:J$52,D157,1))))*100000000</f>
        <v>0</v>
      </c>
      <c r="F157" s="4" t="str">
        <f>HYPERLINK("http://141.218.60.56/~jnz1568/getInfo.php?workbook=06_02.xlsx&amp;sheet=A0&amp;row=157&amp;col=6&amp;number=&amp;sourceID=27","")</f>
        <v/>
      </c>
      <c r="G157" s="4" t="str">
        <f>HYPERLINK("http://141.218.60.56/~jnz1568/getInfo.php?workbook=06_02.xlsx&amp;sheet=A0&amp;row=157&amp;col=7&amp;number=&amp;sourceID=34","")</f>
        <v/>
      </c>
      <c r="H157" s="4" t="str">
        <f>HYPERLINK("http://141.218.60.56/~jnz1568/getInfo.php?workbook=06_02.xlsx&amp;sheet=A0&amp;row=157&amp;col=8&amp;number=&amp;sourceID=34","")</f>
        <v/>
      </c>
      <c r="I157" s="4" t="str">
        <f>HYPERLINK("http://141.218.60.56/~jnz1568/getInfo.php?workbook=06_02.xlsx&amp;sheet=A0&amp;row=157&amp;col=9&amp;number=&amp;sourceID=34","")</f>
        <v/>
      </c>
      <c r="J157" s="4" t="str">
        <f>HYPERLINK("http://141.218.60.56/~jnz1568/getInfo.php?workbook=06_02.xlsx&amp;sheet=A0&amp;row=157&amp;col=10&amp;number=&amp;sourceID=34","")</f>
        <v/>
      </c>
      <c r="K157" s="4" t="str">
        <f>HYPERLINK("http://141.218.60.56/~jnz1568/getInfo.php?workbook=06_02.xlsx&amp;sheet=A0&amp;row=157&amp;col=11&amp;number=&amp;sourceID=30","")</f>
        <v/>
      </c>
      <c r="L157" s="4" t="str">
        <f>HYPERLINK("http://141.218.60.56/~jnz1568/getInfo.php?workbook=06_02.xlsx&amp;sheet=A0&amp;row=157&amp;col=12&amp;number=&amp;sourceID=30","")</f>
        <v/>
      </c>
      <c r="M157" s="4" t="str">
        <f>HYPERLINK("http://141.218.60.56/~jnz1568/getInfo.php?workbook=06_02.xlsx&amp;sheet=A0&amp;row=157&amp;col=13&amp;number=&amp;sourceID=30","")</f>
        <v/>
      </c>
      <c r="N157" s="4" t="str">
        <f>HYPERLINK("http://141.218.60.56/~jnz1568/getInfo.php?workbook=06_02.xlsx&amp;sheet=A0&amp;row=157&amp;col=14&amp;number=0.002688&amp;sourceID=30","0.002688")</f>
        <v>0.002688</v>
      </c>
      <c r="O157" s="4" t="str">
        <f>HYPERLINK("http://141.218.60.56/~jnz1568/getInfo.php?workbook=06_02.xlsx&amp;sheet=A0&amp;row=157&amp;col=15&amp;number=&amp;sourceID=32","")</f>
        <v/>
      </c>
      <c r="P157" s="4" t="str">
        <f>HYPERLINK("http://141.218.60.56/~jnz1568/getInfo.php?workbook=06_02.xlsx&amp;sheet=A0&amp;row=157&amp;col=16&amp;number=&amp;sourceID=32","")</f>
        <v/>
      </c>
      <c r="Q157" s="4" t="str">
        <f>HYPERLINK("http://141.218.60.56/~jnz1568/getInfo.php?workbook=06_02.xlsx&amp;sheet=A0&amp;row=157&amp;col=17&amp;number=&amp;sourceID=32","")</f>
        <v/>
      </c>
      <c r="R157" s="4" t="str">
        <f>HYPERLINK("http://141.218.60.56/~jnz1568/getInfo.php?workbook=06_02.xlsx&amp;sheet=A0&amp;row=157&amp;col=18&amp;number=0.002608&amp;sourceID=32","0.002608")</f>
        <v>0.002608</v>
      </c>
    </row>
    <row r="158" spans="1:18">
      <c r="A158" s="3">
        <v>6</v>
      </c>
      <c r="B158" s="3">
        <v>2</v>
      </c>
      <c r="C158" s="3">
        <v>20</v>
      </c>
      <c r="D158" s="3">
        <v>16</v>
      </c>
      <c r="E158" s="3">
        <f>((1/(INDEX(E0!J$4:J$52,C158,1)-INDEX(E0!J$4:J$52,D158,1))))*100000000</f>
        <v>0</v>
      </c>
      <c r="F158" s="4" t="str">
        <f>HYPERLINK("http://141.218.60.56/~jnz1568/getInfo.php?workbook=06_02.xlsx&amp;sheet=A0&amp;row=158&amp;col=6&amp;number=&amp;sourceID=27","")</f>
        <v/>
      </c>
      <c r="G158" s="4" t="str">
        <f>HYPERLINK("http://141.218.60.56/~jnz1568/getInfo.php?workbook=06_02.xlsx&amp;sheet=A0&amp;row=158&amp;col=7&amp;number=&amp;sourceID=34","")</f>
        <v/>
      </c>
      <c r="H158" s="4" t="str">
        <f>HYPERLINK("http://141.218.60.56/~jnz1568/getInfo.php?workbook=06_02.xlsx&amp;sheet=A0&amp;row=158&amp;col=8&amp;number=&amp;sourceID=34","")</f>
        <v/>
      </c>
      <c r="I158" s="4" t="str">
        <f>HYPERLINK("http://141.218.60.56/~jnz1568/getInfo.php?workbook=06_02.xlsx&amp;sheet=A0&amp;row=158&amp;col=9&amp;number=&amp;sourceID=34","")</f>
        <v/>
      </c>
      <c r="J158" s="4" t="str">
        <f>HYPERLINK("http://141.218.60.56/~jnz1568/getInfo.php?workbook=06_02.xlsx&amp;sheet=A0&amp;row=158&amp;col=10&amp;number=&amp;sourceID=34","")</f>
        <v/>
      </c>
      <c r="K158" s="4" t="str">
        <f>HYPERLINK("http://141.218.60.56/~jnz1568/getInfo.php?workbook=06_02.xlsx&amp;sheet=A0&amp;row=158&amp;col=11&amp;number=&amp;sourceID=30","")</f>
        <v/>
      </c>
      <c r="L158" s="4" t="str">
        <f>HYPERLINK("http://141.218.60.56/~jnz1568/getInfo.php?workbook=06_02.xlsx&amp;sheet=A0&amp;row=158&amp;col=12&amp;number=&amp;sourceID=30","")</f>
        <v/>
      </c>
      <c r="M158" s="4" t="str">
        <f>HYPERLINK("http://141.218.60.56/~jnz1568/getInfo.php?workbook=06_02.xlsx&amp;sheet=A0&amp;row=158&amp;col=13&amp;number=&amp;sourceID=30","")</f>
        <v/>
      </c>
      <c r="N158" s="4" t="str">
        <f>HYPERLINK("http://141.218.60.56/~jnz1568/getInfo.php?workbook=06_02.xlsx&amp;sheet=A0&amp;row=158&amp;col=14&amp;number=0.02318&amp;sourceID=30","0.02318")</f>
        <v>0.02318</v>
      </c>
      <c r="O158" s="4" t="str">
        <f>HYPERLINK("http://141.218.60.56/~jnz1568/getInfo.php?workbook=06_02.xlsx&amp;sheet=A0&amp;row=158&amp;col=15&amp;number=&amp;sourceID=32","")</f>
        <v/>
      </c>
      <c r="P158" s="4" t="str">
        <f>HYPERLINK("http://141.218.60.56/~jnz1568/getInfo.php?workbook=06_02.xlsx&amp;sheet=A0&amp;row=158&amp;col=16&amp;number=&amp;sourceID=32","")</f>
        <v/>
      </c>
      <c r="Q158" s="4" t="str">
        <f>HYPERLINK("http://141.218.60.56/~jnz1568/getInfo.php?workbook=06_02.xlsx&amp;sheet=A0&amp;row=158&amp;col=17&amp;number=&amp;sourceID=32","")</f>
        <v/>
      </c>
      <c r="R158" s="4" t="str">
        <f>HYPERLINK("http://141.218.60.56/~jnz1568/getInfo.php?workbook=06_02.xlsx&amp;sheet=A0&amp;row=158&amp;col=18&amp;number=0.02351&amp;sourceID=32","0.02351")</f>
        <v>0.02351</v>
      </c>
    </row>
    <row r="159" spans="1:18">
      <c r="A159" s="3">
        <v>6</v>
      </c>
      <c r="B159" s="3">
        <v>2</v>
      </c>
      <c r="C159" s="3">
        <v>20</v>
      </c>
      <c r="D159" s="3">
        <v>17</v>
      </c>
      <c r="E159" s="3">
        <f>((1/(INDEX(E0!J$4:J$52,C159,1)-INDEX(E0!J$4:J$52,D159,1))))*100000000</f>
        <v>0</v>
      </c>
      <c r="F159" s="4" t="str">
        <f>HYPERLINK("http://141.218.60.56/~jnz1568/getInfo.php?workbook=06_02.xlsx&amp;sheet=A0&amp;row=159&amp;col=6&amp;number=&amp;sourceID=27","")</f>
        <v/>
      </c>
      <c r="G159" s="4" t="str">
        <f>HYPERLINK("http://141.218.60.56/~jnz1568/getInfo.php?workbook=06_02.xlsx&amp;sheet=A0&amp;row=159&amp;col=7&amp;number=&amp;sourceID=34","")</f>
        <v/>
      </c>
      <c r="H159" s="4" t="str">
        <f>HYPERLINK("http://141.218.60.56/~jnz1568/getInfo.php?workbook=06_02.xlsx&amp;sheet=A0&amp;row=159&amp;col=8&amp;number=&amp;sourceID=34","")</f>
        <v/>
      </c>
      <c r="I159" s="4" t="str">
        <f>HYPERLINK("http://141.218.60.56/~jnz1568/getInfo.php?workbook=06_02.xlsx&amp;sheet=A0&amp;row=159&amp;col=9&amp;number=&amp;sourceID=34","")</f>
        <v/>
      </c>
      <c r="J159" s="4" t="str">
        <f>HYPERLINK("http://141.218.60.56/~jnz1568/getInfo.php?workbook=06_02.xlsx&amp;sheet=A0&amp;row=159&amp;col=10&amp;number=&amp;sourceID=34","")</f>
        <v/>
      </c>
      <c r="K159" s="4" t="str">
        <f>HYPERLINK("http://141.218.60.56/~jnz1568/getInfo.php?workbook=06_02.xlsx&amp;sheet=A0&amp;row=159&amp;col=11&amp;number=&amp;sourceID=30","")</f>
        <v/>
      </c>
      <c r="L159" s="4" t="str">
        <f>HYPERLINK("http://141.218.60.56/~jnz1568/getInfo.php?workbook=06_02.xlsx&amp;sheet=A0&amp;row=159&amp;col=12&amp;number=&amp;sourceID=30","")</f>
        <v/>
      </c>
      <c r="M159" s="4" t="str">
        <f>HYPERLINK("http://141.218.60.56/~jnz1568/getInfo.php?workbook=06_02.xlsx&amp;sheet=A0&amp;row=159&amp;col=13&amp;number=0.007672&amp;sourceID=30","0.007672")</f>
        <v>0.007672</v>
      </c>
      <c r="N159" s="4" t="str">
        <f>HYPERLINK("http://141.218.60.56/~jnz1568/getInfo.php?workbook=06_02.xlsx&amp;sheet=A0&amp;row=159&amp;col=14&amp;number=&amp;sourceID=30","")</f>
        <v/>
      </c>
      <c r="O159" s="4" t="str">
        <f>HYPERLINK("http://141.218.60.56/~jnz1568/getInfo.php?workbook=06_02.xlsx&amp;sheet=A0&amp;row=159&amp;col=15&amp;number=&amp;sourceID=32","")</f>
        <v/>
      </c>
      <c r="P159" s="4" t="str">
        <f>HYPERLINK("http://141.218.60.56/~jnz1568/getInfo.php?workbook=06_02.xlsx&amp;sheet=A0&amp;row=159&amp;col=16&amp;number=&amp;sourceID=32","")</f>
        <v/>
      </c>
      <c r="Q159" s="4" t="str">
        <f>HYPERLINK("http://141.218.60.56/~jnz1568/getInfo.php?workbook=06_02.xlsx&amp;sheet=A0&amp;row=159&amp;col=17&amp;number=0.007747&amp;sourceID=32","0.007747")</f>
        <v>0.007747</v>
      </c>
      <c r="R159" s="4" t="str">
        <f>HYPERLINK("http://141.218.60.56/~jnz1568/getInfo.php?workbook=06_02.xlsx&amp;sheet=A0&amp;row=159&amp;col=18&amp;number=&amp;sourceID=32","")</f>
        <v/>
      </c>
    </row>
    <row r="160" spans="1:18">
      <c r="A160" s="3">
        <v>6</v>
      </c>
      <c r="B160" s="3">
        <v>2</v>
      </c>
      <c r="C160" s="3">
        <v>20</v>
      </c>
      <c r="D160" s="3">
        <v>18</v>
      </c>
      <c r="E160" s="3">
        <f>((1/(INDEX(E0!J$4:J$52,C160,1)-INDEX(E0!J$4:J$52,D160,1))))*100000000</f>
        <v>0</v>
      </c>
      <c r="F160" s="4" t="str">
        <f>HYPERLINK("http://141.218.60.56/~jnz1568/getInfo.php?workbook=06_02.xlsx&amp;sheet=A0&amp;row=160&amp;col=6&amp;number=&amp;sourceID=27","")</f>
        <v/>
      </c>
      <c r="G160" s="4" t="str">
        <f>HYPERLINK("http://141.218.60.56/~jnz1568/getInfo.php?workbook=06_02.xlsx&amp;sheet=A0&amp;row=160&amp;col=7&amp;number=&amp;sourceID=34","")</f>
        <v/>
      </c>
      <c r="H160" s="4" t="str">
        <f>HYPERLINK("http://141.218.60.56/~jnz1568/getInfo.php?workbook=06_02.xlsx&amp;sheet=A0&amp;row=160&amp;col=8&amp;number=&amp;sourceID=34","")</f>
        <v/>
      </c>
      <c r="I160" s="4" t="str">
        <f>HYPERLINK("http://141.218.60.56/~jnz1568/getInfo.php?workbook=06_02.xlsx&amp;sheet=A0&amp;row=160&amp;col=9&amp;number=&amp;sourceID=34","")</f>
        <v/>
      </c>
      <c r="J160" s="4" t="str">
        <f>HYPERLINK("http://141.218.60.56/~jnz1568/getInfo.php?workbook=06_02.xlsx&amp;sheet=A0&amp;row=160&amp;col=10&amp;number=&amp;sourceID=34","")</f>
        <v/>
      </c>
      <c r="K160" s="4" t="str">
        <f>HYPERLINK("http://141.218.60.56/~jnz1568/getInfo.php?workbook=06_02.xlsx&amp;sheet=A0&amp;row=160&amp;col=11&amp;number=1639000&amp;sourceID=30","1639000")</f>
        <v>1639000</v>
      </c>
      <c r="L160" s="4" t="str">
        <f>HYPERLINK("http://141.218.60.56/~jnz1568/getInfo.php?workbook=06_02.xlsx&amp;sheet=A0&amp;row=160&amp;col=12&amp;number=&amp;sourceID=30","")</f>
        <v/>
      </c>
      <c r="M160" s="4" t="str">
        <f>HYPERLINK("http://141.218.60.56/~jnz1568/getInfo.php?workbook=06_02.xlsx&amp;sheet=A0&amp;row=160&amp;col=13&amp;number=&amp;sourceID=30","")</f>
        <v/>
      </c>
      <c r="N160" s="4" t="str">
        <f>HYPERLINK("http://141.218.60.56/~jnz1568/getInfo.php?workbook=06_02.xlsx&amp;sheet=A0&amp;row=160&amp;col=14&amp;number=&amp;sourceID=30","")</f>
        <v/>
      </c>
      <c r="O160" s="4" t="str">
        <f>HYPERLINK("http://141.218.60.56/~jnz1568/getInfo.php?workbook=06_02.xlsx&amp;sheet=A0&amp;row=160&amp;col=15&amp;number=1576000&amp;sourceID=32","1576000")</f>
        <v>1576000</v>
      </c>
      <c r="P160" s="4" t="str">
        <f>HYPERLINK("http://141.218.60.56/~jnz1568/getInfo.php?workbook=06_02.xlsx&amp;sheet=A0&amp;row=160&amp;col=16&amp;number=&amp;sourceID=32","")</f>
        <v/>
      </c>
      <c r="Q160" s="4" t="str">
        <f>HYPERLINK("http://141.218.60.56/~jnz1568/getInfo.php?workbook=06_02.xlsx&amp;sheet=A0&amp;row=160&amp;col=17&amp;number=&amp;sourceID=32","")</f>
        <v/>
      </c>
      <c r="R160" s="4" t="str">
        <f>HYPERLINK("http://141.218.60.56/~jnz1568/getInfo.php?workbook=06_02.xlsx&amp;sheet=A0&amp;row=160&amp;col=18&amp;number=&amp;sourceID=32","")</f>
        <v/>
      </c>
    </row>
    <row r="161" spans="1:18">
      <c r="A161" s="3">
        <v>6</v>
      </c>
      <c r="B161" s="3">
        <v>2</v>
      </c>
      <c r="C161" s="3">
        <v>21</v>
      </c>
      <c r="D161" s="3">
        <v>1</v>
      </c>
      <c r="E161" s="3">
        <f>((1/(INDEX(E0!J$4:J$52,C161,1)-INDEX(E0!J$4:J$52,D161,1))))*100000000</f>
        <v>0</v>
      </c>
      <c r="F161" s="4" t="str">
        <f>HYPERLINK("http://141.218.60.56/~jnz1568/getInfo.php?workbook=06_02.xlsx&amp;sheet=A0&amp;row=161&amp;col=6&amp;number=&amp;sourceID=27","")</f>
        <v/>
      </c>
      <c r="G161" s="4" t="str">
        <f>HYPERLINK("http://141.218.60.56/~jnz1568/getInfo.php?workbook=06_02.xlsx&amp;sheet=A0&amp;row=161&amp;col=7&amp;number=&amp;sourceID=34","")</f>
        <v/>
      </c>
      <c r="H161" s="4" t="str">
        <f>HYPERLINK("http://141.218.60.56/~jnz1568/getInfo.php?workbook=06_02.xlsx&amp;sheet=A0&amp;row=161&amp;col=8&amp;number=&amp;sourceID=34","")</f>
        <v/>
      </c>
      <c r="I161" s="4" t="str">
        <f>HYPERLINK("http://141.218.60.56/~jnz1568/getInfo.php?workbook=06_02.xlsx&amp;sheet=A0&amp;row=161&amp;col=9&amp;number=&amp;sourceID=34","")</f>
        <v/>
      </c>
      <c r="J161" s="4" t="str">
        <f>HYPERLINK("http://141.218.60.56/~jnz1568/getInfo.php?workbook=06_02.xlsx&amp;sheet=A0&amp;row=161&amp;col=10&amp;number=&amp;sourceID=34","")</f>
        <v/>
      </c>
      <c r="K161" s="4" t="str">
        <f>HYPERLINK("http://141.218.60.56/~jnz1568/getInfo.php?workbook=06_02.xlsx&amp;sheet=A0&amp;row=161&amp;col=11&amp;number=4632000&amp;sourceID=30","4632000")</f>
        <v>4632000</v>
      </c>
      <c r="L161" s="4" t="str">
        <f>HYPERLINK("http://141.218.60.56/~jnz1568/getInfo.php?workbook=06_02.xlsx&amp;sheet=A0&amp;row=161&amp;col=12&amp;number=&amp;sourceID=30","")</f>
        <v/>
      </c>
      <c r="M161" s="4" t="str">
        <f>HYPERLINK("http://141.218.60.56/~jnz1568/getInfo.php?workbook=06_02.xlsx&amp;sheet=A0&amp;row=161&amp;col=13&amp;number=&amp;sourceID=30","")</f>
        <v/>
      </c>
      <c r="N161" s="4" t="str">
        <f>HYPERLINK("http://141.218.60.56/~jnz1568/getInfo.php?workbook=06_02.xlsx&amp;sheet=A0&amp;row=161&amp;col=14&amp;number=&amp;sourceID=30","")</f>
        <v/>
      </c>
      <c r="O161" s="4" t="str">
        <f>HYPERLINK("http://141.218.60.56/~jnz1568/getInfo.php?workbook=06_02.xlsx&amp;sheet=A0&amp;row=161&amp;col=15&amp;number=3293000&amp;sourceID=32","3293000")</f>
        <v>3293000</v>
      </c>
      <c r="P161" s="4" t="str">
        <f>HYPERLINK("http://141.218.60.56/~jnz1568/getInfo.php?workbook=06_02.xlsx&amp;sheet=A0&amp;row=161&amp;col=16&amp;number=&amp;sourceID=32","")</f>
        <v/>
      </c>
      <c r="Q161" s="4" t="str">
        <f>HYPERLINK("http://141.218.60.56/~jnz1568/getInfo.php?workbook=06_02.xlsx&amp;sheet=A0&amp;row=161&amp;col=17&amp;number=&amp;sourceID=32","")</f>
        <v/>
      </c>
      <c r="R161" s="4" t="str">
        <f>HYPERLINK("http://141.218.60.56/~jnz1568/getInfo.php?workbook=06_02.xlsx&amp;sheet=A0&amp;row=161&amp;col=18&amp;number=&amp;sourceID=32","")</f>
        <v/>
      </c>
    </row>
    <row r="162" spans="1:18">
      <c r="A162" s="3">
        <v>6</v>
      </c>
      <c r="B162" s="3">
        <v>2</v>
      </c>
      <c r="C162" s="3">
        <v>21</v>
      </c>
      <c r="D162" s="3">
        <v>2</v>
      </c>
      <c r="E162" s="3">
        <f>((1/(INDEX(E0!J$4:J$52,C162,1)-INDEX(E0!J$4:J$52,D162,1))))*100000000</f>
        <v>0</v>
      </c>
      <c r="F162" s="4" t="str">
        <f>HYPERLINK("http://141.218.60.56/~jnz1568/getInfo.php?workbook=06_02.xlsx&amp;sheet=A0&amp;row=162&amp;col=6&amp;number=&amp;sourceID=27","")</f>
        <v/>
      </c>
      <c r="G162" s="4" t="str">
        <f>HYPERLINK("http://141.218.60.56/~jnz1568/getInfo.php?workbook=06_02.xlsx&amp;sheet=A0&amp;row=162&amp;col=7&amp;number=&amp;sourceID=34","")</f>
        <v/>
      </c>
      <c r="H162" s="4" t="str">
        <f>HYPERLINK("http://141.218.60.56/~jnz1568/getInfo.php?workbook=06_02.xlsx&amp;sheet=A0&amp;row=162&amp;col=8&amp;number=&amp;sourceID=34","")</f>
        <v/>
      </c>
      <c r="I162" s="4" t="str">
        <f>HYPERLINK("http://141.218.60.56/~jnz1568/getInfo.php?workbook=06_02.xlsx&amp;sheet=A0&amp;row=162&amp;col=9&amp;number=&amp;sourceID=34","")</f>
        <v/>
      </c>
      <c r="J162" s="4" t="str">
        <f>HYPERLINK("http://141.218.60.56/~jnz1568/getInfo.php?workbook=06_02.xlsx&amp;sheet=A0&amp;row=162&amp;col=10&amp;number=&amp;sourceID=34","")</f>
        <v/>
      </c>
      <c r="K162" s="4" t="str">
        <f>HYPERLINK("http://141.218.60.56/~jnz1568/getInfo.php?workbook=06_02.xlsx&amp;sheet=A0&amp;row=162&amp;col=11&amp;number=5687000000&amp;sourceID=30","5687000000")</f>
        <v>5687000000</v>
      </c>
      <c r="L162" s="4" t="str">
        <f>HYPERLINK("http://141.218.60.56/~jnz1568/getInfo.php?workbook=06_02.xlsx&amp;sheet=A0&amp;row=162&amp;col=12&amp;number=&amp;sourceID=30","")</f>
        <v/>
      </c>
      <c r="M162" s="4" t="str">
        <f>HYPERLINK("http://141.218.60.56/~jnz1568/getInfo.php?workbook=06_02.xlsx&amp;sheet=A0&amp;row=162&amp;col=13&amp;number=&amp;sourceID=30","")</f>
        <v/>
      </c>
      <c r="N162" s="4" t="str">
        <f>HYPERLINK("http://141.218.60.56/~jnz1568/getInfo.php?workbook=06_02.xlsx&amp;sheet=A0&amp;row=162&amp;col=14&amp;number=6.848&amp;sourceID=30","6.848")</f>
        <v>6.848</v>
      </c>
      <c r="O162" s="4" t="str">
        <f>HYPERLINK("http://141.218.60.56/~jnz1568/getInfo.php?workbook=06_02.xlsx&amp;sheet=A0&amp;row=162&amp;col=15&amp;number=6188000000&amp;sourceID=32","6188000000")</f>
        <v>6188000000</v>
      </c>
      <c r="P162" s="4" t="str">
        <f>HYPERLINK("http://141.218.60.56/~jnz1568/getInfo.php?workbook=06_02.xlsx&amp;sheet=A0&amp;row=162&amp;col=16&amp;number=&amp;sourceID=32","")</f>
        <v/>
      </c>
      <c r="Q162" s="4" t="str">
        <f>HYPERLINK("http://141.218.60.56/~jnz1568/getInfo.php?workbook=06_02.xlsx&amp;sheet=A0&amp;row=162&amp;col=17&amp;number=&amp;sourceID=32","")</f>
        <v/>
      </c>
      <c r="R162" s="4" t="str">
        <f>HYPERLINK("http://141.218.60.56/~jnz1568/getInfo.php?workbook=06_02.xlsx&amp;sheet=A0&amp;row=162&amp;col=18&amp;number=7.465&amp;sourceID=32","7.465")</f>
        <v>7.465</v>
      </c>
    </row>
    <row r="163" spans="1:18">
      <c r="A163" s="3">
        <v>6</v>
      </c>
      <c r="B163" s="3">
        <v>2</v>
      </c>
      <c r="C163" s="3">
        <v>21</v>
      </c>
      <c r="D163" s="3">
        <v>3</v>
      </c>
      <c r="E163" s="3">
        <f>((1/(INDEX(E0!J$4:J$52,C163,1)-INDEX(E0!J$4:J$52,D163,1))))*100000000</f>
        <v>0</v>
      </c>
      <c r="F163" s="4" t="str">
        <f>HYPERLINK("http://141.218.60.56/~jnz1568/getInfo.php?workbook=06_02.xlsx&amp;sheet=A0&amp;row=163&amp;col=6&amp;number=&amp;sourceID=27","")</f>
        <v/>
      </c>
      <c r="G163" s="4" t="str">
        <f>HYPERLINK("http://141.218.60.56/~jnz1568/getInfo.php?workbook=06_02.xlsx&amp;sheet=A0&amp;row=163&amp;col=7&amp;number=&amp;sourceID=34","")</f>
        <v/>
      </c>
      <c r="H163" s="4" t="str">
        <f>HYPERLINK("http://141.218.60.56/~jnz1568/getInfo.php?workbook=06_02.xlsx&amp;sheet=A0&amp;row=163&amp;col=8&amp;number=&amp;sourceID=34","")</f>
        <v/>
      </c>
      <c r="I163" s="4" t="str">
        <f>HYPERLINK("http://141.218.60.56/~jnz1568/getInfo.php?workbook=06_02.xlsx&amp;sheet=A0&amp;row=163&amp;col=9&amp;number=&amp;sourceID=34","")</f>
        <v/>
      </c>
      <c r="J163" s="4" t="str">
        <f>HYPERLINK("http://141.218.60.56/~jnz1568/getInfo.php?workbook=06_02.xlsx&amp;sheet=A0&amp;row=163&amp;col=10&amp;number=&amp;sourceID=34","")</f>
        <v/>
      </c>
      <c r="K163" s="4" t="str">
        <f>HYPERLINK("http://141.218.60.56/~jnz1568/getInfo.php?workbook=06_02.xlsx&amp;sheet=A0&amp;row=163&amp;col=11&amp;number=215400&amp;sourceID=30","215400")</f>
        <v>215400</v>
      </c>
      <c r="L163" s="4" t="str">
        <f>HYPERLINK("http://141.218.60.56/~jnz1568/getInfo.php?workbook=06_02.xlsx&amp;sheet=A0&amp;row=163&amp;col=12&amp;number=&amp;sourceID=30","")</f>
        <v/>
      </c>
      <c r="M163" s="4" t="str">
        <f>HYPERLINK("http://141.218.60.56/~jnz1568/getInfo.php?workbook=06_02.xlsx&amp;sheet=A0&amp;row=163&amp;col=13&amp;number=&amp;sourceID=30","")</f>
        <v/>
      </c>
      <c r="N163" s="4" t="str">
        <f>HYPERLINK("http://141.218.60.56/~jnz1568/getInfo.php?workbook=06_02.xlsx&amp;sheet=A0&amp;row=163&amp;col=14&amp;number=&amp;sourceID=30","")</f>
        <v/>
      </c>
      <c r="O163" s="4" t="str">
        <f>HYPERLINK("http://141.218.60.56/~jnz1568/getInfo.php?workbook=06_02.xlsx&amp;sheet=A0&amp;row=163&amp;col=15&amp;number=198700&amp;sourceID=32","198700")</f>
        <v>198700</v>
      </c>
      <c r="P163" s="4" t="str">
        <f>HYPERLINK("http://141.218.60.56/~jnz1568/getInfo.php?workbook=06_02.xlsx&amp;sheet=A0&amp;row=163&amp;col=16&amp;number=&amp;sourceID=32","")</f>
        <v/>
      </c>
      <c r="Q163" s="4" t="str">
        <f>HYPERLINK("http://141.218.60.56/~jnz1568/getInfo.php?workbook=06_02.xlsx&amp;sheet=A0&amp;row=163&amp;col=17&amp;number=&amp;sourceID=32","")</f>
        <v/>
      </c>
      <c r="R163" s="4" t="str">
        <f>HYPERLINK("http://141.218.60.56/~jnz1568/getInfo.php?workbook=06_02.xlsx&amp;sheet=A0&amp;row=163&amp;col=18&amp;number=&amp;sourceID=32","")</f>
        <v/>
      </c>
    </row>
    <row r="164" spans="1:18">
      <c r="A164" s="3">
        <v>6</v>
      </c>
      <c r="B164" s="3">
        <v>2</v>
      </c>
      <c r="C164" s="3">
        <v>21</v>
      </c>
      <c r="D164" s="3">
        <v>4</v>
      </c>
      <c r="E164" s="3">
        <f>((1/(INDEX(E0!J$4:J$52,C164,1)-INDEX(E0!J$4:J$52,D164,1))))*100000000</f>
        <v>0</v>
      </c>
      <c r="F164" s="4" t="str">
        <f>HYPERLINK("http://141.218.60.56/~jnz1568/getInfo.php?workbook=06_02.xlsx&amp;sheet=A0&amp;row=164&amp;col=6&amp;number=&amp;sourceID=27","")</f>
        <v/>
      </c>
      <c r="G164" s="4" t="str">
        <f>HYPERLINK("http://141.218.60.56/~jnz1568/getInfo.php?workbook=06_02.xlsx&amp;sheet=A0&amp;row=164&amp;col=7&amp;number=&amp;sourceID=34","")</f>
        <v/>
      </c>
      <c r="H164" s="4" t="str">
        <f>HYPERLINK("http://141.218.60.56/~jnz1568/getInfo.php?workbook=06_02.xlsx&amp;sheet=A0&amp;row=164&amp;col=8&amp;number=&amp;sourceID=34","")</f>
        <v/>
      </c>
      <c r="I164" s="4" t="str">
        <f>HYPERLINK("http://141.218.60.56/~jnz1568/getInfo.php?workbook=06_02.xlsx&amp;sheet=A0&amp;row=164&amp;col=9&amp;number=&amp;sourceID=34","")</f>
        <v/>
      </c>
      <c r="J164" s="4" t="str">
        <f>HYPERLINK("http://141.218.60.56/~jnz1568/getInfo.php?workbook=06_02.xlsx&amp;sheet=A0&amp;row=164&amp;col=10&amp;number=&amp;sourceID=34","")</f>
        <v/>
      </c>
      <c r="K164" s="4" t="str">
        <f>HYPERLINK("http://141.218.60.56/~jnz1568/getInfo.php?workbook=06_02.xlsx&amp;sheet=A0&amp;row=164&amp;col=11&amp;number=&amp;sourceID=30","")</f>
        <v/>
      </c>
      <c r="L164" s="4" t="str">
        <f>HYPERLINK("http://141.218.60.56/~jnz1568/getInfo.php?workbook=06_02.xlsx&amp;sheet=A0&amp;row=164&amp;col=12&amp;number=36060&amp;sourceID=30","36060")</f>
        <v>36060</v>
      </c>
      <c r="M164" s="4" t="str">
        <f>HYPERLINK("http://141.218.60.56/~jnz1568/getInfo.php?workbook=06_02.xlsx&amp;sheet=A0&amp;row=164&amp;col=13&amp;number=0.0125&amp;sourceID=30","0.0125")</f>
        <v>0.0125</v>
      </c>
      <c r="N164" s="4" t="str">
        <f>HYPERLINK("http://141.218.60.56/~jnz1568/getInfo.php?workbook=06_02.xlsx&amp;sheet=A0&amp;row=164&amp;col=14&amp;number=&amp;sourceID=30","")</f>
        <v/>
      </c>
      <c r="O164" s="4" t="str">
        <f>HYPERLINK("http://141.218.60.56/~jnz1568/getInfo.php?workbook=06_02.xlsx&amp;sheet=A0&amp;row=164&amp;col=15&amp;number=&amp;sourceID=32","")</f>
        <v/>
      </c>
      <c r="P164" s="4" t="str">
        <f>HYPERLINK("http://141.218.60.56/~jnz1568/getInfo.php?workbook=06_02.xlsx&amp;sheet=A0&amp;row=164&amp;col=16&amp;number=43180&amp;sourceID=32","43180")</f>
        <v>43180</v>
      </c>
      <c r="Q164" s="4" t="str">
        <f>HYPERLINK("http://141.218.60.56/~jnz1568/getInfo.php?workbook=06_02.xlsx&amp;sheet=A0&amp;row=164&amp;col=17&amp;number=0.01272&amp;sourceID=32","0.01272")</f>
        <v>0.01272</v>
      </c>
      <c r="R164" s="4" t="str">
        <f>HYPERLINK("http://141.218.60.56/~jnz1568/getInfo.php?workbook=06_02.xlsx&amp;sheet=A0&amp;row=164&amp;col=18&amp;number=&amp;sourceID=32","")</f>
        <v/>
      </c>
    </row>
    <row r="165" spans="1:18">
      <c r="A165" s="3">
        <v>6</v>
      </c>
      <c r="B165" s="3">
        <v>2</v>
      </c>
      <c r="C165" s="3">
        <v>21</v>
      </c>
      <c r="D165" s="3">
        <v>5</v>
      </c>
      <c r="E165" s="3">
        <f>((1/(INDEX(E0!J$4:J$52,C165,1)-INDEX(E0!J$4:J$52,D165,1))))*100000000</f>
        <v>0</v>
      </c>
      <c r="F165" s="4" t="str">
        <f>HYPERLINK("http://141.218.60.56/~jnz1568/getInfo.php?workbook=06_02.xlsx&amp;sheet=A0&amp;row=165&amp;col=6&amp;number=&amp;sourceID=27","")</f>
        <v/>
      </c>
      <c r="G165" s="4" t="str">
        <f>HYPERLINK("http://141.218.60.56/~jnz1568/getInfo.php?workbook=06_02.xlsx&amp;sheet=A0&amp;row=165&amp;col=7&amp;number=&amp;sourceID=34","")</f>
        <v/>
      </c>
      <c r="H165" s="4" t="str">
        <f>HYPERLINK("http://141.218.60.56/~jnz1568/getInfo.php?workbook=06_02.xlsx&amp;sheet=A0&amp;row=165&amp;col=8&amp;number=&amp;sourceID=34","")</f>
        <v/>
      </c>
      <c r="I165" s="4" t="str">
        <f>HYPERLINK("http://141.218.60.56/~jnz1568/getInfo.php?workbook=06_02.xlsx&amp;sheet=A0&amp;row=165&amp;col=9&amp;number=&amp;sourceID=34","")</f>
        <v/>
      </c>
      <c r="J165" s="4" t="str">
        <f>HYPERLINK("http://141.218.60.56/~jnz1568/getInfo.php?workbook=06_02.xlsx&amp;sheet=A0&amp;row=165&amp;col=10&amp;number=&amp;sourceID=34","")</f>
        <v/>
      </c>
      <c r="K165" s="4" t="str">
        <f>HYPERLINK("http://141.218.60.56/~jnz1568/getInfo.php?workbook=06_02.xlsx&amp;sheet=A0&amp;row=165&amp;col=11&amp;number=&amp;sourceID=30","")</f>
        <v/>
      </c>
      <c r="L165" s="4" t="str">
        <f>HYPERLINK("http://141.218.60.56/~jnz1568/getInfo.php?workbook=06_02.xlsx&amp;sheet=A0&amp;row=165&amp;col=12&amp;number=&amp;sourceID=30","")</f>
        <v/>
      </c>
      <c r="M165" s="4" t="str">
        <f>HYPERLINK("http://141.218.60.56/~jnz1568/getInfo.php?workbook=06_02.xlsx&amp;sheet=A0&amp;row=165&amp;col=13&amp;number=8.412e-05&amp;sourceID=30","8.412e-05")</f>
        <v>8.412e-05</v>
      </c>
      <c r="N165" s="4" t="str">
        <f>HYPERLINK("http://141.218.60.56/~jnz1568/getInfo.php?workbook=06_02.xlsx&amp;sheet=A0&amp;row=165&amp;col=14&amp;number=&amp;sourceID=30","")</f>
        <v/>
      </c>
      <c r="O165" s="4" t="str">
        <f>HYPERLINK("http://141.218.60.56/~jnz1568/getInfo.php?workbook=06_02.xlsx&amp;sheet=A0&amp;row=165&amp;col=15&amp;number=&amp;sourceID=32","")</f>
        <v/>
      </c>
      <c r="P165" s="4" t="str">
        <f>HYPERLINK("http://141.218.60.56/~jnz1568/getInfo.php?workbook=06_02.xlsx&amp;sheet=A0&amp;row=165&amp;col=16&amp;number=&amp;sourceID=32","")</f>
        <v/>
      </c>
      <c r="Q165" s="4" t="str">
        <f>HYPERLINK("http://141.218.60.56/~jnz1568/getInfo.php?workbook=06_02.xlsx&amp;sheet=A0&amp;row=165&amp;col=17&amp;number=0.0005024&amp;sourceID=32","0.0005024")</f>
        <v>0.0005024</v>
      </c>
      <c r="R165" s="4" t="str">
        <f>HYPERLINK("http://141.218.60.56/~jnz1568/getInfo.php?workbook=06_02.xlsx&amp;sheet=A0&amp;row=165&amp;col=18&amp;number=&amp;sourceID=32","")</f>
        <v/>
      </c>
    </row>
    <row r="166" spans="1:18">
      <c r="A166" s="3">
        <v>6</v>
      </c>
      <c r="B166" s="3">
        <v>2</v>
      </c>
      <c r="C166" s="3">
        <v>21</v>
      </c>
      <c r="D166" s="3">
        <v>6</v>
      </c>
      <c r="E166" s="3">
        <f>((1/(INDEX(E0!J$4:J$52,C166,1)-INDEX(E0!J$4:J$52,D166,1))))*100000000</f>
        <v>0</v>
      </c>
      <c r="F166" s="4" t="str">
        <f>HYPERLINK("http://141.218.60.56/~jnz1568/getInfo.php?workbook=06_02.xlsx&amp;sheet=A0&amp;row=166&amp;col=6&amp;number=&amp;sourceID=27","")</f>
        <v/>
      </c>
      <c r="G166" s="4" t="str">
        <f>HYPERLINK("http://141.218.60.56/~jnz1568/getInfo.php?workbook=06_02.xlsx&amp;sheet=A0&amp;row=166&amp;col=7&amp;number=&amp;sourceID=34","")</f>
        <v/>
      </c>
      <c r="H166" s="4" t="str">
        <f>HYPERLINK("http://141.218.60.56/~jnz1568/getInfo.php?workbook=06_02.xlsx&amp;sheet=A0&amp;row=166&amp;col=8&amp;number=&amp;sourceID=34","")</f>
        <v/>
      </c>
      <c r="I166" s="4" t="str">
        <f>HYPERLINK("http://141.218.60.56/~jnz1568/getInfo.php?workbook=06_02.xlsx&amp;sheet=A0&amp;row=166&amp;col=9&amp;number=&amp;sourceID=34","")</f>
        <v/>
      </c>
      <c r="J166" s="4" t="str">
        <f>HYPERLINK("http://141.218.60.56/~jnz1568/getInfo.php?workbook=06_02.xlsx&amp;sheet=A0&amp;row=166&amp;col=10&amp;number=&amp;sourceID=34","")</f>
        <v/>
      </c>
      <c r="K166" s="4" t="str">
        <f>HYPERLINK("http://141.218.60.56/~jnz1568/getInfo.php?workbook=06_02.xlsx&amp;sheet=A0&amp;row=166&amp;col=11&amp;number=&amp;sourceID=30","")</f>
        <v/>
      </c>
      <c r="L166" s="4" t="str">
        <f>HYPERLINK("http://141.218.60.56/~jnz1568/getInfo.php?workbook=06_02.xlsx&amp;sheet=A0&amp;row=166&amp;col=12&amp;number=108000&amp;sourceID=30","108000")</f>
        <v>108000</v>
      </c>
      <c r="M166" s="4" t="str">
        <f>HYPERLINK("http://141.218.60.56/~jnz1568/getInfo.php?workbook=06_02.xlsx&amp;sheet=A0&amp;row=166&amp;col=13&amp;number=0.02118&amp;sourceID=30","0.02118")</f>
        <v>0.02118</v>
      </c>
      <c r="N166" s="4" t="str">
        <f>HYPERLINK("http://141.218.60.56/~jnz1568/getInfo.php?workbook=06_02.xlsx&amp;sheet=A0&amp;row=166&amp;col=14&amp;number=&amp;sourceID=30","")</f>
        <v/>
      </c>
      <c r="O166" s="4" t="str">
        <f>HYPERLINK("http://141.218.60.56/~jnz1568/getInfo.php?workbook=06_02.xlsx&amp;sheet=A0&amp;row=166&amp;col=15&amp;number=&amp;sourceID=32","")</f>
        <v/>
      </c>
      <c r="P166" s="4" t="str">
        <f>HYPERLINK("http://141.218.60.56/~jnz1568/getInfo.php?workbook=06_02.xlsx&amp;sheet=A0&amp;row=166&amp;col=16&amp;number=129500&amp;sourceID=32","129500")</f>
        <v>129500</v>
      </c>
      <c r="Q166" s="4" t="str">
        <f>HYPERLINK("http://141.218.60.56/~jnz1568/getInfo.php?workbook=06_02.xlsx&amp;sheet=A0&amp;row=166&amp;col=17&amp;number=0.01825&amp;sourceID=32","0.01825")</f>
        <v>0.01825</v>
      </c>
      <c r="R166" s="4" t="str">
        <f>HYPERLINK("http://141.218.60.56/~jnz1568/getInfo.php?workbook=06_02.xlsx&amp;sheet=A0&amp;row=166&amp;col=18&amp;number=&amp;sourceID=32","")</f>
        <v/>
      </c>
    </row>
    <row r="167" spans="1:18">
      <c r="A167" s="3">
        <v>6</v>
      </c>
      <c r="B167" s="3">
        <v>2</v>
      </c>
      <c r="C167" s="3">
        <v>21</v>
      </c>
      <c r="D167" s="3">
        <v>7</v>
      </c>
      <c r="E167" s="3">
        <f>((1/(INDEX(E0!J$4:J$52,C167,1)-INDEX(E0!J$4:J$52,D167,1))))*100000000</f>
        <v>0</v>
      </c>
      <c r="F167" s="4" t="str">
        <f>HYPERLINK("http://141.218.60.56/~jnz1568/getInfo.php?workbook=06_02.xlsx&amp;sheet=A0&amp;row=167&amp;col=6&amp;number=&amp;sourceID=27","")</f>
        <v/>
      </c>
      <c r="G167" s="4" t="str">
        <f>HYPERLINK("http://141.218.60.56/~jnz1568/getInfo.php?workbook=06_02.xlsx&amp;sheet=A0&amp;row=167&amp;col=7&amp;number=&amp;sourceID=34","")</f>
        <v/>
      </c>
      <c r="H167" s="4" t="str">
        <f>HYPERLINK("http://141.218.60.56/~jnz1568/getInfo.php?workbook=06_02.xlsx&amp;sheet=A0&amp;row=167&amp;col=8&amp;number=&amp;sourceID=34","")</f>
        <v/>
      </c>
      <c r="I167" s="4" t="str">
        <f>HYPERLINK("http://141.218.60.56/~jnz1568/getInfo.php?workbook=06_02.xlsx&amp;sheet=A0&amp;row=167&amp;col=9&amp;number=&amp;sourceID=34","")</f>
        <v/>
      </c>
      <c r="J167" s="4" t="str">
        <f>HYPERLINK("http://141.218.60.56/~jnz1568/getInfo.php?workbook=06_02.xlsx&amp;sheet=A0&amp;row=167&amp;col=10&amp;number=&amp;sourceID=34","")</f>
        <v/>
      </c>
      <c r="K167" s="4" t="str">
        <f>HYPERLINK("http://141.218.60.56/~jnz1568/getInfo.php?workbook=06_02.xlsx&amp;sheet=A0&amp;row=167&amp;col=11&amp;number=&amp;sourceID=30","")</f>
        <v/>
      </c>
      <c r="L167" s="4" t="str">
        <f>HYPERLINK("http://141.218.60.56/~jnz1568/getInfo.php?workbook=06_02.xlsx&amp;sheet=A0&amp;row=167&amp;col=12&amp;number=11.87&amp;sourceID=30","11.87")</f>
        <v>11.87</v>
      </c>
      <c r="M167" s="4" t="str">
        <f>HYPERLINK("http://141.218.60.56/~jnz1568/getInfo.php?workbook=06_02.xlsx&amp;sheet=A0&amp;row=167&amp;col=13&amp;number=0.03411&amp;sourceID=30","0.03411")</f>
        <v>0.03411</v>
      </c>
      <c r="N167" s="4" t="str">
        <f>HYPERLINK("http://141.218.60.56/~jnz1568/getInfo.php?workbook=06_02.xlsx&amp;sheet=A0&amp;row=167&amp;col=14&amp;number=&amp;sourceID=30","")</f>
        <v/>
      </c>
      <c r="O167" s="4" t="str">
        <f>HYPERLINK("http://141.218.60.56/~jnz1568/getInfo.php?workbook=06_02.xlsx&amp;sheet=A0&amp;row=167&amp;col=15&amp;number=&amp;sourceID=32","")</f>
        <v/>
      </c>
      <c r="P167" s="4" t="str">
        <f>HYPERLINK("http://141.218.60.56/~jnz1568/getInfo.php?workbook=06_02.xlsx&amp;sheet=A0&amp;row=167&amp;col=16&amp;number=10.13&amp;sourceID=32","10.13")</f>
        <v>10.13</v>
      </c>
      <c r="Q167" s="4" t="str">
        <f>HYPERLINK("http://141.218.60.56/~jnz1568/getInfo.php?workbook=06_02.xlsx&amp;sheet=A0&amp;row=167&amp;col=17&amp;number=0.0368&amp;sourceID=32","0.0368")</f>
        <v>0.0368</v>
      </c>
      <c r="R167" s="4" t="str">
        <f>HYPERLINK("http://141.218.60.56/~jnz1568/getInfo.php?workbook=06_02.xlsx&amp;sheet=A0&amp;row=167&amp;col=18&amp;number=&amp;sourceID=32","")</f>
        <v/>
      </c>
    </row>
    <row r="168" spans="1:18">
      <c r="A168" s="3">
        <v>6</v>
      </c>
      <c r="B168" s="3">
        <v>2</v>
      </c>
      <c r="C168" s="3">
        <v>21</v>
      </c>
      <c r="D168" s="3">
        <v>8</v>
      </c>
      <c r="E168" s="3">
        <f>((1/(INDEX(E0!J$4:J$52,C168,1)-INDEX(E0!J$4:J$52,D168,1))))*100000000</f>
        <v>0</v>
      </c>
      <c r="F168" s="4" t="str">
        <f>HYPERLINK("http://141.218.60.56/~jnz1568/getInfo.php?workbook=06_02.xlsx&amp;sheet=A0&amp;row=168&amp;col=6&amp;number=&amp;sourceID=27","")</f>
        <v/>
      </c>
      <c r="G168" s="4" t="str">
        <f>HYPERLINK("http://141.218.60.56/~jnz1568/getInfo.php?workbook=06_02.xlsx&amp;sheet=A0&amp;row=168&amp;col=7&amp;number=&amp;sourceID=34","")</f>
        <v/>
      </c>
      <c r="H168" s="4" t="str">
        <f>HYPERLINK("http://141.218.60.56/~jnz1568/getInfo.php?workbook=06_02.xlsx&amp;sheet=A0&amp;row=168&amp;col=8&amp;number=&amp;sourceID=34","")</f>
        <v/>
      </c>
      <c r="I168" s="4" t="str">
        <f>HYPERLINK("http://141.218.60.56/~jnz1568/getInfo.php?workbook=06_02.xlsx&amp;sheet=A0&amp;row=168&amp;col=9&amp;number=&amp;sourceID=34","")</f>
        <v/>
      </c>
      <c r="J168" s="4" t="str">
        <f>HYPERLINK("http://141.218.60.56/~jnz1568/getInfo.php?workbook=06_02.xlsx&amp;sheet=A0&amp;row=168&amp;col=10&amp;number=&amp;sourceID=34","")</f>
        <v/>
      </c>
      <c r="K168" s="4" t="str">
        <f>HYPERLINK("http://141.218.60.56/~jnz1568/getInfo.php?workbook=06_02.xlsx&amp;sheet=A0&amp;row=168&amp;col=11&amp;number=1622000000&amp;sourceID=30","1622000000")</f>
        <v>1622000000</v>
      </c>
      <c r="L168" s="4" t="str">
        <f>HYPERLINK("http://141.218.60.56/~jnz1568/getInfo.php?workbook=06_02.xlsx&amp;sheet=A0&amp;row=168&amp;col=12&amp;number=&amp;sourceID=30","")</f>
        <v/>
      </c>
      <c r="M168" s="4" t="str">
        <f>HYPERLINK("http://141.218.60.56/~jnz1568/getInfo.php?workbook=06_02.xlsx&amp;sheet=A0&amp;row=168&amp;col=13&amp;number=&amp;sourceID=30","")</f>
        <v/>
      </c>
      <c r="N168" s="4" t="str">
        <f>HYPERLINK("http://141.218.60.56/~jnz1568/getInfo.php?workbook=06_02.xlsx&amp;sheet=A0&amp;row=168&amp;col=14&amp;number=0.13&amp;sourceID=30","0.13")</f>
        <v>0.13</v>
      </c>
      <c r="O168" s="4" t="str">
        <f>HYPERLINK("http://141.218.60.56/~jnz1568/getInfo.php?workbook=06_02.xlsx&amp;sheet=A0&amp;row=168&amp;col=15&amp;number=1674000000&amp;sourceID=32","1674000000")</f>
        <v>1674000000</v>
      </c>
      <c r="P168" s="4" t="str">
        <f>HYPERLINK("http://141.218.60.56/~jnz1568/getInfo.php?workbook=06_02.xlsx&amp;sheet=A0&amp;row=168&amp;col=16&amp;number=&amp;sourceID=32","")</f>
        <v/>
      </c>
      <c r="Q168" s="4" t="str">
        <f>HYPERLINK("http://141.218.60.56/~jnz1568/getInfo.php?workbook=06_02.xlsx&amp;sheet=A0&amp;row=168&amp;col=17&amp;number=&amp;sourceID=32","")</f>
        <v/>
      </c>
      <c r="R168" s="4" t="str">
        <f>HYPERLINK("http://141.218.60.56/~jnz1568/getInfo.php?workbook=06_02.xlsx&amp;sheet=A0&amp;row=168&amp;col=18&amp;number=0.1342&amp;sourceID=32","0.1342")</f>
        <v>0.1342</v>
      </c>
    </row>
    <row r="169" spans="1:18">
      <c r="A169" s="3">
        <v>6</v>
      </c>
      <c r="B169" s="3">
        <v>2</v>
      </c>
      <c r="C169" s="3">
        <v>21</v>
      </c>
      <c r="D169" s="3">
        <v>9</v>
      </c>
      <c r="E169" s="3">
        <f>((1/(INDEX(E0!J$4:J$52,C169,1)-INDEX(E0!J$4:J$52,D169,1))))*100000000</f>
        <v>0</v>
      </c>
      <c r="F169" s="4" t="str">
        <f>HYPERLINK("http://141.218.60.56/~jnz1568/getInfo.php?workbook=06_02.xlsx&amp;sheet=A0&amp;row=169&amp;col=6&amp;number=&amp;sourceID=27","")</f>
        <v/>
      </c>
      <c r="G169" s="4" t="str">
        <f>HYPERLINK("http://141.218.60.56/~jnz1568/getInfo.php?workbook=06_02.xlsx&amp;sheet=A0&amp;row=169&amp;col=7&amp;number=&amp;sourceID=34","")</f>
        <v/>
      </c>
      <c r="H169" s="4" t="str">
        <f>HYPERLINK("http://141.218.60.56/~jnz1568/getInfo.php?workbook=06_02.xlsx&amp;sheet=A0&amp;row=169&amp;col=8&amp;number=&amp;sourceID=34","")</f>
        <v/>
      </c>
      <c r="I169" s="4" t="str">
        <f>HYPERLINK("http://141.218.60.56/~jnz1568/getInfo.php?workbook=06_02.xlsx&amp;sheet=A0&amp;row=169&amp;col=9&amp;number=&amp;sourceID=34","")</f>
        <v/>
      </c>
      <c r="J169" s="4" t="str">
        <f>HYPERLINK("http://141.218.60.56/~jnz1568/getInfo.php?workbook=06_02.xlsx&amp;sheet=A0&amp;row=169&amp;col=10&amp;number=&amp;sourceID=34","")</f>
        <v/>
      </c>
      <c r="K169" s="4" t="str">
        <f>HYPERLINK("http://141.218.60.56/~jnz1568/getInfo.php?workbook=06_02.xlsx&amp;sheet=A0&amp;row=169&amp;col=11&amp;number=60720&amp;sourceID=30","60720")</f>
        <v>60720</v>
      </c>
      <c r="L169" s="4" t="str">
        <f>HYPERLINK("http://141.218.60.56/~jnz1568/getInfo.php?workbook=06_02.xlsx&amp;sheet=A0&amp;row=169&amp;col=12&amp;number=&amp;sourceID=30","")</f>
        <v/>
      </c>
      <c r="M169" s="4" t="str">
        <f>HYPERLINK("http://141.218.60.56/~jnz1568/getInfo.php?workbook=06_02.xlsx&amp;sheet=A0&amp;row=169&amp;col=13&amp;number=&amp;sourceID=30","")</f>
        <v/>
      </c>
      <c r="N169" s="4" t="str">
        <f>HYPERLINK("http://141.218.60.56/~jnz1568/getInfo.php?workbook=06_02.xlsx&amp;sheet=A0&amp;row=169&amp;col=14&amp;number=&amp;sourceID=30","")</f>
        <v/>
      </c>
      <c r="O169" s="4" t="str">
        <f>HYPERLINK("http://141.218.60.56/~jnz1568/getInfo.php?workbook=06_02.xlsx&amp;sheet=A0&amp;row=169&amp;col=15&amp;number=62380&amp;sourceID=32","62380")</f>
        <v>62380</v>
      </c>
      <c r="P169" s="4" t="str">
        <f>HYPERLINK("http://141.218.60.56/~jnz1568/getInfo.php?workbook=06_02.xlsx&amp;sheet=A0&amp;row=169&amp;col=16&amp;number=&amp;sourceID=32","")</f>
        <v/>
      </c>
      <c r="Q169" s="4" t="str">
        <f>HYPERLINK("http://141.218.60.56/~jnz1568/getInfo.php?workbook=06_02.xlsx&amp;sheet=A0&amp;row=169&amp;col=17&amp;number=&amp;sourceID=32","")</f>
        <v/>
      </c>
      <c r="R169" s="4" t="str">
        <f>HYPERLINK("http://141.218.60.56/~jnz1568/getInfo.php?workbook=06_02.xlsx&amp;sheet=A0&amp;row=169&amp;col=18&amp;number=&amp;sourceID=32","")</f>
        <v/>
      </c>
    </row>
    <row r="170" spans="1:18">
      <c r="A170" s="3">
        <v>6</v>
      </c>
      <c r="B170" s="3">
        <v>2</v>
      </c>
      <c r="C170" s="3">
        <v>21</v>
      </c>
      <c r="D170" s="3">
        <v>10</v>
      </c>
      <c r="E170" s="3">
        <f>((1/(INDEX(E0!J$4:J$52,C170,1)-INDEX(E0!J$4:J$52,D170,1))))*100000000</f>
        <v>0</v>
      </c>
      <c r="F170" s="4" t="str">
        <f>HYPERLINK("http://141.218.60.56/~jnz1568/getInfo.php?workbook=06_02.xlsx&amp;sheet=A0&amp;row=170&amp;col=6&amp;number=&amp;sourceID=27","")</f>
        <v/>
      </c>
      <c r="G170" s="4" t="str">
        <f>HYPERLINK("http://141.218.60.56/~jnz1568/getInfo.php?workbook=06_02.xlsx&amp;sheet=A0&amp;row=170&amp;col=7&amp;number=&amp;sourceID=34","")</f>
        <v/>
      </c>
      <c r="H170" s="4" t="str">
        <f>HYPERLINK("http://141.218.60.56/~jnz1568/getInfo.php?workbook=06_02.xlsx&amp;sheet=A0&amp;row=170&amp;col=8&amp;number=&amp;sourceID=34","")</f>
        <v/>
      </c>
      <c r="I170" s="4" t="str">
        <f>HYPERLINK("http://141.218.60.56/~jnz1568/getInfo.php?workbook=06_02.xlsx&amp;sheet=A0&amp;row=170&amp;col=9&amp;number=&amp;sourceID=34","")</f>
        <v/>
      </c>
      <c r="J170" s="4" t="str">
        <f>HYPERLINK("http://141.218.60.56/~jnz1568/getInfo.php?workbook=06_02.xlsx&amp;sheet=A0&amp;row=170&amp;col=10&amp;number=&amp;sourceID=34","")</f>
        <v/>
      </c>
      <c r="K170" s="4" t="str">
        <f>HYPERLINK("http://141.218.60.56/~jnz1568/getInfo.php?workbook=06_02.xlsx&amp;sheet=A0&amp;row=170&amp;col=11&amp;number=&amp;sourceID=30","")</f>
        <v/>
      </c>
      <c r="L170" s="4" t="str">
        <f>HYPERLINK("http://141.218.60.56/~jnz1568/getInfo.php?workbook=06_02.xlsx&amp;sheet=A0&amp;row=170&amp;col=12&amp;number=10350&amp;sourceID=30","10350")</f>
        <v>10350</v>
      </c>
      <c r="M170" s="4" t="str">
        <f>HYPERLINK("http://141.218.60.56/~jnz1568/getInfo.php?workbook=06_02.xlsx&amp;sheet=A0&amp;row=170&amp;col=13&amp;number=0.0001843&amp;sourceID=30","0.0001843")</f>
        <v>0.0001843</v>
      </c>
      <c r="N170" s="4" t="str">
        <f>HYPERLINK("http://141.218.60.56/~jnz1568/getInfo.php?workbook=06_02.xlsx&amp;sheet=A0&amp;row=170&amp;col=14&amp;number=&amp;sourceID=30","")</f>
        <v/>
      </c>
      <c r="O170" s="4" t="str">
        <f>HYPERLINK("http://141.218.60.56/~jnz1568/getInfo.php?workbook=06_02.xlsx&amp;sheet=A0&amp;row=170&amp;col=15&amp;number=&amp;sourceID=32","")</f>
        <v/>
      </c>
      <c r="P170" s="4" t="str">
        <f>HYPERLINK("http://141.218.60.56/~jnz1568/getInfo.php?workbook=06_02.xlsx&amp;sheet=A0&amp;row=170&amp;col=16&amp;number=10570&amp;sourceID=32","10570")</f>
        <v>10570</v>
      </c>
      <c r="Q170" s="4" t="str">
        <f>HYPERLINK("http://141.218.60.56/~jnz1568/getInfo.php?workbook=06_02.xlsx&amp;sheet=A0&amp;row=170&amp;col=17&amp;number=0.0001951&amp;sourceID=32","0.0001951")</f>
        <v>0.0001951</v>
      </c>
      <c r="R170" s="4" t="str">
        <f>HYPERLINK("http://141.218.60.56/~jnz1568/getInfo.php?workbook=06_02.xlsx&amp;sheet=A0&amp;row=170&amp;col=18&amp;number=&amp;sourceID=32","")</f>
        <v/>
      </c>
    </row>
    <row r="171" spans="1:18">
      <c r="A171" s="3">
        <v>6</v>
      </c>
      <c r="B171" s="3">
        <v>2</v>
      </c>
      <c r="C171" s="3">
        <v>21</v>
      </c>
      <c r="D171" s="3">
        <v>11</v>
      </c>
      <c r="E171" s="3">
        <f>((1/(INDEX(E0!J$4:J$52,C171,1)-INDEX(E0!J$4:J$52,D171,1))))*100000000</f>
        <v>0</v>
      </c>
      <c r="F171" s="4" t="str">
        <f>HYPERLINK("http://141.218.60.56/~jnz1568/getInfo.php?workbook=06_02.xlsx&amp;sheet=A0&amp;row=171&amp;col=6&amp;number=&amp;sourceID=27","")</f>
        <v/>
      </c>
      <c r="G171" s="4" t="str">
        <f>HYPERLINK("http://141.218.60.56/~jnz1568/getInfo.php?workbook=06_02.xlsx&amp;sheet=A0&amp;row=171&amp;col=7&amp;number=&amp;sourceID=34","")</f>
        <v/>
      </c>
      <c r="H171" s="4" t="str">
        <f>HYPERLINK("http://141.218.60.56/~jnz1568/getInfo.php?workbook=06_02.xlsx&amp;sheet=A0&amp;row=171&amp;col=8&amp;number=&amp;sourceID=34","")</f>
        <v/>
      </c>
      <c r="I171" s="4" t="str">
        <f>HYPERLINK("http://141.218.60.56/~jnz1568/getInfo.php?workbook=06_02.xlsx&amp;sheet=A0&amp;row=171&amp;col=9&amp;number=&amp;sourceID=34","")</f>
        <v/>
      </c>
      <c r="J171" s="4" t="str">
        <f>HYPERLINK("http://141.218.60.56/~jnz1568/getInfo.php?workbook=06_02.xlsx&amp;sheet=A0&amp;row=171&amp;col=10&amp;number=&amp;sourceID=34","")</f>
        <v/>
      </c>
      <c r="K171" s="4" t="str">
        <f>HYPERLINK("http://141.218.60.56/~jnz1568/getInfo.php?workbook=06_02.xlsx&amp;sheet=A0&amp;row=171&amp;col=11&amp;number=&amp;sourceID=30","")</f>
        <v/>
      </c>
      <c r="L171" s="4" t="str">
        <f>HYPERLINK("http://141.218.60.56/~jnz1568/getInfo.php?workbook=06_02.xlsx&amp;sheet=A0&amp;row=171&amp;col=12&amp;number=&amp;sourceID=30","")</f>
        <v/>
      </c>
      <c r="M171" s="4" t="str">
        <f>HYPERLINK("http://141.218.60.56/~jnz1568/getInfo.php?workbook=06_02.xlsx&amp;sheet=A0&amp;row=171&amp;col=13&amp;number=1.439e-06&amp;sourceID=30","1.439e-06")</f>
        <v>1.439e-06</v>
      </c>
      <c r="N171" s="4" t="str">
        <f>HYPERLINK("http://141.218.60.56/~jnz1568/getInfo.php?workbook=06_02.xlsx&amp;sheet=A0&amp;row=171&amp;col=14&amp;number=&amp;sourceID=30","")</f>
        <v/>
      </c>
      <c r="O171" s="4" t="str">
        <f>HYPERLINK("http://141.218.60.56/~jnz1568/getInfo.php?workbook=06_02.xlsx&amp;sheet=A0&amp;row=171&amp;col=15&amp;number=&amp;sourceID=32","")</f>
        <v/>
      </c>
      <c r="P171" s="4" t="str">
        <f>HYPERLINK("http://141.218.60.56/~jnz1568/getInfo.php?workbook=06_02.xlsx&amp;sheet=A0&amp;row=171&amp;col=16&amp;number=&amp;sourceID=32","")</f>
        <v/>
      </c>
      <c r="Q171" s="4" t="str">
        <f>HYPERLINK("http://141.218.60.56/~jnz1568/getInfo.php?workbook=06_02.xlsx&amp;sheet=A0&amp;row=171&amp;col=17&amp;number=3.973e-06&amp;sourceID=32","3.973e-06")</f>
        <v>3.973e-06</v>
      </c>
      <c r="R171" s="4" t="str">
        <f>HYPERLINK("http://141.218.60.56/~jnz1568/getInfo.php?workbook=06_02.xlsx&amp;sheet=A0&amp;row=171&amp;col=18&amp;number=&amp;sourceID=32","")</f>
        <v/>
      </c>
    </row>
    <row r="172" spans="1:18">
      <c r="A172" s="3">
        <v>6</v>
      </c>
      <c r="B172" s="3">
        <v>2</v>
      </c>
      <c r="C172" s="3">
        <v>21</v>
      </c>
      <c r="D172" s="3">
        <v>12</v>
      </c>
      <c r="E172" s="3">
        <f>((1/(INDEX(E0!J$4:J$52,C172,1)-INDEX(E0!J$4:J$52,D172,1))))*100000000</f>
        <v>0</v>
      </c>
      <c r="F172" s="4" t="str">
        <f>HYPERLINK("http://141.218.60.56/~jnz1568/getInfo.php?workbook=06_02.xlsx&amp;sheet=A0&amp;row=172&amp;col=6&amp;number=&amp;sourceID=27","")</f>
        <v/>
      </c>
      <c r="G172" s="4" t="str">
        <f>HYPERLINK("http://141.218.60.56/~jnz1568/getInfo.php?workbook=06_02.xlsx&amp;sheet=A0&amp;row=172&amp;col=7&amp;number=&amp;sourceID=34","")</f>
        <v/>
      </c>
      <c r="H172" s="4" t="str">
        <f>HYPERLINK("http://141.218.60.56/~jnz1568/getInfo.php?workbook=06_02.xlsx&amp;sheet=A0&amp;row=172&amp;col=8&amp;number=&amp;sourceID=34","")</f>
        <v/>
      </c>
      <c r="I172" s="4" t="str">
        <f>HYPERLINK("http://141.218.60.56/~jnz1568/getInfo.php?workbook=06_02.xlsx&amp;sheet=A0&amp;row=172&amp;col=9&amp;number=&amp;sourceID=34","")</f>
        <v/>
      </c>
      <c r="J172" s="4" t="str">
        <f>HYPERLINK("http://141.218.60.56/~jnz1568/getInfo.php?workbook=06_02.xlsx&amp;sheet=A0&amp;row=172&amp;col=10&amp;number=&amp;sourceID=34","")</f>
        <v/>
      </c>
      <c r="K172" s="4" t="str">
        <f>HYPERLINK("http://141.218.60.56/~jnz1568/getInfo.php?workbook=06_02.xlsx&amp;sheet=A0&amp;row=172&amp;col=11&amp;number=&amp;sourceID=30","")</f>
        <v/>
      </c>
      <c r="L172" s="4" t="str">
        <f>HYPERLINK("http://141.218.60.56/~jnz1568/getInfo.php?workbook=06_02.xlsx&amp;sheet=A0&amp;row=172&amp;col=12&amp;number=31040&amp;sourceID=30","31040")</f>
        <v>31040</v>
      </c>
      <c r="M172" s="4" t="str">
        <f>HYPERLINK("http://141.218.60.56/~jnz1568/getInfo.php?workbook=06_02.xlsx&amp;sheet=A0&amp;row=172&amp;col=13&amp;number=0.001885&amp;sourceID=30","0.001885")</f>
        <v>0.001885</v>
      </c>
      <c r="N172" s="4" t="str">
        <f>HYPERLINK("http://141.218.60.56/~jnz1568/getInfo.php?workbook=06_02.xlsx&amp;sheet=A0&amp;row=172&amp;col=14&amp;number=&amp;sourceID=30","")</f>
        <v/>
      </c>
      <c r="O172" s="4" t="str">
        <f>HYPERLINK("http://141.218.60.56/~jnz1568/getInfo.php?workbook=06_02.xlsx&amp;sheet=A0&amp;row=172&amp;col=15&amp;number=&amp;sourceID=32","")</f>
        <v/>
      </c>
      <c r="P172" s="4" t="str">
        <f>HYPERLINK("http://141.218.60.56/~jnz1568/getInfo.php?workbook=06_02.xlsx&amp;sheet=A0&amp;row=172&amp;col=16&amp;number=31690&amp;sourceID=32","31690")</f>
        <v>31690</v>
      </c>
      <c r="Q172" s="4" t="str">
        <f>HYPERLINK("http://141.218.60.56/~jnz1568/getInfo.php?workbook=06_02.xlsx&amp;sheet=A0&amp;row=172&amp;col=17&amp;number=0.001787&amp;sourceID=32","0.001787")</f>
        <v>0.001787</v>
      </c>
      <c r="R172" s="4" t="str">
        <f>HYPERLINK("http://141.218.60.56/~jnz1568/getInfo.php?workbook=06_02.xlsx&amp;sheet=A0&amp;row=172&amp;col=18&amp;number=&amp;sourceID=32","")</f>
        <v/>
      </c>
    </row>
    <row r="173" spans="1:18">
      <c r="A173" s="3">
        <v>6</v>
      </c>
      <c r="B173" s="3">
        <v>2</v>
      </c>
      <c r="C173" s="3">
        <v>21</v>
      </c>
      <c r="D173" s="3">
        <v>13</v>
      </c>
      <c r="E173" s="3">
        <f>((1/(INDEX(E0!J$4:J$52,C173,1)-INDEX(E0!J$4:J$52,D173,1))))*100000000</f>
        <v>0</v>
      </c>
      <c r="F173" s="4" t="str">
        <f>HYPERLINK("http://141.218.60.56/~jnz1568/getInfo.php?workbook=06_02.xlsx&amp;sheet=A0&amp;row=173&amp;col=6&amp;number=&amp;sourceID=27","")</f>
        <v/>
      </c>
      <c r="G173" s="4" t="str">
        <f>HYPERLINK("http://141.218.60.56/~jnz1568/getInfo.php?workbook=06_02.xlsx&amp;sheet=A0&amp;row=173&amp;col=7&amp;number=&amp;sourceID=34","")</f>
        <v/>
      </c>
      <c r="H173" s="4" t="str">
        <f>HYPERLINK("http://141.218.60.56/~jnz1568/getInfo.php?workbook=06_02.xlsx&amp;sheet=A0&amp;row=173&amp;col=8&amp;number=&amp;sourceID=34","")</f>
        <v/>
      </c>
      <c r="I173" s="4" t="str">
        <f>HYPERLINK("http://141.218.60.56/~jnz1568/getInfo.php?workbook=06_02.xlsx&amp;sheet=A0&amp;row=173&amp;col=9&amp;number=&amp;sourceID=34","")</f>
        <v/>
      </c>
      <c r="J173" s="4" t="str">
        <f>HYPERLINK("http://141.218.60.56/~jnz1568/getInfo.php?workbook=06_02.xlsx&amp;sheet=A0&amp;row=173&amp;col=10&amp;number=&amp;sourceID=34","")</f>
        <v/>
      </c>
      <c r="K173" s="4" t="str">
        <f>HYPERLINK("http://141.218.60.56/~jnz1568/getInfo.php?workbook=06_02.xlsx&amp;sheet=A0&amp;row=173&amp;col=11&amp;number=71790000&amp;sourceID=30","71790000")</f>
        <v>71790000</v>
      </c>
      <c r="L173" s="4" t="str">
        <f>HYPERLINK("http://141.218.60.56/~jnz1568/getInfo.php?workbook=06_02.xlsx&amp;sheet=A0&amp;row=173&amp;col=12&amp;number=&amp;sourceID=30","")</f>
        <v/>
      </c>
      <c r="M173" s="4" t="str">
        <f>HYPERLINK("http://141.218.60.56/~jnz1568/getInfo.php?workbook=06_02.xlsx&amp;sheet=A0&amp;row=173&amp;col=13&amp;number=&amp;sourceID=30","")</f>
        <v/>
      </c>
      <c r="N173" s="4" t="str">
        <f>HYPERLINK("http://141.218.60.56/~jnz1568/getInfo.php?workbook=06_02.xlsx&amp;sheet=A0&amp;row=173&amp;col=14&amp;number=0.0007331&amp;sourceID=30","0.0007331")</f>
        <v>0.0007331</v>
      </c>
      <c r="O173" s="4" t="str">
        <f>HYPERLINK("http://141.218.60.56/~jnz1568/getInfo.php?workbook=06_02.xlsx&amp;sheet=A0&amp;row=173&amp;col=15&amp;number=73360000&amp;sourceID=32","73360000")</f>
        <v>73360000</v>
      </c>
      <c r="P173" s="4" t="str">
        <f>HYPERLINK("http://141.218.60.56/~jnz1568/getInfo.php?workbook=06_02.xlsx&amp;sheet=A0&amp;row=173&amp;col=16&amp;number=&amp;sourceID=32","")</f>
        <v/>
      </c>
      <c r="Q173" s="4" t="str">
        <f>HYPERLINK("http://141.218.60.56/~jnz1568/getInfo.php?workbook=06_02.xlsx&amp;sheet=A0&amp;row=173&amp;col=17&amp;number=&amp;sourceID=32","")</f>
        <v/>
      </c>
      <c r="R173" s="4" t="str">
        <f>HYPERLINK("http://141.218.60.56/~jnz1568/getInfo.php?workbook=06_02.xlsx&amp;sheet=A0&amp;row=173&amp;col=18&amp;number=0.0007462&amp;sourceID=32","0.0007462")</f>
        <v>0.0007462</v>
      </c>
    </row>
    <row r="174" spans="1:18">
      <c r="A174" s="3">
        <v>6</v>
      </c>
      <c r="B174" s="3">
        <v>2</v>
      </c>
      <c r="C174" s="3">
        <v>21</v>
      </c>
      <c r="D174" s="3">
        <v>14</v>
      </c>
      <c r="E174" s="3">
        <f>((1/(INDEX(E0!J$4:J$52,C174,1)-INDEX(E0!J$4:J$52,D174,1))))*100000000</f>
        <v>0</v>
      </c>
      <c r="F174" s="4" t="str">
        <f>HYPERLINK("http://141.218.60.56/~jnz1568/getInfo.php?workbook=06_02.xlsx&amp;sheet=A0&amp;row=174&amp;col=6&amp;number=&amp;sourceID=27","")</f>
        <v/>
      </c>
      <c r="G174" s="4" t="str">
        <f>HYPERLINK("http://141.218.60.56/~jnz1568/getInfo.php?workbook=06_02.xlsx&amp;sheet=A0&amp;row=174&amp;col=7&amp;number=&amp;sourceID=34","")</f>
        <v/>
      </c>
      <c r="H174" s="4" t="str">
        <f>HYPERLINK("http://141.218.60.56/~jnz1568/getInfo.php?workbook=06_02.xlsx&amp;sheet=A0&amp;row=174&amp;col=8&amp;number=&amp;sourceID=34","")</f>
        <v/>
      </c>
      <c r="I174" s="4" t="str">
        <f>HYPERLINK("http://141.218.60.56/~jnz1568/getInfo.php?workbook=06_02.xlsx&amp;sheet=A0&amp;row=174&amp;col=9&amp;number=&amp;sourceID=34","")</f>
        <v/>
      </c>
      <c r="J174" s="4" t="str">
        <f>HYPERLINK("http://141.218.60.56/~jnz1568/getInfo.php?workbook=06_02.xlsx&amp;sheet=A0&amp;row=174&amp;col=10&amp;number=&amp;sourceID=34","")</f>
        <v/>
      </c>
      <c r="K174" s="4" t="str">
        <f>HYPERLINK("http://141.218.60.56/~jnz1568/getInfo.php?workbook=06_02.xlsx&amp;sheet=A0&amp;row=174&amp;col=11&amp;number=214600000&amp;sourceID=30","214600000")</f>
        <v>214600000</v>
      </c>
      <c r="L174" s="4" t="str">
        <f>HYPERLINK("http://141.218.60.56/~jnz1568/getInfo.php?workbook=06_02.xlsx&amp;sheet=A0&amp;row=174&amp;col=12&amp;number=&amp;sourceID=30","")</f>
        <v/>
      </c>
      <c r="M174" s="4" t="str">
        <f>HYPERLINK("http://141.218.60.56/~jnz1568/getInfo.php?workbook=06_02.xlsx&amp;sheet=A0&amp;row=174&amp;col=13&amp;number=&amp;sourceID=30","")</f>
        <v/>
      </c>
      <c r="N174" s="4" t="str">
        <f>HYPERLINK("http://141.218.60.56/~jnz1568/getInfo.php?workbook=06_02.xlsx&amp;sheet=A0&amp;row=174&amp;col=14&amp;number=0.01726&amp;sourceID=30","0.01726")</f>
        <v>0.01726</v>
      </c>
      <c r="O174" s="4" t="str">
        <f>HYPERLINK("http://141.218.60.56/~jnz1568/getInfo.php?workbook=06_02.xlsx&amp;sheet=A0&amp;row=174&amp;col=15&amp;number=219100000&amp;sourceID=32","219100000")</f>
        <v>219100000</v>
      </c>
      <c r="P174" s="4" t="str">
        <f>HYPERLINK("http://141.218.60.56/~jnz1568/getInfo.php?workbook=06_02.xlsx&amp;sheet=A0&amp;row=174&amp;col=16&amp;number=&amp;sourceID=32","")</f>
        <v/>
      </c>
      <c r="Q174" s="4" t="str">
        <f>HYPERLINK("http://141.218.60.56/~jnz1568/getInfo.php?workbook=06_02.xlsx&amp;sheet=A0&amp;row=174&amp;col=17&amp;number=&amp;sourceID=32","")</f>
        <v/>
      </c>
      <c r="R174" s="4" t="str">
        <f>HYPERLINK("http://141.218.60.56/~jnz1568/getInfo.php?workbook=06_02.xlsx&amp;sheet=A0&amp;row=174&amp;col=18&amp;number=0.01728&amp;sourceID=32","0.01728")</f>
        <v>0.01728</v>
      </c>
    </row>
    <row r="175" spans="1:18">
      <c r="A175" s="3">
        <v>6</v>
      </c>
      <c r="B175" s="3">
        <v>2</v>
      </c>
      <c r="C175" s="3">
        <v>21</v>
      </c>
      <c r="D175" s="3">
        <v>15</v>
      </c>
      <c r="E175" s="3">
        <f>((1/(INDEX(E0!J$4:J$52,C175,1)-INDEX(E0!J$4:J$52,D175,1))))*100000000</f>
        <v>0</v>
      </c>
      <c r="F175" s="4" t="str">
        <f>HYPERLINK("http://141.218.60.56/~jnz1568/getInfo.php?workbook=06_02.xlsx&amp;sheet=A0&amp;row=175&amp;col=6&amp;number=&amp;sourceID=27","")</f>
        <v/>
      </c>
      <c r="G175" s="4" t="str">
        <f>HYPERLINK("http://141.218.60.56/~jnz1568/getInfo.php?workbook=06_02.xlsx&amp;sheet=A0&amp;row=175&amp;col=7&amp;number=&amp;sourceID=34","")</f>
        <v/>
      </c>
      <c r="H175" s="4" t="str">
        <f>HYPERLINK("http://141.218.60.56/~jnz1568/getInfo.php?workbook=06_02.xlsx&amp;sheet=A0&amp;row=175&amp;col=8&amp;number=&amp;sourceID=34","")</f>
        <v/>
      </c>
      <c r="I175" s="4" t="str">
        <f>HYPERLINK("http://141.218.60.56/~jnz1568/getInfo.php?workbook=06_02.xlsx&amp;sheet=A0&amp;row=175&amp;col=9&amp;number=&amp;sourceID=34","")</f>
        <v/>
      </c>
      <c r="J175" s="4" t="str">
        <f>HYPERLINK("http://141.218.60.56/~jnz1568/getInfo.php?workbook=06_02.xlsx&amp;sheet=A0&amp;row=175&amp;col=10&amp;number=&amp;sourceID=34","")</f>
        <v/>
      </c>
      <c r="K175" s="4" t="str">
        <f>HYPERLINK("http://141.218.60.56/~jnz1568/getInfo.php?workbook=06_02.xlsx&amp;sheet=A0&amp;row=175&amp;col=11&amp;number=&amp;sourceID=30","")</f>
        <v/>
      </c>
      <c r="L175" s="4" t="str">
        <f>HYPERLINK("http://141.218.60.56/~jnz1568/getInfo.php?workbook=06_02.xlsx&amp;sheet=A0&amp;row=175&amp;col=12&amp;number=&amp;sourceID=30","")</f>
        <v/>
      </c>
      <c r="M175" s="4" t="str">
        <f>HYPERLINK("http://141.218.60.56/~jnz1568/getInfo.php?workbook=06_02.xlsx&amp;sheet=A0&amp;row=175&amp;col=13&amp;number=&amp;sourceID=30","")</f>
        <v/>
      </c>
      <c r="N175" s="4" t="str">
        <f>HYPERLINK("http://141.218.60.56/~jnz1568/getInfo.php?workbook=06_02.xlsx&amp;sheet=A0&amp;row=175&amp;col=14&amp;number=0.001772&amp;sourceID=30","0.001772")</f>
        <v>0.001772</v>
      </c>
      <c r="O175" s="4" t="str">
        <f>HYPERLINK("http://141.218.60.56/~jnz1568/getInfo.php?workbook=06_02.xlsx&amp;sheet=A0&amp;row=175&amp;col=15&amp;number=&amp;sourceID=32","")</f>
        <v/>
      </c>
      <c r="P175" s="4" t="str">
        <f>HYPERLINK("http://141.218.60.56/~jnz1568/getInfo.php?workbook=06_02.xlsx&amp;sheet=A0&amp;row=175&amp;col=16&amp;number=&amp;sourceID=32","")</f>
        <v/>
      </c>
      <c r="Q175" s="4" t="str">
        <f>HYPERLINK("http://141.218.60.56/~jnz1568/getInfo.php?workbook=06_02.xlsx&amp;sheet=A0&amp;row=175&amp;col=17&amp;number=&amp;sourceID=32","")</f>
        <v/>
      </c>
      <c r="R175" s="4" t="str">
        <f>HYPERLINK("http://141.218.60.56/~jnz1568/getInfo.php?workbook=06_02.xlsx&amp;sheet=A0&amp;row=175&amp;col=18&amp;number=0.001817&amp;sourceID=32","0.001817")</f>
        <v>0.001817</v>
      </c>
    </row>
    <row r="176" spans="1:18">
      <c r="A176" s="3">
        <v>6</v>
      </c>
      <c r="B176" s="3">
        <v>2</v>
      </c>
      <c r="C176" s="3">
        <v>21</v>
      </c>
      <c r="D176" s="3">
        <v>16</v>
      </c>
      <c r="E176" s="3">
        <f>((1/(INDEX(E0!J$4:J$52,C176,1)-INDEX(E0!J$4:J$52,D176,1))))*100000000</f>
        <v>0</v>
      </c>
      <c r="F176" s="4" t="str">
        <f>HYPERLINK("http://141.218.60.56/~jnz1568/getInfo.php?workbook=06_02.xlsx&amp;sheet=A0&amp;row=176&amp;col=6&amp;number=&amp;sourceID=27","")</f>
        <v/>
      </c>
      <c r="G176" s="4" t="str">
        <f>HYPERLINK("http://141.218.60.56/~jnz1568/getInfo.php?workbook=06_02.xlsx&amp;sheet=A0&amp;row=176&amp;col=7&amp;number=&amp;sourceID=34","")</f>
        <v/>
      </c>
      <c r="H176" s="4" t="str">
        <f>HYPERLINK("http://141.218.60.56/~jnz1568/getInfo.php?workbook=06_02.xlsx&amp;sheet=A0&amp;row=176&amp;col=8&amp;number=&amp;sourceID=34","")</f>
        <v/>
      </c>
      <c r="I176" s="4" t="str">
        <f>HYPERLINK("http://141.218.60.56/~jnz1568/getInfo.php?workbook=06_02.xlsx&amp;sheet=A0&amp;row=176&amp;col=9&amp;number=&amp;sourceID=34","")</f>
        <v/>
      </c>
      <c r="J176" s="4" t="str">
        <f>HYPERLINK("http://141.218.60.56/~jnz1568/getInfo.php?workbook=06_02.xlsx&amp;sheet=A0&amp;row=176&amp;col=10&amp;number=&amp;sourceID=34","")</f>
        <v/>
      </c>
      <c r="K176" s="4" t="str">
        <f>HYPERLINK("http://141.218.60.56/~jnz1568/getInfo.php?workbook=06_02.xlsx&amp;sheet=A0&amp;row=176&amp;col=11&amp;number=539900&amp;sourceID=30","539900")</f>
        <v>539900</v>
      </c>
      <c r="L176" s="4" t="str">
        <f>HYPERLINK("http://141.218.60.56/~jnz1568/getInfo.php?workbook=06_02.xlsx&amp;sheet=A0&amp;row=176&amp;col=12&amp;number=&amp;sourceID=30","")</f>
        <v/>
      </c>
      <c r="M176" s="4" t="str">
        <f>HYPERLINK("http://141.218.60.56/~jnz1568/getInfo.php?workbook=06_02.xlsx&amp;sheet=A0&amp;row=176&amp;col=13&amp;number=&amp;sourceID=30","")</f>
        <v/>
      </c>
      <c r="N176" s="4" t="str">
        <f>HYPERLINK("http://141.218.60.56/~jnz1568/getInfo.php?workbook=06_02.xlsx&amp;sheet=A0&amp;row=176&amp;col=14&amp;number=0.01851&amp;sourceID=30","0.01851")</f>
        <v>0.01851</v>
      </c>
      <c r="O176" s="4" t="str">
        <f>HYPERLINK("http://141.218.60.56/~jnz1568/getInfo.php?workbook=06_02.xlsx&amp;sheet=A0&amp;row=176&amp;col=15&amp;number=770600&amp;sourceID=32","770600")</f>
        <v>770600</v>
      </c>
      <c r="P176" s="4" t="str">
        <f>HYPERLINK("http://141.218.60.56/~jnz1568/getInfo.php?workbook=06_02.xlsx&amp;sheet=A0&amp;row=176&amp;col=16&amp;number=&amp;sourceID=32","")</f>
        <v/>
      </c>
      <c r="Q176" s="4" t="str">
        <f>HYPERLINK("http://141.218.60.56/~jnz1568/getInfo.php?workbook=06_02.xlsx&amp;sheet=A0&amp;row=176&amp;col=17&amp;number=&amp;sourceID=32","")</f>
        <v/>
      </c>
      <c r="R176" s="4" t="str">
        <f>HYPERLINK("http://141.218.60.56/~jnz1568/getInfo.php?workbook=06_02.xlsx&amp;sheet=A0&amp;row=176&amp;col=18&amp;number=0.019&amp;sourceID=32","0.019")</f>
        <v>0.019</v>
      </c>
    </row>
    <row r="177" spans="1:18">
      <c r="A177" s="3">
        <v>6</v>
      </c>
      <c r="B177" s="3">
        <v>2</v>
      </c>
      <c r="C177" s="3">
        <v>21</v>
      </c>
      <c r="D177" s="3">
        <v>17</v>
      </c>
      <c r="E177" s="3">
        <f>((1/(INDEX(E0!J$4:J$52,C177,1)-INDEX(E0!J$4:J$52,D177,1))))*100000000</f>
        <v>0</v>
      </c>
      <c r="F177" s="4" t="str">
        <f>HYPERLINK("http://141.218.60.56/~jnz1568/getInfo.php?workbook=06_02.xlsx&amp;sheet=A0&amp;row=177&amp;col=6&amp;number=&amp;sourceID=27","")</f>
        <v/>
      </c>
      <c r="G177" s="4" t="str">
        <f>HYPERLINK("http://141.218.60.56/~jnz1568/getInfo.php?workbook=06_02.xlsx&amp;sheet=A0&amp;row=177&amp;col=7&amp;number=&amp;sourceID=34","")</f>
        <v/>
      </c>
      <c r="H177" s="4" t="str">
        <f>HYPERLINK("http://141.218.60.56/~jnz1568/getInfo.php?workbook=06_02.xlsx&amp;sheet=A0&amp;row=177&amp;col=8&amp;number=&amp;sourceID=34","")</f>
        <v/>
      </c>
      <c r="I177" s="4" t="str">
        <f>HYPERLINK("http://141.218.60.56/~jnz1568/getInfo.php?workbook=06_02.xlsx&amp;sheet=A0&amp;row=177&amp;col=9&amp;number=&amp;sourceID=34","")</f>
        <v/>
      </c>
      <c r="J177" s="4" t="str">
        <f>HYPERLINK("http://141.218.60.56/~jnz1568/getInfo.php?workbook=06_02.xlsx&amp;sheet=A0&amp;row=177&amp;col=10&amp;number=&amp;sourceID=34","")</f>
        <v/>
      </c>
      <c r="K177" s="4" t="str">
        <f>HYPERLINK("http://141.218.60.56/~jnz1568/getInfo.php?workbook=06_02.xlsx&amp;sheet=A0&amp;row=177&amp;col=11&amp;number=&amp;sourceID=30","")</f>
        <v/>
      </c>
      <c r="L177" s="4" t="str">
        <f>HYPERLINK("http://141.218.60.56/~jnz1568/getInfo.php?workbook=06_02.xlsx&amp;sheet=A0&amp;row=177&amp;col=12&amp;number=2.572&amp;sourceID=30","2.572")</f>
        <v>2.572</v>
      </c>
      <c r="M177" s="4" t="str">
        <f>HYPERLINK("http://141.218.60.56/~jnz1568/getInfo.php?workbook=06_02.xlsx&amp;sheet=A0&amp;row=177&amp;col=13&amp;number=0.002431&amp;sourceID=30","0.002431")</f>
        <v>0.002431</v>
      </c>
      <c r="N177" s="4" t="str">
        <f>HYPERLINK("http://141.218.60.56/~jnz1568/getInfo.php?workbook=06_02.xlsx&amp;sheet=A0&amp;row=177&amp;col=14&amp;number=&amp;sourceID=30","")</f>
        <v/>
      </c>
      <c r="O177" s="4" t="str">
        <f>HYPERLINK("http://141.218.60.56/~jnz1568/getInfo.php?workbook=06_02.xlsx&amp;sheet=A0&amp;row=177&amp;col=15&amp;number=&amp;sourceID=32","")</f>
        <v/>
      </c>
      <c r="P177" s="4" t="str">
        <f>HYPERLINK("http://141.218.60.56/~jnz1568/getInfo.php?workbook=06_02.xlsx&amp;sheet=A0&amp;row=177&amp;col=16&amp;number=2.77&amp;sourceID=32","2.77")</f>
        <v>2.77</v>
      </c>
      <c r="Q177" s="4" t="str">
        <f>HYPERLINK("http://141.218.60.56/~jnz1568/getInfo.php?workbook=06_02.xlsx&amp;sheet=A0&amp;row=177&amp;col=17&amp;number=0.002352&amp;sourceID=32","0.002352")</f>
        <v>0.002352</v>
      </c>
      <c r="R177" s="4" t="str">
        <f>HYPERLINK("http://141.218.60.56/~jnz1568/getInfo.php?workbook=06_02.xlsx&amp;sheet=A0&amp;row=177&amp;col=18&amp;number=&amp;sourceID=32","")</f>
        <v/>
      </c>
    </row>
    <row r="178" spans="1:18">
      <c r="A178" s="3">
        <v>6</v>
      </c>
      <c r="B178" s="3">
        <v>2</v>
      </c>
      <c r="C178" s="3">
        <v>21</v>
      </c>
      <c r="D178" s="3">
        <v>18</v>
      </c>
      <c r="E178" s="3">
        <f>((1/(INDEX(E0!J$4:J$52,C178,1)-INDEX(E0!J$4:J$52,D178,1))))*100000000</f>
        <v>0</v>
      </c>
      <c r="F178" s="4" t="str">
        <f>HYPERLINK("http://141.218.60.56/~jnz1568/getInfo.php?workbook=06_02.xlsx&amp;sheet=A0&amp;row=178&amp;col=6&amp;number=&amp;sourceID=27","")</f>
        <v/>
      </c>
      <c r="G178" s="4" t="str">
        <f>HYPERLINK("http://141.218.60.56/~jnz1568/getInfo.php?workbook=06_02.xlsx&amp;sheet=A0&amp;row=178&amp;col=7&amp;number=&amp;sourceID=34","")</f>
        <v/>
      </c>
      <c r="H178" s="4" t="str">
        <f>HYPERLINK("http://141.218.60.56/~jnz1568/getInfo.php?workbook=06_02.xlsx&amp;sheet=A0&amp;row=178&amp;col=8&amp;number=&amp;sourceID=34","")</f>
        <v/>
      </c>
      <c r="I178" s="4" t="str">
        <f>HYPERLINK("http://141.218.60.56/~jnz1568/getInfo.php?workbook=06_02.xlsx&amp;sheet=A0&amp;row=178&amp;col=9&amp;number=&amp;sourceID=34","")</f>
        <v/>
      </c>
      <c r="J178" s="4" t="str">
        <f>HYPERLINK("http://141.218.60.56/~jnz1568/getInfo.php?workbook=06_02.xlsx&amp;sheet=A0&amp;row=178&amp;col=10&amp;number=&amp;sourceID=34","")</f>
        <v/>
      </c>
      <c r="K178" s="4" t="str">
        <f>HYPERLINK("http://141.218.60.56/~jnz1568/getInfo.php?workbook=06_02.xlsx&amp;sheet=A0&amp;row=178&amp;col=11&amp;number=1638000&amp;sourceID=30","1638000")</f>
        <v>1638000</v>
      </c>
      <c r="L178" s="4" t="str">
        <f>HYPERLINK("http://141.218.60.56/~jnz1568/getInfo.php?workbook=06_02.xlsx&amp;sheet=A0&amp;row=178&amp;col=12&amp;number=&amp;sourceID=30","")</f>
        <v/>
      </c>
      <c r="M178" s="4" t="str">
        <f>HYPERLINK("http://141.218.60.56/~jnz1568/getInfo.php?workbook=06_02.xlsx&amp;sheet=A0&amp;row=178&amp;col=13&amp;number=&amp;sourceID=30","")</f>
        <v/>
      </c>
      <c r="N178" s="4" t="str">
        <f>HYPERLINK("http://141.218.60.56/~jnz1568/getInfo.php?workbook=06_02.xlsx&amp;sheet=A0&amp;row=178&amp;col=14&amp;number=1.414e-07&amp;sourceID=30","1.414e-07")</f>
        <v>1.414e-07</v>
      </c>
      <c r="O178" s="4" t="str">
        <f>HYPERLINK("http://141.218.60.56/~jnz1568/getInfo.php?workbook=06_02.xlsx&amp;sheet=A0&amp;row=178&amp;col=15&amp;number=1576000&amp;sourceID=32","1576000")</f>
        <v>1576000</v>
      </c>
      <c r="P178" s="4" t="str">
        <f>HYPERLINK("http://141.218.60.56/~jnz1568/getInfo.php?workbook=06_02.xlsx&amp;sheet=A0&amp;row=178&amp;col=16&amp;number=&amp;sourceID=32","")</f>
        <v/>
      </c>
      <c r="Q178" s="4" t="str">
        <f>HYPERLINK("http://141.218.60.56/~jnz1568/getInfo.php?workbook=06_02.xlsx&amp;sheet=A0&amp;row=178&amp;col=17&amp;number=&amp;sourceID=32","")</f>
        <v/>
      </c>
      <c r="R178" s="4" t="str">
        <f>HYPERLINK("http://141.218.60.56/~jnz1568/getInfo.php?workbook=06_02.xlsx&amp;sheet=A0&amp;row=178&amp;col=18&amp;number=1.331e-07&amp;sourceID=32","1.331e-07")</f>
        <v>1.331e-07</v>
      </c>
    </row>
    <row r="179" spans="1:18">
      <c r="A179" s="3">
        <v>6</v>
      </c>
      <c r="B179" s="3">
        <v>2</v>
      </c>
      <c r="C179" s="3">
        <v>22</v>
      </c>
      <c r="D179" s="3">
        <v>1</v>
      </c>
      <c r="E179" s="3">
        <f>((1/(INDEX(E0!J$4:J$52,C179,1)-INDEX(E0!J$4:J$52,D179,1))))*100000000</f>
        <v>0</v>
      </c>
      <c r="F179" s="4" t="str">
        <f>HYPERLINK("http://141.218.60.56/~jnz1568/getInfo.php?workbook=06_02.xlsx&amp;sheet=A0&amp;row=179&amp;col=6&amp;number=&amp;sourceID=27","")</f>
        <v/>
      </c>
      <c r="G179" s="4" t="str">
        <f>HYPERLINK("http://141.218.60.56/~jnz1568/getInfo.php?workbook=06_02.xlsx&amp;sheet=A0&amp;row=179&amp;col=7&amp;number=&amp;sourceID=34","")</f>
        <v/>
      </c>
      <c r="H179" s="4" t="str">
        <f>HYPERLINK("http://141.218.60.56/~jnz1568/getInfo.php?workbook=06_02.xlsx&amp;sheet=A0&amp;row=179&amp;col=8&amp;number=&amp;sourceID=34","")</f>
        <v/>
      </c>
      <c r="I179" s="4" t="str">
        <f>HYPERLINK("http://141.218.60.56/~jnz1568/getInfo.php?workbook=06_02.xlsx&amp;sheet=A0&amp;row=179&amp;col=9&amp;number=&amp;sourceID=34","")</f>
        <v/>
      </c>
      <c r="J179" s="4" t="str">
        <f>HYPERLINK("http://141.218.60.56/~jnz1568/getInfo.php?workbook=06_02.xlsx&amp;sheet=A0&amp;row=179&amp;col=10&amp;number=&amp;sourceID=34","")</f>
        <v/>
      </c>
      <c r="K179" s="4" t="str">
        <f>HYPERLINK("http://141.218.60.56/~jnz1568/getInfo.php?workbook=06_02.xlsx&amp;sheet=A0&amp;row=179&amp;col=11&amp;number=&amp;sourceID=30","")</f>
        <v/>
      </c>
      <c r="L179" s="4" t="str">
        <f>HYPERLINK("http://141.218.60.56/~jnz1568/getInfo.php?workbook=06_02.xlsx&amp;sheet=A0&amp;row=179&amp;col=12&amp;number=&amp;sourceID=30","")</f>
        <v/>
      </c>
      <c r="M179" s="4" t="str">
        <f>HYPERLINK("http://141.218.60.56/~jnz1568/getInfo.php?workbook=06_02.xlsx&amp;sheet=A0&amp;row=179&amp;col=13&amp;number=&amp;sourceID=30","")</f>
        <v/>
      </c>
      <c r="N179" s="4" t="str">
        <f>HYPERLINK("http://141.218.60.56/~jnz1568/getInfo.php?workbook=06_02.xlsx&amp;sheet=A0&amp;row=179&amp;col=14&amp;number=5571&amp;sourceID=30","5571")</f>
        <v>5571</v>
      </c>
      <c r="O179" s="4" t="str">
        <f>HYPERLINK("http://141.218.60.56/~jnz1568/getInfo.php?workbook=06_02.xlsx&amp;sheet=A0&amp;row=179&amp;col=15&amp;number=&amp;sourceID=32","")</f>
        <v/>
      </c>
      <c r="P179" s="4" t="str">
        <f>HYPERLINK("http://141.218.60.56/~jnz1568/getInfo.php?workbook=06_02.xlsx&amp;sheet=A0&amp;row=179&amp;col=16&amp;number=&amp;sourceID=32","")</f>
        <v/>
      </c>
      <c r="Q179" s="4" t="str">
        <f>HYPERLINK("http://141.218.60.56/~jnz1568/getInfo.php?workbook=06_02.xlsx&amp;sheet=A0&amp;row=179&amp;col=17&amp;number=&amp;sourceID=32","")</f>
        <v/>
      </c>
      <c r="R179" s="4" t="str">
        <f>HYPERLINK("http://141.218.60.56/~jnz1568/getInfo.php?workbook=06_02.xlsx&amp;sheet=A0&amp;row=179&amp;col=18&amp;number=4238&amp;sourceID=32","4238")</f>
        <v>4238</v>
      </c>
    </row>
    <row r="180" spans="1:18">
      <c r="A180" s="3">
        <v>6</v>
      </c>
      <c r="B180" s="3">
        <v>2</v>
      </c>
      <c r="C180" s="3">
        <v>22</v>
      </c>
      <c r="D180" s="3">
        <v>2</v>
      </c>
      <c r="E180" s="3">
        <f>((1/(INDEX(E0!J$4:J$52,C180,1)-INDEX(E0!J$4:J$52,D180,1))))*100000000</f>
        <v>0</v>
      </c>
      <c r="F180" s="4" t="str">
        <f>HYPERLINK("http://141.218.60.56/~jnz1568/getInfo.php?workbook=06_02.xlsx&amp;sheet=A0&amp;row=180&amp;col=6&amp;number=&amp;sourceID=27","")</f>
        <v/>
      </c>
      <c r="G180" s="4" t="str">
        <f>HYPERLINK("http://141.218.60.56/~jnz1568/getInfo.php?workbook=06_02.xlsx&amp;sheet=A0&amp;row=180&amp;col=7&amp;number=&amp;sourceID=34","")</f>
        <v/>
      </c>
      <c r="H180" s="4" t="str">
        <f>HYPERLINK("http://141.218.60.56/~jnz1568/getInfo.php?workbook=06_02.xlsx&amp;sheet=A0&amp;row=180&amp;col=8&amp;number=&amp;sourceID=34","")</f>
        <v/>
      </c>
      <c r="I180" s="4" t="str">
        <f>HYPERLINK("http://141.218.60.56/~jnz1568/getInfo.php?workbook=06_02.xlsx&amp;sheet=A0&amp;row=180&amp;col=9&amp;number=&amp;sourceID=34","")</f>
        <v/>
      </c>
      <c r="J180" s="4" t="str">
        <f>HYPERLINK("http://141.218.60.56/~jnz1568/getInfo.php?workbook=06_02.xlsx&amp;sheet=A0&amp;row=180&amp;col=10&amp;number=&amp;sourceID=34","")</f>
        <v/>
      </c>
      <c r="K180" s="4" t="str">
        <f>HYPERLINK("http://141.218.60.56/~jnz1568/getInfo.php?workbook=06_02.xlsx&amp;sheet=A0&amp;row=180&amp;col=11&amp;number=5682000000&amp;sourceID=30","5682000000")</f>
        <v>5682000000</v>
      </c>
      <c r="L180" s="4" t="str">
        <f>HYPERLINK("http://141.218.60.56/~jnz1568/getInfo.php?workbook=06_02.xlsx&amp;sheet=A0&amp;row=180&amp;col=12&amp;number=&amp;sourceID=30","")</f>
        <v/>
      </c>
      <c r="M180" s="4" t="str">
        <f>HYPERLINK("http://141.218.60.56/~jnz1568/getInfo.php?workbook=06_02.xlsx&amp;sheet=A0&amp;row=180&amp;col=13&amp;number=&amp;sourceID=30","")</f>
        <v/>
      </c>
      <c r="N180" s="4" t="str">
        <f>HYPERLINK("http://141.218.60.56/~jnz1568/getInfo.php?workbook=06_02.xlsx&amp;sheet=A0&amp;row=180&amp;col=14&amp;number=12.51&amp;sourceID=30","12.51")</f>
        <v>12.51</v>
      </c>
      <c r="O180" s="4" t="str">
        <f>HYPERLINK("http://141.218.60.56/~jnz1568/getInfo.php?workbook=06_02.xlsx&amp;sheet=A0&amp;row=180&amp;col=15&amp;number=6184000000&amp;sourceID=32","6184000000")</f>
        <v>6184000000</v>
      </c>
      <c r="P180" s="4" t="str">
        <f>HYPERLINK("http://141.218.60.56/~jnz1568/getInfo.php?workbook=06_02.xlsx&amp;sheet=A0&amp;row=180&amp;col=16&amp;number=&amp;sourceID=32","")</f>
        <v/>
      </c>
      <c r="Q180" s="4" t="str">
        <f>HYPERLINK("http://141.218.60.56/~jnz1568/getInfo.php?workbook=06_02.xlsx&amp;sheet=A0&amp;row=180&amp;col=17&amp;number=&amp;sourceID=32","")</f>
        <v/>
      </c>
      <c r="R180" s="4" t="str">
        <f>HYPERLINK("http://141.218.60.56/~jnz1568/getInfo.php?workbook=06_02.xlsx&amp;sheet=A0&amp;row=180&amp;col=18&amp;number=13.64&amp;sourceID=32","13.64")</f>
        <v>13.64</v>
      </c>
    </row>
    <row r="181" spans="1:18">
      <c r="A181" s="3">
        <v>6</v>
      </c>
      <c r="B181" s="3">
        <v>2</v>
      </c>
      <c r="C181" s="3">
        <v>22</v>
      </c>
      <c r="D181" s="3">
        <v>3</v>
      </c>
      <c r="E181" s="3">
        <f>((1/(INDEX(E0!J$4:J$52,C181,1)-INDEX(E0!J$4:J$52,D181,1))))*100000000</f>
        <v>0</v>
      </c>
      <c r="F181" s="4" t="str">
        <f>HYPERLINK("http://141.218.60.56/~jnz1568/getInfo.php?workbook=06_02.xlsx&amp;sheet=A0&amp;row=181&amp;col=6&amp;number=&amp;sourceID=27","")</f>
        <v/>
      </c>
      <c r="G181" s="4" t="str">
        <f>HYPERLINK("http://141.218.60.56/~jnz1568/getInfo.php?workbook=06_02.xlsx&amp;sheet=A0&amp;row=181&amp;col=7&amp;number=&amp;sourceID=34","")</f>
        <v/>
      </c>
      <c r="H181" s="4" t="str">
        <f>HYPERLINK("http://141.218.60.56/~jnz1568/getInfo.php?workbook=06_02.xlsx&amp;sheet=A0&amp;row=181&amp;col=8&amp;number=&amp;sourceID=34","")</f>
        <v/>
      </c>
      <c r="I181" s="4" t="str">
        <f>HYPERLINK("http://141.218.60.56/~jnz1568/getInfo.php?workbook=06_02.xlsx&amp;sheet=A0&amp;row=181&amp;col=9&amp;number=&amp;sourceID=34","")</f>
        <v/>
      </c>
      <c r="J181" s="4" t="str">
        <f>HYPERLINK("http://141.218.60.56/~jnz1568/getInfo.php?workbook=06_02.xlsx&amp;sheet=A0&amp;row=181&amp;col=10&amp;number=&amp;sourceID=34","")</f>
        <v/>
      </c>
      <c r="K181" s="4" t="str">
        <f>HYPERLINK("http://141.218.60.56/~jnz1568/getInfo.php?workbook=06_02.xlsx&amp;sheet=A0&amp;row=181&amp;col=11&amp;number=&amp;sourceID=30","")</f>
        <v/>
      </c>
      <c r="L181" s="4" t="str">
        <f>HYPERLINK("http://141.218.60.56/~jnz1568/getInfo.php?workbook=06_02.xlsx&amp;sheet=A0&amp;row=181&amp;col=12&amp;number=&amp;sourceID=30","")</f>
        <v/>
      </c>
      <c r="M181" s="4" t="str">
        <f>HYPERLINK("http://141.218.60.56/~jnz1568/getInfo.php?workbook=06_02.xlsx&amp;sheet=A0&amp;row=181&amp;col=13&amp;number=&amp;sourceID=30","")</f>
        <v/>
      </c>
      <c r="N181" s="4" t="str">
        <f>HYPERLINK("http://141.218.60.56/~jnz1568/getInfo.php?workbook=06_02.xlsx&amp;sheet=A0&amp;row=181&amp;col=14&amp;number=8.931&amp;sourceID=30","8.931")</f>
        <v>8.931</v>
      </c>
      <c r="O181" s="4" t="str">
        <f>HYPERLINK("http://141.218.60.56/~jnz1568/getInfo.php?workbook=06_02.xlsx&amp;sheet=A0&amp;row=181&amp;col=15&amp;number=&amp;sourceID=32","")</f>
        <v/>
      </c>
      <c r="P181" s="4" t="str">
        <f>HYPERLINK("http://141.218.60.56/~jnz1568/getInfo.php?workbook=06_02.xlsx&amp;sheet=A0&amp;row=181&amp;col=16&amp;number=&amp;sourceID=32","")</f>
        <v/>
      </c>
      <c r="Q181" s="4" t="str">
        <f>HYPERLINK("http://141.218.60.56/~jnz1568/getInfo.php?workbook=06_02.xlsx&amp;sheet=A0&amp;row=181&amp;col=17&amp;number=&amp;sourceID=32","")</f>
        <v/>
      </c>
      <c r="R181" s="4" t="str">
        <f>HYPERLINK("http://141.218.60.56/~jnz1568/getInfo.php?workbook=06_02.xlsx&amp;sheet=A0&amp;row=181&amp;col=18&amp;number=8.039&amp;sourceID=32","8.039")</f>
        <v>8.039</v>
      </c>
    </row>
    <row r="182" spans="1:18">
      <c r="A182" s="3">
        <v>6</v>
      </c>
      <c r="B182" s="3">
        <v>2</v>
      </c>
      <c r="C182" s="3">
        <v>22</v>
      </c>
      <c r="D182" s="3">
        <v>4</v>
      </c>
      <c r="E182" s="3">
        <f>((1/(INDEX(E0!J$4:J$52,C182,1)-INDEX(E0!J$4:J$52,D182,1))))*100000000</f>
        <v>0</v>
      </c>
      <c r="F182" s="4" t="str">
        <f>HYPERLINK("http://141.218.60.56/~jnz1568/getInfo.php?workbook=06_02.xlsx&amp;sheet=A0&amp;row=182&amp;col=6&amp;number=&amp;sourceID=27","")</f>
        <v/>
      </c>
      <c r="G182" s="4" t="str">
        <f>HYPERLINK("http://141.218.60.56/~jnz1568/getInfo.php?workbook=06_02.xlsx&amp;sheet=A0&amp;row=182&amp;col=7&amp;number=&amp;sourceID=34","")</f>
        <v/>
      </c>
      <c r="H182" s="4" t="str">
        <f>HYPERLINK("http://141.218.60.56/~jnz1568/getInfo.php?workbook=06_02.xlsx&amp;sheet=A0&amp;row=182&amp;col=8&amp;number=&amp;sourceID=34","")</f>
        <v/>
      </c>
      <c r="I182" s="4" t="str">
        <f>HYPERLINK("http://141.218.60.56/~jnz1568/getInfo.php?workbook=06_02.xlsx&amp;sheet=A0&amp;row=182&amp;col=9&amp;number=&amp;sourceID=34","")</f>
        <v/>
      </c>
      <c r="J182" s="4" t="str">
        <f>HYPERLINK("http://141.218.60.56/~jnz1568/getInfo.php?workbook=06_02.xlsx&amp;sheet=A0&amp;row=182&amp;col=10&amp;number=&amp;sourceID=34","")</f>
        <v/>
      </c>
      <c r="K182" s="4" t="str">
        <f>HYPERLINK("http://141.218.60.56/~jnz1568/getInfo.php?workbook=06_02.xlsx&amp;sheet=A0&amp;row=182&amp;col=11&amp;number=&amp;sourceID=30","")</f>
        <v/>
      </c>
      <c r="L182" s="4" t="str">
        <f>HYPERLINK("http://141.218.60.56/~jnz1568/getInfo.php?workbook=06_02.xlsx&amp;sheet=A0&amp;row=182&amp;col=12&amp;number=64930&amp;sourceID=30","64930")</f>
        <v>64930</v>
      </c>
      <c r="M182" s="4" t="str">
        <f>HYPERLINK("http://141.218.60.56/~jnz1568/getInfo.php?workbook=06_02.xlsx&amp;sheet=A0&amp;row=182&amp;col=13&amp;number=0.01474&amp;sourceID=30","0.01474")</f>
        <v>0.01474</v>
      </c>
      <c r="N182" s="4" t="str">
        <f>HYPERLINK("http://141.218.60.56/~jnz1568/getInfo.php?workbook=06_02.xlsx&amp;sheet=A0&amp;row=182&amp;col=14&amp;number=&amp;sourceID=30","")</f>
        <v/>
      </c>
      <c r="O182" s="4" t="str">
        <f>HYPERLINK("http://141.218.60.56/~jnz1568/getInfo.php?workbook=06_02.xlsx&amp;sheet=A0&amp;row=182&amp;col=15&amp;number=&amp;sourceID=32","")</f>
        <v/>
      </c>
      <c r="P182" s="4" t="str">
        <f>HYPERLINK("http://141.218.60.56/~jnz1568/getInfo.php?workbook=06_02.xlsx&amp;sheet=A0&amp;row=182&amp;col=16&amp;number=77760&amp;sourceID=32","77760")</f>
        <v>77760</v>
      </c>
      <c r="Q182" s="4" t="str">
        <f>HYPERLINK("http://141.218.60.56/~jnz1568/getInfo.php?workbook=06_02.xlsx&amp;sheet=A0&amp;row=182&amp;col=17&amp;number=0.01641&amp;sourceID=32","0.01641")</f>
        <v>0.01641</v>
      </c>
      <c r="R182" s="4" t="str">
        <f>HYPERLINK("http://141.218.60.56/~jnz1568/getInfo.php?workbook=06_02.xlsx&amp;sheet=A0&amp;row=182&amp;col=18&amp;number=&amp;sourceID=32","")</f>
        <v/>
      </c>
    </row>
    <row r="183" spans="1:18">
      <c r="A183" s="3">
        <v>6</v>
      </c>
      <c r="B183" s="3">
        <v>2</v>
      </c>
      <c r="C183" s="3">
        <v>22</v>
      </c>
      <c r="D183" s="3">
        <v>5</v>
      </c>
      <c r="E183" s="3">
        <f>((1/(INDEX(E0!J$4:J$52,C183,1)-INDEX(E0!J$4:J$52,D183,1))))*100000000</f>
        <v>0</v>
      </c>
      <c r="F183" s="4" t="str">
        <f>HYPERLINK("http://141.218.60.56/~jnz1568/getInfo.php?workbook=06_02.xlsx&amp;sheet=A0&amp;row=183&amp;col=6&amp;number=&amp;sourceID=27","")</f>
        <v/>
      </c>
      <c r="G183" s="4" t="str">
        <f>HYPERLINK("http://141.218.60.56/~jnz1568/getInfo.php?workbook=06_02.xlsx&amp;sheet=A0&amp;row=183&amp;col=7&amp;number=&amp;sourceID=34","")</f>
        <v/>
      </c>
      <c r="H183" s="4" t="str">
        <f>HYPERLINK("http://141.218.60.56/~jnz1568/getInfo.php?workbook=06_02.xlsx&amp;sheet=A0&amp;row=183&amp;col=8&amp;number=&amp;sourceID=34","")</f>
        <v/>
      </c>
      <c r="I183" s="4" t="str">
        <f>HYPERLINK("http://141.218.60.56/~jnz1568/getInfo.php?workbook=06_02.xlsx&amp;sheet=A0&amp;row=183&amp;col=9&amp;number=&amp;sourceID=34","")</f>
        <v/>
      </c>
      <c r="J183" s="4" t="str">
        <f>HYPERLINK("http://141.218.60.56/~jnz1568/getInfo.php?workbook=06_02.xlsx&amp;sheet=A0&amp;row=183&amp;col=10&amp;number=&amp;sourceID=34","")</f>
        <v/>
      </c>
      <c r="K183" s="4" t="str">
        <f>HYPERLINK("http://141.218.60.56/~jnz1568/getInfo.php?workbook=06_02.xlsx&amp;sheet=A0&amp;row=183&amp;col=11&amp;number=&amp;sourceID=30","")</f>
        <v/>
      </c>
      <c r="L183" s="4" t="str">
        <f>HYPERLINK("http://141.218.60.56/~jnz1568/getInfo.php?workbook=06_02.xlsx&amp;sheet=A0&amp;row=183&amp;col=12&amp;number=28910&amp;sourceID=30","28910")</f>
        <v>28910</v>
      </c>
      <c r="M183" s="4" t="str">
        <f>HYPERLINK("http://141.218.60.56/~jnz1568/getInfo.php?workbook=06_02.xlsx&amp;sheet=A0&amp;row=183&amp;col=13&amp;number=&amp;sourceID=30","")</f>
        <v/>
      </c>
      <c r="N183" s="4" t="str">
        <f>HYPERLINK("http://141.218.60.56/~jnz1568/getInfo.php?workbook=06_02.xlsx&amp;sheet=A0&amp;row=183&amp;col=14&amp;number=&amp;sourceID=30","")</f>
        <v/>
      </c>
      <c r="O183" s="4" t="str">
        <f>HYPERLINK("http://141.218.60.56/~jnz1568/getInfo.php?workbook=06_02.xlsx&amp;sheet=A0&amp;row=183&amp;col=15&amp;number=&amp;sourceID=32","")</f>
        <v/>
      </c>
      <c r="P183" s="4" t="str">
        <f>HYPERLINK("http://141.218.60.56/~jnz1568/getInfo.php?workbook=06_02.xlsx&amp;sheet=A0&amp;row=183&amp;col=16&amp;number=34550&amp;sourceID=32","34550")</f>
        <v>34550</v>
      </c>
      <c r="Q183" s="4" t="str">
        <f>HYPERLINK("http://141.218.60.56/~jnz1568/getInfo.php?workbook=06_02.xlsx&amp;sheet=A0&amp;row=183&amp;col=17&amp;number=&amp;sourceID=32","")</f>
        <v/>
      </c>
      <c r="R183" s="4" t="str">
        <f>HYPERLINK("http://141.218.60.56/~jnz1568/getInfo.php?workbook=06_02.xlsx&amp;sheet=A0&amp;row=183&amp;col=18&amp;number=&amp;sourceID=32","")</f>
        <v/>
      </c>
    </row>
    <row r="184" spans="1:18">
      <c r="A184" s="3">
        <v>6</v>
      </c>
      <c r="B184" s="3">
        <v>2</v>
      </c>
      <c r="C184" s="3">
        <v>22</v>
      </c>
      <c r="D184" s="3">
        <v>6</v>
      </c>
      <c r="E184" s="3">
        <f>((1/(INDEX(E0!J$4:J$52,C184,1)-INDEX(E0!J$4:J$52,D184,1))))*100000000</f>
        <v>0</v>
      </c>
      <c r="F184" s="4" t="str">
        <f>HYPERLINK("http://141.218.60.56/~jnz1568/getInfo.php?workbook=06_02.xlsx&amp;sheet=A0&amp;row=184&amp;col=6&amp;number=&amp;sourceID=27","")</f>
        <v/>
      </c>
      <c r="G184" s="4" t="str">
        <f>HYPERLINK("http://141.218.60.56/~jnz1568/getInfo.php?workbook=06_02.xlsx&amp;sheet=A0&amp;row=184&amp;col=7&amp;number=&amp;sourceID=34","")</f>
        <v/>
      </c>
      <c r="H184" s="4" t="str">
        <f>HYPERLINK("http://141.218.60.56/~jnz1568/getInfo.php?workbook=06_02.xlsx&amp;sheet=A0&amp;row=184&amp;col=8&amp;number=&amp;sourceID=34","")</f>
        <v/>
      </c>
      <c r="I184" s="4" t="str">
        <f>HYPERLINK("http://141.218.60.56/~jnz1568/getInfo.php?workbook=06_02.xlsx&amp;sheet=A0&amp;row=184&amp;col=9&amp;number=&amp;sourceID=34","")</f>
        <v/>
      </c>
      <c r="J184" s="4" t="str">
        <f>HYPERLINK("http://141.218.60.56/~jnz1568/getInfo.php?workbook=06_02.xlsx&amp;sheet=A0&amp;row=184&amp;col=10&amp;number=&amp;sourceID=34","")</f>
        <v/>
      </c>
      <c r="K184" s="4" t="str">
        <f>HYPERLINK("http://141.218.60.56/~jnz1568/getInfo.php?workbook=06_02.xlsx&amp;sheet=A0&amp;row=184&amp;col=11&amp;number=&amp;sourceID=30","")</f>
        <v/>
      </c>
      <c r="L184" s="4" t="str">
        <f>HYPERLINK("http://141.218.60.56/~jnz1568/getInfo.php?workbook=06_02.xlsx&amp;sheet=A0&amp;row=184&amp;col=12&amp;number=50410&amp;sourceID=30","50410")</f>
        <v>50410</v>
      </c>
      <c r="M184" s="4" t="str">
        <f>HYPERLINK("http://141.218.60.56/~jnz1568/getInfo.php?workbook=06_02.xlsx&amp;sheet=A0&amp;row=184&amp;col=13&amp;number=0.03167&amp;sourceID=30","0.03167")</f>
        <v>0.03167</v>
      </c>
      <c r="N184" s="4" t="str">
        <f>HYPERLINK("http://141.218.60.56/~jnz1568/getInfo.php?workbook=06_02.xlsx&amp;sheet=A0&amp;row=184&amp;col=14&amp;number=&amp;sourceID=30","")</f>
        <v/>
      </c>
      <c r="O184" s="4" t="str">
        <f>HYPERLINK("http://141.218.60.56/~jnz1568/getInfo.php?workbook=06_02.xlsx&amp;sheet=A0&amp;row=184&amp;col=15&amp;number=&amp;sourceID=32","")</f>
        <v/>
      </c>
      <c r="P184" s="4" t="str">
        <f>HYPERLINK("http://141.218.60.56/~jnz1568/getInfo.php?workbook=06_02.xlsx&amp;sheet=A0&amp;row=184&amp;col=16&amp;number=60430&amp;sourceID=32","60430")</f>
        <v>60430</v>
      </c>
      <c r="Q184" s="4" t="str">
        <f>HYPERLINK("http://141.218.60.56/~jnz1568/getInfo.php?workbook=06_02.xlsx&amp;sheet=A0&amp;row=184&amp;col=17&amp;number=0.02825&amp;sourceID=32","0.02825")</f>
        <v>0.02825</v>
      </c>
      <c r="R184" s="4" t="str">
        <f>HYPERLINK("http://141.218.60.56/~jnz1568/getInfo.php?workbook=06_02.xlsx&amp;sheet=A0&amp;row=184&amp;col=18&amp;number=&amp;sourceID=32","")</f>
        <v/>
      </c>
    </row>
    <row r="185" spans="1:18">
      <c r="A185" s="3">
        <v>6</v>
      </c>
      <c r="B185" s="3">
        <v>2</v>
      </c>
      <c r="C185" s="3">
        <v>22</v>
      </c>
      <c r="D185" s="3">
        <v>7</v>
      </c>
      <c r="E185" s="3">
        <f>((1/(INDEX(E0!J$4:J$52,C185,1)-INDEX(E0!J$4:J$52,D185,1))))*100000000</f>
        <v>0</v>
      </c>
      <c r="F185" s="4" t="str">
        <f>HYPERLINK("http://141.218.60.56/~jnz1568/getInfo.php?workbook=06_02.xlsx&amp;sheet=A0&amp;row=185&amp;col=6&amp;number=&amp;sourceID=27","")</f>
        <v/>
      </c>
      <c r="G185" s="4" t="str">
        <f>HYPERLINK("http://141.218.60.56/~jnz1568/getInfo.php?workbook=06_02.xlsx&amp;sheet=A0&amp;row=185&amp;col=7&amp;number=&amp;sourceID=34","")</f>
        <v/>
      </c>
      <c r="H185" s="4" t="str">
        <f>HYPERLINK("http://141.218.60.56/~jnz1568/getInfo.php?workbook=06_02.xlsx&amp;sheet=A0&amp;row=185&amp;col=8&amp;number=&amp;sourceID=34","")</f>
        <v/>
      </c>
      <c r="I185" s="4" t="str">
        <f>HYPERLINK("http://141.218.60.56/~jnz1568/getInfo.php?workbook=06_02.xlsx&amp;sheet=A0&amp;row=185&amp;col=9&amp;number=&amp;sourceID=34","")</f>
        <v/>
      </c>
      <c r="J185" s="4" t="str">
        <f>HYPERLINK("http://141.218.60.56/~jnz1568/getInfo.php?workbook=06_02.xlsx&amp;sheet=A0&amp;row=185&amp;col=10&amp;number=&amp;sourceID=34","")</f>
        <v/>
      </c>
      <c r="K185" s="4" t="str">
        <f>HYPERLINK("http://141.218.60.56/~jnz1568/getInfo.php?workbook=06_02.xlsx&amp;sheet=A0&amp;row=185&amp;col=11&amp;number=&amp;sourceID=30","")</f>
        <v/>
      </c>
      <c r="L185" s="4" t="str">
        <f>HYPERLINK("http://141.218.60.56/~jnz1568/getInfo.php?workbook=06_02.xlsx&amp;sheet=A0&amp;row=185&amp;col=12&amp;number=1.726&amp;sourceID=30","1.726")</f>
        <v>1.726</v>
      </c>
      <c r="M185" s="4" t="str">
        <f>HYPERLINK("http://141.218.60.56/~jnz1568/getInfo.php?workbook=06_02.xlsx&amp;sheet=A0&amp;row=185&amp;col=13&amp;number=0.001826&amp;sourceID=30","0.001826")</f>
        <v>0.001826</v>
      </c>
      <c r="N185" s="4" t="str">
        <f>HYPERLINK("http://141.218.60.56/~jnz1568/getInfo.php?workbook=06_02.xlsx&amp;sheet=A0&amp;row=185&amp;col=14&amp;number=&amp;sourceID=30","")</f>
        <v/>
      </c>
      <c r="O185" s="4" t="str">
        <f>HYPERLINK("http://141.218.60.56/~jnz1568/getInfo.php?workbook=06_02.xlsx&amp;sheet=A0&amp;row=185&amp;col=15&amp;number=&amp;sourceID=32","")</f>
        <v/>
      </c>
      <c r="P185" s="4" t="str">
        <f>HYPERLINK("http://141.218.60.56/~jnz1568/getInfo.php?workbook=06_02.xlsx&amp;sheet=A0&amp;row=185&amp;col=16&amp;number=1.893&amp;sourceID=32","1.893")</f>
        <v>1.893</v>
      </c>
      <c r="Q185" s="4" t="str">
        <f>HYPERLINK("http://141.218.60.56/~jnz1568/getInfo.php?workbook=06_02.xlsx&amp;sheet=A0&amp;row=185&amp;col=17&amp;number=0.002029&amp;sourceID=32","0.002029")</f>
        <v>0.002029</v>
      </c>
      <c r="R185" s="4" t="str">
        <f>HYPERLINK("http://141.218.60.56/~jnz1568/getInfo.php?workbook=06_02.xlsx&amp;sheet=A0&amp;row=185&amp;col=18&amp;number=&amp;sourceID=32","")</f>
        <v/>
      </c>
    </row>
    <row r="186" spans="1:18">
      <c r="A186" s="3">
        <v>6</v>
      </c>
      <c r="B186" s="3">
        <v>2</v>
      </c>
      <c r="C186" s="3">
        <v>22</v>
      </c>
      <c r="D186" s="3">
        <v>8</v>
      </c>
      <c r="E186" s="3">
        <f>((1/(INDEX(E0!J$4:J$52,C186,1)-INDEX(E0!J$4:J$52,D186,1))))*100000000</f>
        <v>0</v>
      </c>
      <c r="F186" s="4" t="str">
        <f>HYPERLINK("http://141.218.60.56/~jnz1568/getInfo.php?workbook=06_02.xlsx&amp;sheet=A0&amp;row=186&amp;col=6&amp;number=&amp;sourceID=27","")</f>
        <v/>
      </c>
      <c r="G186" s="4" t="str">
        <f>HYPERLINK("http://141.218.60.56/~jnz1568/getInfo.php?workbook=06_02.xlsx&amp;sheet=A0&amp;row=186&amp;col=7&amp;number=&amp;sourceID=34","")</f>
        <v/>
      </c>
      <c r="H186" s="4" t="str">
        <f>HYPERLINK("http://141.218.60.56/~jnz1568/getInfo.php?workbook=06_02.xlsx&amp;sheet=A0&amp;row=186&amp;col=8&amp;number=&amp;sourceID=34","")</f>
        <v/>
      </c>
      <c r="I186" s="4" t="str">
        <f>HYPERLINK("http://141.218.60.56/~jnz1568/getInfo.php?workbook=06_02.xlsx&amp;sheet=A0&amp;row=186&amp;col=9&amp;number=&amp;sourceID=34","")</f>
        <v/>
      </c>
      <c r="J186" s="4" t="str">
        <f>HYPERLINK("http://141.218.60.56/~jnz1568/getInfo.php?workbook=06_02.xlsx&amp;sheet=A0&amp;row=186&amp;col=10&amp;number=&amp;sourceID=34","")</f>
        <v/>
      </c>
      <c r="K186" s="4" t="str">
        <f>HYPERLINK("http://141.218.60.56/~jnz1568/getInfo.php?workbook=06_02.xlsx&amp;sheet=A0&amp;row=186&amp;col=11&amp;number=1620000000&amp;sourceID=30","1620000000")</f>
        <v>1620000000</v>
      </c>
      <c r="L186" s="4" t="str">
        <f>HYPERLINK("http://141.218.60.56/~jnz1568/getInfo.php?workbook=06_02.xlsx&amp;sheet=A0&amp;row=186&amp;col=12&amp;number=&amp;sourceID=30","")</f>
        <v/>
      </c>
      <c r="M186" s="4" t="str">
        <f>HYPERLINK("http://141.218.60.56/~jnz1568/getInfo.php?workbook=06_02.xlsx&amp;sheet=A0&amp;row=186&amp;col=13&amp;number=&amp;sourceID=30","")</f>
        <v/>
      </c>
      <c r="N186" s="4" t="str">
        <f>HYPERLINK("http://141.218.60.56/~jnz1568/getInfo.php?workbook=06_02.xlsx&amp;sheet=A0&amp;row=186&amp;col=14&amp;number=0.2374&amp;sourceID=30","0.2374")</f>
        <v>0.2374</v>
      </c>
      <c r="O186" s="4" t="str">
        <f>HYPERLINK("http://141.218.60.56/~jnz1568/getInfo.php?workbook=06_02.xlsx&amp;sheet=A0&amp;row=186&amp;col=15&amp;number=1672000000&amp;sourceID=32","1672000000")</f>
        <v>1672000000</v>
      </c>
      <c r="P186" s="4" t="str">
        <f>HYPERLINK("http://141.218.60.56/~jnz1568/getInfo.php?workbook=06_02.xlsx&amp;sheet=A0&amp;row=186&amp;col=16&amp;number=&amp;sourceID=32","")</f>
        <v/>
      </c>
      <c r="Q186" s="4" t="str">
        <f>HYPERLINK("http://141.218.60.56/~jnz1568/getInfo.php?workbook=06_02.xlsx&amp;sheet=A0&amp;row=186&amp;col=17&amp;number=&amp;sourceID=32","")</f>
        <v/>
      </c>
      <c r="R186" s="4" t="str">
        <f>HYPERLINK("http://141.218.60.56/~jnz1568/getInfo.php?workbook=06_02.xlsx&amp;sheet=A0&amp;row=186&amp;col=18&amp;number=0.2453&amp;sourceID=32","0.2453")</f>
        <v>0.2453</v>
      </c>
    </row>
    <row r="187" spans="1:18">
      <c r="A187" s="3">
        <v>6</v>
      </c>
      <c r="B187" s="3">
        <v>2</v>
      </c>
      <c r="C187" s="3">
        <v>22</v>
      </c>
      <c r="D187" s="3">
        <v>9</v>
      </c>
      <c r="E187" s="3">
        <f>((1/(INDEX(E0!J$4:J$52,C187,1)-INDEX(E0!J$4:J$52,D187,1))))*100000000</f>
        <v>0</v>
      </c>
      <c r="F187" s="4" t="str">
        <f>HYPERLINK("http://141.218.60.56/~jnz1568/getInfo.php?workbook=06_02.xlsx&amp;sheet=A0&amp;row=187&amp;col=6&amp;number=&amp;sourceID=27","")</f>
        <v/>
      </c>
      <c r="G187" s="4" t="str">
        <f>HYPERLINK("http://141.218.60.56/~jnz1568/getInfo.php?workbook=06_02.xlsx&amp;sheet=A0&amp;row=187&amp;col=7&amp;number=&amp;sourceID=34","")</f>
        <v/>
      </c>
      <c r="H187" s="4" t="str">
        <f>HYPERLINK("http://141.218.60.56/~jnz1568/getInfo.php?workbook=06_02.xlsx&amp;sheet=A0&amp;row=187&amp;col=8&amp;number=&amp;sourceID=34","")</f>
        <v/>
      </c>
      <c r="I187" s="4" t="str">
        <f>HYPERLINK("http://141.218.60.56/~jnz1568/getInfo.php?workbook=06_02.xlsx&amp;sheet=A0&amp;row=187&amp;col=9&amp;number=&amp;sourceID=34","")</f>
        <v/>
      </c>
      <c r="J187" s="4" t="str">
        <f>HYPERLINK("http://141.218.60.56/~jnz1568/getInfo.php?workbook=06_02.xlsx&amp;sheet=A0&amp;row=187&amp;col=10&amp;number=&amp;sourceID=34","")</f>
        <v/>
      </c>
      <c r="K187" s="4" t="str">
        <f>HYPERLINK("http://141.218.60.56/~jnz1568/getInfo.php?workbook=06_02.xlsx&amp;sheet=A0&amp;row=187&amp;col=11&amp;number=&amp;sourceID=30","")</f>
        <v/>
      </c>
      <c r="L187" s="4" t="str">
        <f>HYPERLINK("http://141.218.60.56/~jnz1568/getInfo.php?workbook=06_02.xlsx&amp;sheet=A0&amp;row=187&amp;col=12&amp;number=&amp;sourceID=30","")</f>
        <v/>
      </c>
      <c r="M187" s="4" t="str">
        <f>HYPERLINK("http://141.218.60.56/~jnz1568/getInfo.php?workbook=06_02.xlsx&amp;sheet=A0&amp;row=187&amp;col=13&amp;number=&amp;sourceID=30","")</f>
        <v/>
      </c>
      <c r="N187" s="4" t="str">
        <f>HYPERLINK("http://141.218.60.56/~jnz1568/getInfo.php?workbook=06_02.xlsx&amp;sheet=A0&amp;row=187&amp;col=14&amp;number=0.1708&amp;sourceID=30","0.1708")</f>
        <v>0.1708</v>
      </c>
      <c r="O187" s="4" t="str">
        <f>HYPERLINK("http://141.218.60.56/~jnz1568/getInfo.php?workbook=06_02.xlsx&amp;sheet=A0&amp;row=187&amp;col=15&amp;number=&amp;sourceID=32","")</f>
        <v/>
      </c>
      <c r="P187" s="4" t="str">
        <f>HYPERLINK("http://141.218.60.56/~jnz1568/getInfo.php?workbook=06_02.xlsx&amp;sheet=A0&amp;row=187&amp;col=16&amp;number=&amp;sourceID=32","")</f>
        <v/>
      </c>
      <c r="Q187" s="4" t="str">
        <f>HYPERLINK("http://141.218.60.56/~jnz1568/getInfo.php?workbook=06_02.xlsx&amp;sheet=A0&amp;row=187&amp;col=17&amp;number=&amp;sourceID=32","")</f>
        <v/>
      </c>
      <c r="R187" s="4" t="str">
        <f>HYPERLINK("http://141.218.60.56/~jnz1568/getInfo.php?workbook=06_02.xlsx&amp;sheet=A0&amp;row=187&amp;col=18&amp;number=0.1667&amp;sourceID=32","0.1667")</f>
        <v>0.1667</v>
      </c>
    </row>
    <row r="188" spans="1:18">
      <c r="A188" s="3">
        <v>6</v>
      </c>
      <c r="B188" s="3">
        <v>2</v>
      </c>
      <c r="C188" s="3">
        <v>22</v>
      </c>
      <c r="D188" s="3">
        <v>10</v>
      </c>
      <c r="E188" s="3">
        <f>((1/(INDEX(E0!J$4:J$52,C188,1)-INDEX(E0!J$4:J$52,D188,1))))*100000000</f>
        <v>0</v>
      </c>
      <c r="F188" s="4" t="str">
        <f>HYPERLINK("http://141.218.60.56/~jnz1568/getInfo.php?workbook=06_02.xlsx&amp;sheet=A0&amp;row=188&amp;col=6&amp;number=&amp;sourceID=27","")</f>
        <v/>
      </c>
      <c r="G188" s="4" t="str">
        <f>HYPERLINK("http://141.218.60.56/~jnz1568/getInfo.php?workbook=06_02.xlsx&amp;sheet=A0&amp;row=188&amp;col=7&amp;number=&amp;sourceID=34","")</f>
        <v/>
      </c>
      <c r="H188" s="4" t="str">
        <f>HYPERLINK("http://141.218.60.56/~jnz1568/getInfo.php?workbook=06_02.xlsx&amp;sheet=A0&amp;row=188&amp;col=8&amp;number=&amp;sourceID=34","")</f>
        <v/>
      </c>
      <c r="I188" s="4" t="str">
        <f>HYPERLINK("http://141.218.60.56/~jnz1568/getInfo.php?workbook=06_02.xlsx&amp;sheet=A0&amp;row=188&amp;col=9&amp;number=&amp;sourceID=34","")</f>
        <v/>
      </c>
      <c r="J188" s="4" t="str">
        <f>HYPERLINK("http://141.218.60.56/~jnz1568/getInfo.php?workbook=06_02.xlsx&amp;sheet=A0&amp;row=188&amp;col=10&amp;number=&amp;sourceID=34","")</f>
        <v/>
      </c>
      <c r="K188" s="4" t="str">
        <f>HYPERLINK("http://141.218.60.56/~jnz1568/getInfo.php?workbook=06_02.xlsx&amp;sheet=A0&amp;row=188&amp;col=11&amp;number=&amp;sourceID=30","")</f>
        <v/>
      </c>
      <c r="L188" s="4" t="str">
        <f>HYPERLINK("http://141.218.60.56/~jnz1568/getInfo.php?workbook=06_02.xlsx&amp;sheet=A0&amp;row=188&amp;col=12&amp;number=18630&amp;sourceID=30","18630")</f>
        <v>18630</v>
      </c>
      <c r="M188" s="4" t="str">
        <f>HYPERLINK("http://141.218.60.56/~jnz1568/getInfo.php?workbook=06_02.xlsx&amp;sheet=A0&amp;row=188&amp;col=13&amp;number=0.001216&amp;sourceID=30","0.001216")</f>
        <v>0.001216</v>
      </c>
      <c r="N188" s="4" t="str">
        <f>HYPERLINK("http://141.218.60.56/~jnz1568/getInfo.php?workbook=06_02.xlsx&amp;sheet=A0&amp;row=188&amp;col=14&amp;number=&amp;sourceID=30","")</f>
        <v/>
      </c>
      <c r="O188" s="4" t="str">
        <f>HYPERLINK("http://141.218.60.56/~jnz1568/getInfo.php?workbook=06_02.xlsx&amp;sheet=A0&amp;row=188&amp;col=15&amp;number=&amp;sourceID=32","")</f>
        <v/>
      </c>
      <c r="P188" s="4" t="str">
        <f>HYPERLINK("http://141.218.60.56/~jnz1568/getInfo.php?workbook=06_02.xlsx&amp;sheet=A0&amp;row=188&amp;col=16&amp;number=19020&amp;sourceID=32","19020")</f>
        <v>19020</v>
      </c>
      <c r="Q188" s="4" t="str">
        <f>HYPERLINK("http://141.218.60.56/~jnz1568/getInfo.php?workbook=06_02.xlsx&amp;sheet=A0&amp;row=188&amp;col=17&amp;number=0.00124&amp;sourceID=32","0.00124")</f>
        <v>0.00124</v>
      </c>
      <c r="R188" s="4" t="str">
        <f>HYPERLINK("http://141.218.60.56/~jnz1568/getInfo.php?workbook=06_02.xlsx&amp;sheet=A0&amp;row=188&amp;col=18&amp;number=&amp;sourceID=32","")</f>
        <v/>
      </c>
    </row>
    <row r="189" spans="1:18">
      <c r="A189" s="3">
        <v>6</v>
      </c>
      <c r="B189" s="3">
        <v>2</v>
      </c>
      <c r="C189" s="3">
        <v>22</v>
      </c>
      <c r="D189" s="3">
        <v>11</v>
      </c>
      <c r="E189" s="3">
        <f>((1/(INDEX(E0!J$4:J$52,C189,1)-INDEX(E0!J$4:J$52,D189,1))))*100000000</f>
        <v>0</v>
      </c>
      <c r="F189" s="4" t="str">
        <f>HYPERLINK("http://141.218.60.56/~jnz1568/getInfo.php?workbook=06_02.xlsx&amp;sheet=A0&amp;row=189&amp;col=6&amp;number=&amp;sourceID=27","")</f>
        <v/>
      </c>
      <c r="G189" s="4" t="str">
        <f>HYPERLINK("http://141.218.60.56/~jnz1568/getInfo.php?workbook=06_02.xlsx&amp;sheet=A0&amp;row=189&amp;col=7&amp;number=&amp;sourceID=34","")</f>
        <v/>
      </c>
      <c r="H189" s="4" t="str">
        <f>HYPERLINK("http://141.218.60.56/~jnz1568/getInfo.php?workbook=06_02.xlsx&amp;sheet=A0&amp;row=189&amp;col=8&amp;number=&amp;sourceID=34","")</f>
        <v/>
      </c>
      <c r="I189" s="4" t="str">
        <f>HYPERLINK("http://141.218.60.56/~jnz1568/getInfo.php?workbook=06_02.xlsx&amp;sheet=A0&amp;row=189&amp;col=9&amp;number=&amp;sourceID=34","")</f>
        <v/>
      </c>
      <c r="J189" s="4" t="str">
        <f>HYPERLINK("http://141.218.60.56/~jnz1568/getInfo.php?workbook=06_02.xlsx&amp;sheet=A0&amp;row=189&amp;col=10&amp;number=&amp;sourceID=34","")</f>
        <v/>
      </c>
      <c r="K189" s="4" t="str">
        <f>HYPERLINK("http://141.218.60.56/~jnz1568/getInfo.php?workbook=06_02.xlsx&amp;sheet=A0&amp;row=189&amp;col=11&amp;number=&amp;sourceID=30","")</f>
        <v/>
      </c>
      <c r="L189" s="4" t="str">
        <f>HYPERLINK("http://141.218.60.56/~jnz1568/getInfo.php?workbook=06_02.xlsx&amp;sheet=A0&amp;row=189&amp;col=12&amp;number=8282&amp;sourceID=30","8282")</f>
        <v>8282</v>
      </c>
      <c r="M189" s="4" t="str">
        <f>HYPERLINK("http://141.218.60.56/~jnz1568/getInfo.php?workbook=06_02.xlsx&amp;sheet=A0&amp;row=189&amp;col=13&amp;number=&amp;sourceID=30","")</f>
        <v/>
      </c>
      <c r="N189" s="4" t="str">
        <f>HYPERLINK("http://141.218.60.56/~jnz1568/getInfo.php?workbook=06_02.xlsx&amp;sheet=A0&amp;row=189&amp;col=14&amp;number=&amp;sourceID=30","")</f>
        <v/>
      </c>
      <c r="O189" s="4" t="str">
        <f>HYPERLINK("http://141.218.60.56/~jnz1568/getInfo.php?workbook=06_02.xlsx&amp;sheet=A0&amp;row=189&amp;col=15&amp;number=&amp;sourceID=32","")</f>
        <v/>
      </c>
      <c r="P189" s="4" t="str">
        <f>HYPERLINK("http://141.218.60.56/~jnz1568/getInfo.php?workbook=06_02.xlsx&amp;sheet=A0&amp;row=189&amp;col=16&amp;number=8454&amp;sourceID=32","8454")</f>
        <v>8454</v>
      </c>
      <c r="Q189" s="4" t="str">
        <f>HYPERLINK("http://141.218.60.56/~jnz1568/getInfo.php?workbook=06_02.xlsx&amp;sheet=A0&amp;row=189&amp;col=17&amp;number=&amp;sourceID=32","")</f>
        <v/>
      </c>
      <c r="R189" s="4" t="str">
        <f>HYPERLINK("http://141.218.60.56/~jnz1568/getInfo.php?workbook=06_02.xlsx&amp;sheet=A0&amp;row=189&amp;col=18&amp;number=&amp;sourceID=32","")</f>
        <v/>
      </c>
    </row>
    <row r="190" spans="1:18">
      <c r="A190" s="3">
        <v>6</v>
      </c>
      <c r="B190" s="3">
        <v>2</v>
      </c>
      <c r="C190" s="3">
        <v>22</v>
      </c>
      <c r="D190" s="3">
        <v>12</v>
      </c>
      <c r="E190" s="3">
        <f>((1/(INDEX(E0!J$4:J$52,C190,1)-INDEX(E0!J$4:J$52,D190,1))))*100000000</f>
        <v>0</v>
      </c>
      <c r="F190" s="4" t="str">
        <f>HYPERLINK("http://141.218.60.56/~jnz1568/getInfo.php?workbook=06_02.xlsx&amp;sheet=A0&amp;row=190&amp;col=6&amp;number=&amp;sourceID=27","")</f>
        <v/>
      </c>
      <c r="G190" s="4" t="str">
        <f>HYPERLINK("http://141.218.60.56/~jnz1568/getInfo.php?workbook=06_02.xlsx&amp;sheet=A0&amp;row=190&amp;col=7&amp;number=&amp;sourceID=34","")</f>
        <v/>
      </c>
      <c r="H190" s="4" t="str">
        <f>HYPERLINK("http://141.218.60.56/~jnz1568/getInfo.php?workbook=06_02.xlsx&amp;sheet=A0&amp;row=190&amp;col=8&amp;number=&amp;sourceID=34","")</f>
        <v/>
      </c>
      <c r="I190" s="4" t="str">
        <f>HYPERLINK("http://141.218.60.56/~jnz1568/getInfo.php?workbook=06_02.xlsx&amp;sheet=A0&amp;row=190&amp;col=9&amp;number=&amp;sourceID=34","")</f>
        <v/>
      </c>
      <c r="J190" s="4" t="str">
        <f>HYPERLINK("http://141.218.60.56/~jnz1568/getInfo.php?workbook=06_02.xlsx&amp;sheet=A0&amp;row=190&amp;col=10&amp;number=&amp;sourceID=34","")</f>
        <v/>
      </c>
      <c r="K190" s="4" t="str">
        <f>HYPERLINK("http://141.218.60.56/~jnz1568/getInfo.php?workbook=06_02.xlsx&amp;sheet=A0&amp;row=190&amp;col=11&amp;number=&amp;sourceID=30","")</f>
        <v/>
      </c>
      <c r="L190" s="4" t="str">
        <f>HYPERLINK("http://141.218.60.56/~jnz1568/getInfo.php?workbook=06_02.xlsx&amp;sheet=A0&amp;row=190&amp;col=12&amp;number=14480&amp;sourceID=30","14480")</f>
        <v>14480</v>
      </c>
      <c r="M190" s="4" t="str">
        <f>HYPERLINK("http://141.218.60.56/~jnz1568/getInfo.php?workbook=06_02.xlsx&amp;sheet=A0&amp;row=190&amp;col=13&amp;number=0.0004541&amp;sourceID=30","0.0004541")</f>
        <v>0.0004541</v>
      </c>
      <c r="N190" s="4" t="str">
        <f>HYPERLINK("http://141.218.60.56/~jnz1568/getInfo.php?workbook=06_02.xlsx&amp;sheet=A0&amp;row=190&amp;col=14&amp;number=&amp;sourceID=30","")</f>
        <v/>
      </c>
      <c r="O190" s="4" t="str">
        <f>HYPERLINK("http://141.218.60.56/~jnz1568/getInfo.php?workbook=06_02.xlsx&amp;sheet=A0&amp;row=190&amp;col=15&amp;number=&amp;sourceID=32","")</f>
        <v/>
      </c>
      <c r="P190" s="4" t="str">
        <f>HYPERLINK("http://141.218.60.56/~jnz1568/getInfo.php?workbook=06_02.xlsx&amp;sheet=A0&amp;row=190&amp;col=16&amp;number=14790&amp;sourceID=32","14790")</f>
        <v>14790</v>
      </c>
      <c r="Q190" s="4" t="str">
        <f>HYPERLINK("http://141.218.60.56/~jnz1568/getInfo.php?workbook=06_02.xlsx&amp;sheet=A0&amp;row=190&amp;col=17&amp;number=0.0004322&amp;sourceID=32","0.0004322")</f>
        <v>0.0004322</v>
      </c>
      <c r="R190" s="4" t="str">
        <f>HYPERLINK("http://141.218.60.56/~jnz1568/getInfo.php?workbook=06_02.xlsx&amp;sheet=A0&amp;row=190&amp;col=18&amp;number=&amp;sourceID=32","")</f>
        <v/>
      </c>
    </row>
    <row r="191" spans="1:18">
      <c r="A191" s="3">
        <v>6</v>
      </c>
      <c r="B191" s="3">
        <v>2</v>
      </c>
      <c r="C191" s="3">
        <v>22</v>
      </c>
      <c r="D191" s="3">
        <v>13</v>
      </c>
      <c r="E191" s="3">
        <f>((1/(INDEX(E0!J$4:J$52,C191,1)-INDEX(E0!J$4:J$52,D191,1))))*100000000</f>
        <v>0</v>
      </c>
      <c r="F191" s="4" t="str">
        <f>HYPERLINK("http://141.218.60.56/~jnz1568/getInfo.php?workbook=06_02.xlsx&amp;sheet=A0&amp;row=191&amp;col=6&amp;number=&amp;sourceID=27","")</f>
        <v/>
      </c>
      <c r="G191" s="4" t="str">
        <f>HYPERLINK("http://141.218.60.56/~jnz1568/getInfo.php?workbook=06_02.xlsx&amp;sheet=A0&amp;row=191&amp;col=7&amp;number=2928000&amp;sourceID=34","2928000")</f>
        <v>2928000</v>
      </c>
      <c r="H191" s="4" t="str">
        <f>HYPERLINK("http://141.218.60.56/~jnz1568/getInfo.php?workbook=06_02.xlsx&amp;sheet=A0&amp;row=191&amp;col=8&amp;number=&amp;sourceID=34","")</f>
        <v/>
      </c>
      <c r="I191" s="4" t="str">
        <f>HYPERLINK("http://141.218.60.56/~jnz1568/getInfo.php?workbook=06_02.xlsx&amp;sheet=A0&amp;row=191&amp;col=9&amp;number=&amp;sourceID=34","")</f>
        <v/>
      </c>
      <c r="J191" s="4" t="str">
        <f>HYPERLINK("http://141.218.60.56/~jnz1568/getInfo.php?workbook=06_02.xlsx&amp;sheet=A0&amp;row=191&amp;col=10&amp;number=&amp;sourceID=34","")</f>
        <v/>
      </c>
      <c r="K191" s="4" t="str">
        <f>HYPERLINK("http://141.218.60.56/~jnz1568/getInfo.php?workbook=06_02.xlsx&amp;sheet=A0&amp;row=191&amp;col=11&amp;number=2857000&amp;sourceID=30","2857000")</f>
        <v>2857000</v>
      </c>
      <c r="L191" s="4" t="str">
        <f>HYPERLINK("http://141.218.60.56/~jnz1568/getInfo.php?workbook=06_02.xlsx&amp;sheet=A0&amp;row=191&amp;col=12&amp;number=&amp;sourceID=30","")</f>
        <v/>
      </c>
      <c r="M191" s="4" t="str">
        <f>HYPERLINK("http://141.218.60.56/~jnz1568/getInfo.php?workbook=06_02.xlsx&amp;sheet=A0&amp;row=191&amp;col=13&amp;number=&amp;sourceID=30","")</f>
        <v/>
      </c>
      <c r="N191" s="4" t="str">
        <f>HYPERLINK("http://141.218.60.56/~jnz1568/getInfo.php?workbook=06_02.xlsx&amp;sheet=A0&amp;row=191&amp;col=14&amp;number=8.67e-10&amp;sourceID=30","8.67e-10")</f>
        <v>8.67e-10</v>
      </c>
      <c r="O191" s="4" t="str">
        <f>HYPERLINK("http://141.218.60.56/~jnz1568/getInfo.php?workbook=06_02.xlsx&amp;sheet=A0&amp;row=191&amp;col=15&amp;number=2920000&amp;sourceID=32","2920000")</f>
        <v>2920000</v>
      </c>
      <c r="P191" s="4" t="str">
        <f>HYPERLINK("http://141.218.60.56/~jnz1568/getInfo.php?workbook=06_02.xlsx&amp;sheet=A0&amp;row=191&amp;col=16&amp;number=&amp;sourceID=32","")</f>
        <v/>
      </c>
      <c r="Q191" s="4" t="str">
        <f>HYPERLINK("http://141.218.60.56/~jnz1568/getInfo.php?workbook=06_02.xlsx&amp;sheet=A0&amp;row=191&amp;col=17&amp;number=&amp;sourceID=32","")</f>
        <v/>
      </c>
      <c r="R191" s="4" t="str">
        <f>HYPERLINK("http://141.218.60.56/~jnz1568/getInfo.php?workbook=06_02.xlsx&amp;sheet=A0&amp;row=191&amp;col=18&amp;number=2.37e-09&amp;sourceID=32","2.37e-09")</f>
        <v>2.37e-09</v>
      </c>
    </row>
    <row r="192" spans="1:18">
      <c r="A192" s="3">
        <v>6</v>
      </c>
      <c r="B192" s="3">
        <v>2</v>
      </c>
      <c r="C192" s="3">
        <v>22</v>
      </c>
      <c r="D192" s="3">
        <v>14</v>
      </c>
      <c r="E192" s="3">
        <f>((1/(INDEX(E0!J$4:J$52,C192,1)-INDEX(E0!J$4:J$52,D192,1))))*100000000</f>
        <v>0</v>
      </c>
      <c r="F192" s="4" t="str">
        <f>HYPERLINK("http://141.218.60.56/~jnz1568/getInfo.php?workbook=06_02.xlsx&amp;sheet=A0&amp;row=192&amp;col=6&amp;number=&amp;sourceID=27","")</f>
        <v/>
      </c>
      <c r="G192" s="4" t="str">
        <f>HYPERLINK("http://141.218.60.56/~jnz1568/getInfo.php?workbook=06_02.xlsx&amp;sheet=A0&amp;row=192&amp;col=7&amp;number=43900000&amp;sourceID=34","43900000")</f>
        <v>43900000</v>
      </c>
      <c r="H192" s="4" t="str">
        <f>HYPERLINK("http://141.218.60.56/~jnz1568/getInfo.php?workbook=06_02.xlsx&amp;sheet=A0&amp;row=192&amp;col=8&amp;number=&amp;sourceID=34","")</f>
        <v/>
      </c>
      <c r="I192" s="4" t="str">
        <f>HYPERLINK("http://141.218.60.56/~jnz1568/getInfo.php?workbook=06_02.xlsx&amp;sheet=A0&amp;row=192&amp;col=9&amp;number=&amp;sourceID=34","")</f>
        <v/>
      </c>
      <c r="J192" s="4" t="str">
        <f>HYPERLINK("http://141.218.60.56/~jnz1568/getInfo.php?workbook=06_02.xlsx&amp;sheet=A0&amp;row=192&amp;col=10&amp;number=&amp;sourceID=34","")</f>
        <v/>
      </c>
      <c r="K192" s="4" t="str">
        <f>HYPERLINK("http://141.218.60.56/~jnz1568/getInfo.php?workbook=06_02.xlsx&amp;sheet=A0&amp;row=192&amp;col=11&amp;number=42810000&amp;sourceID=30","42810000")</f>
        <v>42810000</v>
      </c>
      <c r="L192" s="4" t="str">
        <f>HYPERLINK("http://141.218.60.56/~jnz1568/getInfo.php?workbook=06_02.xlsx&amp;sheet=A0&amp;row=192&amp;col=12&amp;number=&amp;sourceID=30","")</f>
        <v/>
      </c>
      <c r="M192" s="4" t="str">
        <f>HYPERLINK("http://141.218.60.56/~jnz1568/getInfo.php?workbook=06_02.xlsx&amp;sheet=A0&amp;row=192&amp;col=13&amp;number=&amp;sourceID=30","")</f>
        <v/>
      </c>
      <c r="N192" s="4" t="str">
        <f>HYPERLINK("http://141.218.60.56/~jnz1568/getInfo.php?workbook=06_02.xlsx&amp;sheet=A0&amp;row=192&amp;col=14&amp;number=0.004383&amp;sourceID=30","0.004383")</f>
        <v>0.004383</v>
      </c>
      <c r="O192" s="4" t="str">
        <f>HYPERLINK("http://141.218.60.56/~jnz1568/getInfo.php?workbook=06_02.xlsx&amp;sheet=A0&amp;row=192&amp;col=15&amp;number=43710000&amp;sourceID=32","43710000")</f>
        <v>43710000</v>
      </c>
      <c r="P192" s="4" t="str">
        <f>HYPERLINK("http://141.218.60.56/~jnz1568/getInfo.php?workbook=06_02.xlsx&amp;sheet=A0&amp;row=192&amp;col=16&amp;number=&amp;sourceID=32","")</f>
        <v/>
      </c>
      <c r="Q192" s="4" t="str">
        <f>HYPERLINK("http://141.218.60.56/~jnz1568/getInfo.php?workbook=06_02.xlsx&amp;sheet=A0&amp;row=192&amp;col=17&amp;number=&amp;sourceID=32","")</f>
        <v/>
      </c>
      <c r="R192" s="4" t="str">
        <f>HYPERLINK("http://141.218.60.56/~jnz1568/getInfo.php?workbook=06_02.xlsx&amp;sheet=A0&amp;row=192&amp;col=18&amp;number=0.004359&amp;sourceID=32","0.004359")</f>
        <v>0.004359</v>
      </c>
    </row>
    <row r="193" spans="1:18">
      <c r="A193" s="3">
        <v>6</v>
      </c>
      <c r="B193" s="3">
        <v>2</v>
      </c>
      <c r="C193" s="3">
        <v>22</v>
      </c>
      <c r="D193" s="3">
        <v>15</v>
      </c>
      <c r="E193" s="3">
        <f>((1/(INDEX(E0!J$4:J$52,C193,1)-INDEX(E0!J$4:J$52,D193,1))))*100000000</f>
        <v>0</v>
      </c>
      <c r="F193" s="4" t="str">
        <f>HYPERLINK("http://141.218.60.56/~jnz1568/getInfo.php?workbook=06_02.xlsx&amp;sheet=A0&amp;row=193&amp;col=6&amp;number=&amp;sourceID=27","")</f>
        <v/>
      </c>
      <c r="G193" s="4" t="str">
        <f>HYPERLINK("http://141.218.60.56/~jnz1568/getInfo.php?workbook=06_02.xlsx&amp;sheet=A0&amp;row=193&amp;col=7&amp;number=245800000&amp;sourceID=34","245800000")</f>
        <v>245800000</v>
      </c>
      <c r="H193" s="4" t="str">
        <f>HYPERLINK("http://141.218.60.56/~jnz1568/getInfo.php?workbook=06_02.xlsx&amp;sheet=A0&amp;row=193&amp;col=8&amp;number=&amp;sourceID=34","")</f>
        <v/>
      </c>
      <c r="I193" s="4" t="str">
        <f>HYPERLINK("http://141.218.60.56/~jnz1568/getInfo.php?workbook=06_02.xlsx&amp;sheet=A0&amp;row=193&amp;col=9&amp;number=&amp;sourceID=34","")</f>
        <v/>
      </c>
      <c r="J193" s="4" t="str">
        <f>HYPERLINK("http://141.218.60.56/~jnz1568/getInfo.php?workbook=06_02.xlsx&amp;sheet=A0&amp;row=193&amp;col=10&amp;number=&amp;sourceID=34","")</f>
        <v/>
      </c>
      <c r="K193" s="4" t="str">
        <f>HYPERLINK("http://141.218.60.56/~jnz1568/getInfo.php?workbook=06_02.xlsx&amp;sheet=A0&amp;row=193&amp;col=11&amp;number=240600000&amp;sourceID=30","240600000")</f>
        <v>240600000</v>
      </c>
      <c r="L193" s="4" t="str">
        <f>HYPERLINK("http://141.218.60.56/~jnz1568/getInfo.php?workbook=06_02.xlsx&amp;sheet=A0&amp;row=193&amp;col=12&amp;number=&amp;sourceID=30","")</f>
        <v/>
      </c>
      <c r="M193" s="4" t="str">
        <f>HYPERLINK("http://141.218.60.56/~jnz1568/getInfo.php?workbook=06_02.xlsx&amp;sheet=A0&amp;row=193&amp;col=13&amp;number=&amp;sourceID=30","")</f>
        <v/>
      </c>
      <c r="N193" s="4" t="str">
        <f>HYPERLINK("http://141.218.60.56/~jnz1568/getInfo.php?workbook=06_02.xlsx&amp;sheet=A0&amp;row=193&amp;col=14&amp;number=0.05075&amp;sourceID=30","0.05075")</f>
        <v>0.05075</v>
      </c>
      <c r="O193" s="4" t="str">
        <f>HYPERLINK("http://141.218.60.56/~jnz1568/getInfo.php?workbook=06_02.xlsx&amp;sheet=A0&amp;row=193&amp;col=15&amp;number=246000000&amp;sourceID=32","246000000")</f>
        <v>246000000</v>
      </c>
      <c r="P193" s="4" t="str">
        <f>HYPERLINK("http://141.218.60.56/~jnz1568/getInfo.php?workbook=06_02.xlsx&amp;sheet=A0&amp;row=193&amp;col=16&amp;number=&amp;sourceID=32","")</f>
        <v/>
      </c>
      <c r="Q193" s="4" t="str">
        <f>HYPERLINK("http://141.218.60.56/~jnz1568/getInfo.php?workbook=06_02.xlsx&amp;sheet=A0&amp;row=193&amp;col=17&amp;number=&amp;sourceID=32","")</f>
        <v/>
      </c>
      <c r="R193" s="4" t="str">
        <f>HYPERLINK("http://141.218.60.56/~jnz1568/getInfo.php?workbook=06_02.xlsx&amp;sheet=A0&amp;row=193&amp;col=18&amp;number=0.05181&amp;sourceID=32","0.05181")</f>
        <v>0.05181</v>
      </c>
    </row>
    <row r="194" spans="1:18">
      <c r="A194" s="3">
        <v>6</v>
      </c>
      <c r="B194" s="3">
        <v>2</v>
      </c>
      <c r="C194" s="3">
        <v>22</v>
      </c>
      <c r="D194" s="3">
        <v>16</v>
      </c>
      <c r="E194" s="3">
        <f>((1/(INDEX(E0!J$4:J$52,C194,1)-INDEX(E0!J$4:J$52,D194,1))))*100000000</f>
        <v>0</v>
      </c>
      <c r="F194" s="4" t="str">
        <f>HYPERLINK("http://141.218.60.56/~jnz1568/getInfo.php?workbook=06_02.xlsx&amp;sheet=A0&amp;row=194&amp;col=6&amp;number=&amp;sourceID=27","")</f>
        <v/>
      </c>
      <c r="G194" s="4" t="str">
        <f>HYPERLINK("http://141.218.60.56/~jnz1568/getInfo.php?workbook=06_02.xlsx&amp;sheet=A0&amp;row=194&amp;col=7&amp;number=&amp;sourceID=34","")</f>
        <v/>
      </c>
      <c r="H194" s="4" t="str">
        <f>HYPERLINK("http://141.218.60.56/~jnz1568/getInfo.php?workbook=06_02.xlsx&amp;sheet=A0&amp;row=194&amp;col=8&amp;number=&amp;sourceID=34","")</f>
        <v/>
      </c>
      <c r="I194" s="4" t="str">
        <f>HYPERLINK("http://141.218.60.56/~jnz1568/getInfo.php?workbook=06_02.xlsx&amp;sheet=A0&amp;row=194&amp;col=9&amp;number=&amp;sourceID=34","")</f>
        <v/>
      </c>
      <c r="J194" s="4" t="str">
        <f>HYPERLINK("http://141.218.60.56/~jnz1568/getInfo.php?workbook=06_02.xlsx&amp;sheet=A0&amp;row=194&amp;col=10&amp;number=&amp;sourceID=34","")</f>
        <v/>
      </c>
      <c r="K194" s="4" t="str">
        <f>HYPERLINK("http://141.218.60.56/~jnz1568/getInfo.php?workbook=06_02.xlsx&amp;sheet=A0&amp;row=194&amp;col=11&amp;number=136400&amp;sourceID=30","136400")</f>
        <v>136400</v>
      </c>
      <c r="L194" s="4" t="str">
        <f>HYPERLINK("http://141.218.60.56/~jnz1568/getInfo.php?workbook=06_02.xlsx&amp;sheet=A0&amp;row=194&amp;col=12&amp;number=&amp;sourceID=30","")</f>
        <v/>
      </c>
      <c r="M194" s="4" t="str">
        <f>HYPERLINK("http://141.218.60.56/~jnz1568/getInfo.php?workbook=06_02.xlsx&amp;sheet=A0&amp;row=194&amp;col=13&amp;number=&amp;sourceID=30","")</f>
        <v/>
      </c>
      <c r="N194" s="4" t="str">
        <f>HYPERLINK("http://141.218.60.56/~jnz1568/getInfo.php?workbook=06_02.xlsx&amp;sheet=A0&amp;row=194&amp;col=14&amp;number=0.008465&amp;sourceID=30","0.008465")</f>
        <v>0.008465</v>
      </c>
      <c r="O194" s="4" t="str">
        <f>HYPERLINK("http://141.218.60.56/~jnz1568/getInfo.php?workbook=06_02.xlsx&amp;sheet=A0&amp;row=194&amp;col=15&amp;number=189200&amp;sourceID=32","189200")</f>
        <v>189200</v>
      </c>
      <c r="P194" s="4" t="str">
        <f>HYPERLINK("http://141.218.60.56/~jnz1568/getInfo.php?workbook=06_02.xlsx&amp;sheet=A0&amp;row=194&amp;col=16&amp;number=&amp;sourceID=32","")</f>
        <v/>
      </c>
      <c r="Q194" s="4" t="str">
        <f>HYPERLINK("http://141.218.60.56/~jnz1568/getInfo.php?workbook=06_02.xlsx&amp;sheet=A0&amp;row=194&amp;col=17&amp;number=&amp;sourceID=32","")</f>
        <v/>
      </c>
      <c r="R194" s="4" t="str">
        <f>HYPERLINK("http://141.218.60.56/~jnz1568/getInfo.php?workbook=06_02.xlsx&amp;sheet=A0&amp;row=194&amp;col=18&amp;number=0.008649&amp;sourceID=32","0.008649")</f>
        <v>0.008649</v>
      </c>
    </row>
    <row r="195" spans="1:18">
      <c r="A195" s="3">
        <v>6</v>
      </c>
      <c r="B195" s="3">
        <v>2</v>
      </c>
      <c r="C195" s="3">
        <v>22</v>
      </c>
      <c r="D195" s="3">
        <v>17</v>
      </c>
      <c r="E195" s="3">
        <f>((1/(INDEX(E0!J$4:J$52,C195,1)-INDEX(E0!J$4:J$52,D195,1))))*100000000</f>
        <v>0</v>
      </c>
      <c r="F195" s="4" t="str">
        <f>HYPERLINK("http://141.218.60.56/~jnz1568/getInfo.php?workbook=06_02.xlsx&amp;sheet=A0&amp;row=195&amp;col=6&amp;number=&amp;sourceID=27","")</f>
        <v/>
      </c>
      <c r="G195" s="4" t="str">
        <f>HYPERLINK("http://141.218.60.56/~jnz1568/getInfo.php?workbook=06_02.xlsx&amp;sheet=A0&amp;row=195&amp;col=7&amp;number=&amp;sourceID=34","")</f>
        <v/>
      </c>
      <c r="H195" s="4" t="str">
        <f>HYPERLINK("http://141.218.60.56/~jnz1568/getInfo.php?workbook=06_02.xlsx&amp;sheet=A0&amp;row=195&amp;col=8&amp;number=&amp;sourceID=34","")</f>
        <v/>
      </c>
      <c r="I195" s="4" t="str">
        <f>HYPERLINK("http://141.218.60.56/~jnz1568/getInfo.php?workbook=06_02.xlsx&amp;sheet=A0&amp;row=195&amp;col=9&amp;number=&amp;sourceID=34","")</f>
        <v/>
      </c>
      <c r="J195" s="4" t="str">
        <f>HYPERLINK("http://141.218.60.56/~jnz1568/getInfo.php?workbook=06_02.xlsx&amp;sheet=A0&amp;row=195&amp;col=10&amp;number=&amp;sourceID=34","")</f>
        <v/>
      </c>
      <c r="K195" s="4" t="str">
        <f>HYPERLINK("http://141.218.60.56/~jnz1568/getInfo.php?workbook=06_02.xlsx&amp;sheet=A0&amp;row=195&amp;col=11&amp;number=&amp;sourceID=30","")</f>
        <v/>
      </c>
      <c r="L195" s="4" t="str">
        <f>HYPERLINK("http://141.218.60.56/~jnz1568/getInfo.php?workbook=06_02.xlsx&amp;sheet=A0&amp;row=195&amp;col=12&amp;number=0.4996&amp;sourceID=30","0.4996")</f>
        <v>0.4996</v>
      </c>
      <c r="M195" s="4" t="str">
        <f>HYPERLINK("http://141.218.60.56/~jnz1568/getInfo.php?workbook=06_02.xlsx&amp;sheet=A0&amp;row=195&amp;col=13&amp;number=0.0004995&amp;sourceID=30","0.0004995")</f>
        <v>0.0004995</v>
      </c>
      <c r="N195" s="4" t="str">
        <f>HYPERLINK("http://141.218.60.56/~jnz1568/getInfo.php?workbook=06_02.xlsx&amp;sheet=A0&amp;row=195&amp;col=14&amp;number=&amp;sourceID=30","")</f>
        <v/>
      </c>
      <c r="O195" s="4" t="str">
        <f>HYPERLINK("http://141.218.60.56/~jnz1568/getInfo.php?workbook=06_02.xlsx&amp;sheet=A0&amp;row=195&amp;col=15&amp;number=&amp;sourceID=32","")</f>
        <v/>
      </c>
      <c r="P195" s="4" t="str">
        <f>HYPERLINK("http://141.218.60.56/~jnz1568/getInfo.php?workbook=06_02.xlsx&amp;sheet=A0&amp;row=195&amp;col=16&amp;number=0.5436&amp;sourceID=32","0.5436")</f>
        <v>0.5436</v>
      </c>
      <c r="Q195" s="4" t="str">
        <f>HYPERLINK("http://141.218.60.56/~jnz1568/getInfo.php?workbook=06_02.xlsx&amp;sheet=A0&amp;row=195&amp;col=17&amp;number=0.0005481&amp;sourceID=32","0.0005481")</f>
        <v>0.0005481</v>
      </c>
      <c r="R195" s="4" t="str">
        <f>HYPERLINK("http://141.218.60.56/~jnz1568/getInfo.php?workbook=06_02.xlsx&amp;sheet=A0&amp;row=195&amp;col=18&amp;number=&amp;sourceID=32","")</f>
        <v/>
      </c>
    </row>
    <row r="196" spans="1:18">
      <c r="A196" s="3">
        <v>6</v>
      </c>
      <c r="B196" s="3">
        <v>2</v>
      </c>
      <c r="C196" s="3">
        <v>22</v>
      </c>
      <c r="D196" s="3">
        <v>18</v>
      </c>
      <c r="E196" s="3">
        <f>((1/(INDEX(E0!J$4:J$52,C196,1)-INDEX(E0!J$4:J$52,D196,1))))*100000000</f>
        <v>0</v>
      </c>
      <c r="F196" s="4" t="str">
        <f>HYPERLINK("http://141.218.60.56/~jnz1568/getInfo.php?workbook=06_02.xlsx&amp;sheet=A0&amp;row=196&amp;col=6&amp;number=&amp;sourceID=27","")</f>
        <v/>
      </c>
      <c r="G196" s="4" t="str">
        <f>HYPERLINK("http://141.218.60.56/~jnz1568/getInfo.php?workbook=06_02.xlsx&amp;sheet=A0&amp;row=196&amp;col=7&amp;number=&amp;sourceID=34","")</f>
        <v/>
      </c>
      <c r="H196" s="4" t="str">
        <f>HYPERLINK("http://141.218.60.56/~jnz1568/getInfo.php?workbook=06_02.xlsx&amp;sheet=A0&amp;row=196&amp;col=8&amp;number=&amp;sourceID=34","")</f>
        <v/>
      </c>
      <c r="I196" s="4" t="str">
        <f>HYPERLINK("http://141.218.60.56/~jnz1568/getInfo.php?workbook=06_02.xlsx&amp;sheet=A0&amp;row=196&amp;col=9&amp;number=&amp;sourceID=34","")</f>
        <v/>
      </c>
      <c r="J196" s="4" t="str">
        <f>HYPERLINK("http://141.218.60.56/~jnz1568/getInfo.php?workbook=06_02.xlsx&amp;sheet=A0&amp;row=196&amp;col=10&amp;number=&amp;sourceID=34","")</f>
        <v/>
      </c>
      <c r="K196" s="4" t="str">
        <f>HYPERLINK("http://141.218.60.56/~jnz1568/getInfo.php?workbook=06_02.xlsx&amp;sheet=A0&amp;row=196&amp;col=11&amp;number=1656000&amp;sourceID=30","1656000")</f>
        <v>1656000</v>
      </c>
      <c r="L196" s="4" t="str">
        <f>HYPERLINK("http://141.218.60.56/~jnz1568/getInfo.php?workbook=06_02.xlsx&amp;sheet=A0&amp;row=196&amp;col=12&amp;number=&amp;sourceID=30","")</f>
        <v/>
      </c>
      <c r="M196" s="4" t="str">
        <f>HYPERLINK("http://141.218.60.56/~jnz1568/getInfo.php?workbook=06_02.xlsx&amp;sheet=A0&amp;row=196&amp;col=13&amp;number=&amp;sourceID=30","")</f>
        <v/>
      </c>
      <c r="N196" s="4" t="str">
        <f>HYPERLINK("http://141.218.60.56/~jnz1568/getInfo.php?workbook=06_02.xlsx&amp;sheet=A0&amp;row=196&amp;col=14&amp;number=2.628e-07&amp;sourceID=30","2.628e-07")</f>
        <v>2.628e-07</v>
      </c>
      <c r="O196" s="4" t="str">
        <f>HYPERLINK("http://141.218.60.56/~jnz1568/getInfo.php?workbook=06_02.xlsx&amp;sheet=A0&amp;row=196&amp;col=15&amp;number=1594000&amp;sourceID=32","1594000")</f>
        <v>1594000</v>
      </c>
      <c r="P196" s="4" t="str">
        <f>HYPERLINK("http://141.218.60.56/~jnz1568/getInfo.php?workbook=06_02.xlsx&amp;sheet=A0&amp;row=196&amp;col=16&amp;number=&amp;sourceID=32","")</f>
        <v/>
      </c>
      <c r="Q196" s="4" t="str">
        <f>HYPERLINK("http://141.218.60.56/~jnz1568/getInfo.php?workbook=06_02.xlsx&amp;sheet=A0&amp;row=196&amp;col=17&amp;number=&amp;sourceID=32","")</f>
        <v/>
      </c>
      <c r="R196" s="4" t="str">
        <f>HYPERLINK("http://141.218.60.56/~jnz1568/getInfo.php?workbook=06_02.xlsx&amp;sheet=A0&amp;row=196&amp;col=18&amp;number=2.48e-07&amp;sourceID=32","2.48e-07")</f>
        <v>2.48e-07</v>
      </c>
    </row>
    <row r="197" spans="1:18">
      <c r="A197" s="3">
        <v>6</v>
      </c>
      <c r="B197" s="3">
        <v>2</v>
      </c>
      <c r="C197" s="3">
        <v>22</v>
      </c>
      <c r="D197" s="3">
        <v>20</v>
      </c>
      <c r="E197" s="3">
        <f>((1/(INDEX(E0!J$4:J$52,C197,1)-INDEX(E0!J$4:J$52,D197,1))))*100000000</f>
        <v>0</v>
      </c>
      <c r="F197" s="4" t="str">
        <f>HYPERLINK("http://141.218.60.56/~jnz1568/getInfo.php?workbook=06_02.xlsx&amp;sheet=A0&amp;row=197&amp;col=6&amp;number=&amp;sourceID=27","")</f>
        <v/>
      </c>
      <c r="G197" s="4" t="str">
        <f>HYPERLINK("http://141.218.60.56/~jnz1568/getInfo.php?workbook=06_02.xlsx&amp;sheet=A0&amp;row=197&amp;col=7&amp;number=&amp;sourceID=34","")</f>
        <v/>
      </c>
      <c r="H197" s="4" t="str">
        <f>HYPERLINK("http://141.218.60.56/~jnz1568/getInfo.php?workbook=06_02.xlsx&amp;sheet=A0&amp;row=197&amp;col=8&amp;number=&amp;sourceID=34","")</f>
        <v/>
      </c>
      <c r="I197" s="4" t="str">
        <f>HYPERLINK("http://141.218.60.56/~jnz1568/getInfo.php?workbook=06_02.xlsx&amp;sheet=A0&amp;row=197&amp;col=9&amp;number=&amp;sourceID=34","")</f>
        <v/>
      </c>
      <c r="J197" s="4" t="str">
        <f>HYPERLINK("http://141.218.60.56/~jnz1568/getInfo.php?workbook=06_02.xlsx&amp;sheet=A0&amp;row=197&amp;col=10&amp;number=&amp;sourceID=34","")</f>
        <v/>
      </c>
      <c r="K197" s="4" t="str">
        <f>HYPERLINK("http://141.218.60.56/~jnz1568/getInfo.php?workbook=06_02.xlsx&amp;sheet=A0&amp;row=197&amp;col=11&amp;number=&amp;sourceID=30","")</f>
        <v/>
      </c>
      <c r="L197" s="4" t="str">
        <f>HYPERLINK("http://141.218.60.56/~jnz1568/getInfo.php?workbook=06_02.xlsx&amp;sheet=A0&amp;row=197&amp;col=12&amp;number=6e-15&amp;sourceID=30","6e-15")</f>
        <v>6e-15</v>
      </c>
      <c r="M197" s="4" t="str">
        <f>HYPERLINK("http://141.218.60.56/~jnz1568/getInfo.php?workbook=06_02.xlsx&amp;sheet=A0&amp;row=197&amp;col=13&amp;number=&amp;sourceID=30","")</f>
        <v/>
      </c>
      <c r="N197" s="4" t="str">
        <f>HYPERLINK("http://141.218.60.56/~jnz1568/getInfo.php?workbook=06_02.xlsx&amp;sheet=A0&amp;row=197&amp;col=14&amp;number=&amp;sourceID=30","")</f>
        <v/>
      </c>
      <c r="O197" s="4" t="str">
        <f>HYPERLINK("http://141.218.60.56/~jnz1568/getInfo.php?workbook=06_02.xlsx&amp;sheet=A0&amp;row=197&amp;col=15&amp;number=&amp;sourceID=32","")</f>
        <v/>
      </c>
      <c r="P197" s="4" t="str">
        <f>HYPERLINK("http://141.218.60.56/~jnz1568/getInfo.php?workbook=06_02.xlsx&amp;sheet=A0&amp;row=197&amp;col=16&amp;number=&amp;sourceID=32","")</f>
        <v/>
      </c>
      <c r="Q197" s="4" t="str">
        <f>HYPERLINK("http://141.218.60.56/~jnz1568/getInfo.php?workbook=06_02.xlsx&amp;sheet=A0&amp;row=197&amp;col=17&amp;number=&amp;sourceID=32","")</f>
        <v/>
      </c>
      <c r="R197" s="4" t="str">
        <f>HYPERLINK("http://141.218.60.56/~jnz1568/getInfo.php?workbook=06_02.xlsx&amp;sheet=A0&amp;row=197&amp;col=18&amp;number=&amp;sourceID=32","")</f>
        <v/>
      </c>
    </row>
    <row r="198" spans="1:18">
      <c r="A198" s="3">
        <v>6</v>
      </c>
      <c r="B198" s="3">
        <v>2</v>
      </c>
      <c r="C198" s="3">
        <v>22</v>
      </c>
      <c r="D198" s="3">
        <v>21</v>
      </c>
      <c r="E198" s="3">
        <f>((1/(INDEX(E0!J$4:J$52,C198,1)-INDEX(E0!J$4:J$52,D198,1))))*100000000</f>
        <v>0</v>
      </c>
      <c r="F198" s="4" t="str">
        <f>HYPERLINK("http://141.218.60.56/~jnz1568/getInfo.php?workbook=06_02.xlsx&amp;sheet=A0&amp;row=198&amp;col=6&amp;number=&amp;sourceID=27","")</f>
        <v/>
      </c>
      <c r="G198" s="4" t="str">
        <f>HYPERLINK("http://141.218.60.56/~jnz1568/getInfo.php?workbook=06_02.xlsx&amp;sheet=A0&amp;row=198&amp;col=7&amp;number=&amp;sourceID=34","")</f>
        <v/>
      </c>
      <c r="H198" s="4" t="str">
        <f>HYPERLINK("http://141.218.60.56/~jnz1568/getInfo.php?workbook=06_02.xlsx&amp;sheet=A0&amp;row=198&amp;col=8&amp;number=&amp;sourceID=34","")</f>
        <v/>
      </c>
      <c r="I198" s="4" t="str">
        <f>HYPERLINK("http://141.218.60.56/~jnz1568/getInfo.php?workbook=06_02.xlsx&amp;sheet=A0&amp;row=198&amp;col=9&amp;number=&amp;sourceID=34","")</f>
        <v/>
      </c>
      <c r="J198" s="4" t="str">
        <f>HYPERLINK("http://141.218.60.56/~jnz1568/getInfo.php?workbook=06_02.xlsx&amp;sheet=A0&amp;row=198&amp;col=10&amp;number=&amp;sourceID=34","")</f>
        <v/>
      </c>
      <c r="K198" s="4" t="str">
        <f>HYPERLINK("http://141.218.60.56/~jnz1568/getInfo.php?workbook=06_02.xlsx&amp;sheet=A0&amp;row=198&amp;col=11&amp;number=&amp;sourceID=30","")</f>
        <v/>
      </c>
      <c r="L198" s="4" t="str">
        <f>HYPERLINK("http://141.218.60.56/~jnz1568/getInfo.php?workbook=06_02.xlsx&amp;sheet=A0&amp;row=198&amp;col=12&amp;number=1.5e-14&amp;sourceID=30","1.5e-14")</f>
        <v>1.5e-14</v>
      </c>
      <c r="M198" s="4" t="str">
        <f>HYPERLINK("http://141.218.60.56/~jnz1568/getInfo.php?workbook=06_02.xlsx&amp;sheet=A0&amp;row=198&amp;col=13&amp;number=6.336e-08&amp;sourceID=30","6.336e-08")</f>
        <v>6.336e-08</v>
      </c>
      <c r="N198" s="4" t="str">
        <f>HYPERLINK("http://141.218.60.56/~jnz1568/getInfo.php?workbook=06_02.xlsx&amp;sheet=A0&amp;row=198&amp;col=14&amp;number=&amp;sourceID=30","")</f>
        <v/>
      </c>
      <c r="O198" s="4" t="str">
        <f>HYPERLINK("http://141.218.60.56/~jnz1568/getInfo.php?workbook=06_02.xlsx&amp;sheet=A0&amp;row=198&amp;col=15&amp;number=&amp;sourceID=32","")</f>
        <v/>
      </c>
      <c r="P198" s="4" t="str">
        <f>HYPERLINK("http://141.218.60.56/~jnz1568/getInfo.php?workbook=06_02.xlsx&amp;sheet=A0&amp;row=198&amp;col=16&amp;number=&amp;sourceID=32","")</f>
        <v/>
      </c>
      <c r="Q198" s="4" t="str">
        <f>HYPERLINK("http://141.218.60.56/~jnz1568/getInfo.php?workbook=06_02.xlsx&amp;sheet=A0&amp;row=198&amp;col=17&amp;number=&amp;sourceID=32","")</f>
        <v/>
      </c>
      <c r="R198" s="4" t="str">
        <f>HYPERLINK("http://141.218.60.56/~jnz1568/getInfo.php?workbook=06_02.xlsx&amp;sheet=A0&amp;row=198&amp;col=18&amp;number=&amp;sourceID=32","")</f>
        <v/>
      </c>
    </row>
    <row r="199" spans="1:18">
      <c r="A199" s="3">
        <v>6</v>
      </c>
      <c r="B199" s="3">
        <v>2</v>
      </c>
      <c r="C199" s="3">
        <v>23</v>
      </c>
      <c r="D199" s="3">
        <v>1</v>
      </c>
      <c r="E199" s="3">
        <f>((1/(INDEX(E0!J$4:J$52,C199,1)-INDEX(E0!J$4:J$52,D199,1))))*100000000</f>
        <v>0</v>
      </c>
      <c r="F199" s="4" t="str">
        <f>HYPERLINK("http://141.218.60.56/~jnz1568/getInfo.php?workbook=06_02.xlsx&amp;sheet=A0&amp;row=199&amp;col=6&amp;number=&amp;sourceID=27","")</f>
        <v/>
      </c>
      <c r="G199" s="4" t="str">
        <f>HYPERLINK("http://141.218.60.56/~jnz1568/getInfo.php?workbook=06_02.xlsx&amp;sheet=A0&amp;row=199&amp;col=7&amp;number=&amp;sourceID=34","")</f>
        <v/>
      </c>
      <c r="H199" s="4" t="str">
        <f>HYPERLINK("http://141.218.60.56/~jnz1568/getInfo.php?workbook=06_02.xlsx&amp;sheet=A0&amp;row=199&amp;col=8&amp;number=&amp;sourceID=34","")</f>
        <v/>
      </c>
      <c r="I199" s="4" t="str">
        <f>HYPERLINK("http://141.218.60.56/~jnz1568/getInfo.php?workbook=06_02.xlsx&amp;sheet=A0&amp;row=199&amp;col=9&amp;number=&amp;sourceID=34","")</f>
        <v/>
      </c>
      <c r="J199" s="4" t="str">
        <f>HYPERLINK("http://141.218.60.56/~jnz1568/getInfo.php?workbook=06_02.xlsx&amp;sheet=A0&amp;row=199&amp;col=10&amp;number=&amp;sourceID=34","")</f>
        <v/>
      </c>
      <c r="K199" s="4" t="str">
        <f>HYPERLINK("http://141.218.60.56/~jnz1568/getInfo.php?workbook=06_02.xlsx&amp;sheet=A0&amp;row=199&amp;col=11&amp;number=&amp;sourceID=30","")</f>
        <v/>
      </c>
      <c r="L199" s="4" t="str">
        <f>HYPERLINK("http://141.218.60.56/~jnz1568/getInfo.php?workbook=06_02.xlsx&amp;sheet=A0&amp;row=199&amp;col=12&amp;number=&amp;sourceID=30","")</f>
        <v/>
      </c>
      <c r="M199" s="4" t="str">
        <f>HYPERLINK("http://141.218.60.56/~jnz1568/getInfo.php?workbook=06_02.xlsx&amp;sheet=A0&amp;row=199&amp;col=13&amp;number=0.8171&amp;sourceID=30","0.8171")</f>
        <v>0.8171</v>
      </c>
      <c r="N199" s="4" t="str">
        <f>HYPERLINK("http://141.218.60.56/~jnz1568/getInfo.php?workbook=06_02.xlsx&amp;sheet=A0&amp;row=199&amp;col=14&amp;number=&amp;sourceID=30","")</f>
        <v/>
      </c>
      <c r="O199" s="4" t="str">
        <f>HYPERLINK("http://141.218.60.56/~jnz1568/getInfo.php?workbook=06_02.xlsx&amp;sheet=A0&amp;row=199&amp;col=15&amp;number=&amp;sourceID=32","")</f>
        <v/>
      </c>
      <c r="P199" s="4" t="str">
        <f>HYPERLINK("http://141.218.60.56/~jnz1568/getInfo.php?workbook=06_02.xlsx&amp;sheet=A0&amp;row=199&amp;col=16&amp;number=&amp;sourceID=32","")</f>
        <v/>
      </c>
      <c r="Q199" s="4" t="str">
        <f>HYPERLINK("http://141.218.60.56/~jnz1568/getInfo.php?workbook=06_02.xlsx&amp;sheet=A0&amp;row=199&amp;col=17&amp;number=0.1075&amp;sourceID=32","0.1075")</f>
        <v>0.1075</v>
      </c>
      <c r="R199" s="4" t="str">
        <f>HYPERLINK("http://141.218.60.56/~jnz1568/getInfo.php?workbook=06_02.xlsx&amp;sheet=A0&amp;row=199&amp;col=18&amp;number=&amp;sourceID=32","")</f>
        <v/>
      </c>
    </row>
    <row r="200" spans="1:18">
      <c r="A200" s="3">
        <v>6</v>
      </c>
      <c r="B200" s="3">
        <v>2</v>
      </c>
      <c r="C200" s="3">
        <v>23</v>
      </c>
      <c r="D200" s="3">
        <v>2</v>
      </c>
      <c r="E200" s="3">
        <f>((1/(INDEX(E0!J$4:J$52,C200,1)-INDEX(E0!J$4:J$52,D200,1))))*100000000</f>
        <v>0</v>
      </c>
      <c r="F200" s="4" t="str">
        <f>HYPERLINK("http://141.218.60.56/~jnz1568/getInfo.php?workbook=06_02.xlsx&amp;sheet=A0&amp;row=200&amp;col=6&amp;number=&amp;sourceID=27","")</f>
        <v/>
      </c>
      <c r="G200" s="4" t="str">
        <f>HYPERLINK("http://141.218.60.56/~jnz1568/getInfo.php?workbook=06_02.xlsx&amp;sheet=A0&amp;row=200&amp;col=7&amp;number=&amp;sourceID=34","")</f>
        <v/>
      </c>
      <c r="H200" s="4" t="str">
        <f>HYPERLINK("http://141.218.60.56/~jnz1568/getInfo.php?workbook=06_02.xlsx&amp;sheet=A0&amp;row=200&amp;col=8&amp;number=&amp;sourceID=34","")</f>
        <v/>
      </c>
      <c r="I200" s="4" t="str">
        <f>HYPERLINK("http://141.218.60.56/~jnz1568/getInfo.php?workbook=06_02.xlsx&amp;sheet=A0&amp;row=200&amp;col=9&amp;number=&amp;sourceID=34","")</f>
        <v/>
      </c>
      <c r="J200" s="4" t="str">
        <f>HYPERLINK("http://141.218.60.56/~jnz1568/getInfo.php?workbook=06_02.xlsx&amp;sheet=A0&amp;row=200&amp;col=10&amp;number=&amp;sourceID=34","")</f>
        <v/>
      </c>
      <c r="K200" s="4" t="str">
        <f>HYPERLINK("http://141.218.60.56/~jnz1568/getInfo.php?workbook=06_02.xlsx&amp;sheet=A0&amp;row=200&amp;col=11&amp;number=&amp;sourceID=30","")</f>
        <v/>
      </c>
      <c r="L200" s="4" t="str">
        <f>HYPERLINK("http://141.218.60.56/~jnz1568/getInfo.php?workbook=06_02.xlsx&amp;sheet=A0&amp;row=200&amp;col=12&amp;number=195400&amp;sourceID=30","195400")</f>
        <v>195400</v>
      </c>
      <c r="M200" s="4" t="str">
        <f>HYPERLINK("http://141.218.60.56/~jnz1568/getInfo.php?workbook=06_02.xlsx&amp;sheet=A0&amp;row=200&amp;col=13&amp;number=0.002263&amp;sourceID=30","0.002263")</f>
        <v>0.002263</v>
      </c>
      <c r="N200" s="4" t="str">
        <f>HYPERLINK("http://141.218.60.56/~jnz1568/getInfo.php?workbook=06_02.xlsx&amp;sheet=A0&amp;row=200&amp;col=14&amp;number=&amp;sourceID=30","")</f>
        <v/>
      </c>
      <c r="O200" s="4" t="str">
        <f>HYPERLINK("http://141.218.60.56/~jnz1568/getInfo.php?workbook=06_02.xlsx&amp;sheet=A0&amp;row=200&amp;col=15&amp;number=&amp;sourceID=32","")</f>
        <v/>
      </c>
      <c r="P200" s="4" t="str">
        <f>HYPERLINK("http://141.218.60.56/~jnz1568/getInfo.php?workbook=06_02.xlsx&amp;sheet=A0&amp;row=200&amp;col=16&amp;number=214600&amp;sourceID=32","214600")</f>
        <v>214600</v>
      </c>
      <c r="Q200" s="4" t="str">
        <f>HYPERLINK("http://141.218.60.56/~jnz1568/getInfo.php?workbook=06_02.xlsx&amp;sheet=A0&amp;row=200&amp;col=17&amp;number=0.002836&amp;sourceID=32","0.002836")</f>
        <v>0.002836</v>
      </c>
      <c r="R200" s="4" t="str">
        <f>HYPERLINK("http://141.218.60.56/~jnz1568/getInfo.php?workbook=06_02.xlsx&amp;sheet=A0&amp;row=200&amp;col=18&amp;number=&amp;sourceID=32","")</f>
        <v/>
      </c>
    </row>
    <row r="201" spans="1:18">
      <c r="A201" s="3">
        <v>6</v>
      </c>
      <c r="B201" s="3">
        <v>2</v>
      </c>
      <c r="C201" s="3">
        <v>23</v>
      </c>
      <c r="D201" s="3">
        <v>3</v>
      </c>
      <c r="E201" s="3">
        <f>((1/(INDEX(E0!J$4:J$52,C201,1)-INDEX(E0!J$4:J$52,D201,1))))*100000000</f>
        <v>0</v>
      </c>
      <c r="F201" s="4" t="str">
        <f>HYPERLINK("http://141.218.60.56/~jnz1568/getInfo.php?workbook=06_02.xlsx&amp;sheet=A0&amp;row=201&amp;col=6&amp;number=&amp;sourceID=27","")</f>
        <v/>
      </c>
      <c r="G201" s="4" t="str">
        <f>HYPERLINK("http://141.218.60.56/~jnz1568/getInfo.php?workbook=06_02.xlsx&amp;sheet=A0&amp;row=201&amp;col=7&amp;number=&amp;sourceID=34","")</f>
        <v/>
      </c>
      <c r="H201" s="4" t="str">
        <f>HYPERLINK("http://141.218.60.56/~jnz1568/getInfo.php?workbook=06_02.xlsx&amp;sheet=A0&amp;row=201&amp;col=8&amp;number=&amp;sourceID=34","")</f>
        <v/>
      </c>
      <c r="I201" s="4" t="str">
        <f>HYPERLINK("http://141.218.60.56/~jnz1568/getInfo.php?workbook=06_02.xlsx&amp;sheet=A0&amp;row=201&amp;col=9&amp;number=&amp;sourceID=34","")</f>
        <v/>
      </c>
      <c r="J201" s="4" t="str">
        <f>HYPERLINK("http://141.218.60.56/~jnz1568/getInfo.php?workbook=06_02.xlsx&amp;sheet=A0&amp;row=201&amp;col=10&amp;number=&amp;sourceID=34","")</f>
        <v/>
      </c>
      <c r="K201" s="4" t="str">
        <f>HYPERLINK("http://141.218.60.56/~jnz1568/getInfo.php?workbook=06_02.xlsx&amp;sheet=A0&amp;row=201&amp;col=11&amp;number=&amp;sourceID=30","")</f>
        <v/>
      </c>
      <c r="L201" s="4" t="str">
        <f>HYPERLINK("http://141.218.60.56/~jnz1568/getInfo.php?workbook=06_02.xlsx&amp;sheet=A0&amp;row=201&amp;col=12&amp;number=&amp;sourceID=30","")</f>
        <v/>
      </c>
      <c r="M201" s="4" t="str">
        <f>HYPERLINK("http://141.218.60.56/~jnz1568/getInfo.php?workbook=06_02.xlsx&amp;sheet=A0&amp;row=201&amp;col=13&amp;number=0.0003801&amp;sourceID=30","0.0003801")</f>
        <v>0.0003801</v>
      </c>
      <c r="N201" s="4" t="str">
        <f>HYPERLINK("http://141.218.60.56/~jnz1568/getInfo.php?workbook=06_02.xlsx&amp;sheet=A0&amp;row=201&amp;col=14&amp;number=&amp;sourceID=30","")</f>
        <v/>
      </c>
      <c r="O201" s="4" t="str">
        <f>HYPERLINK("http://141.218.60.56/~jnz1568/getInfo.php?workbook=06_02.xlsx&amp;sheet=A0&amp;row=201&amp;col=15&amp;number=&amp;sourceID=32","")</f>
        <v/>
      </c>
      <c r="P201" s="4" t="str">
        <f>HYPERLINK("http://141.218.60.56/~jnz1568/getInfo.php?workbook=06_02.xlsx&amp;sheet=A0&amp;row=201&amp;col=16&amp;number=&amp;sourceID=32","")</f>
        <v/>
      </c>
      <c r="Q201" s="4" t="str">
        <f>HYPERLINK("http://141.218.60.56/~jnz1568/getInfo.php?workbook=06_02.xlsx&amp;sheet=A0&amp;row=201&amp;col=17&amp;number=0.0008749&amp;sourceID=32","0.0008749")</f>
        <v>0.0008749</v>
      </c>
      <c r="R201" s="4" t="str">
        <f>HYPERLINK("http://141.218.60.56/~jnz1568/getInfo.php?workbook=06_02.xlsx&amp;sheet=A0&amp;row=201&amp;col=18&amp;number=&amp;sourceID=32","")</f>
        <v/>
      </c>
    </row>
    <row r="202" spans="1:18">
      <c r="A202" s="3">
        <v>6</v>
      </c>
      <c r="B202" s="3">
        <v>2</v>
      </c>
      <c r="C202" s="3">
        <v>23</v>
      </c>
      <c r="D202" s="3">
        <v>4</v>
      </c>
      <c r="E202" s="3">
        <f>((1/(INDEX(E0!J$4:J$52,C202,1)-INDEX(E0!J$4:J$52,D202,1))))*100000000</f>
        <v>0</v>
      </c>
      <c r="F202" s="4" t="str">
        <f>HYPERLINK("http://141.218.60.56/~jnz1568/getInfo.php?workbook=06_02.xlsx&amp;sheet=A0&amp;row=202&amp;col=6&amp;number=&amp;sourceID=27","")</f>
        <v/>
      </c>
      <c r="G202" s="4" t="str">
        <f>HYPERLINK("http://141.218.60.56/~jnz1568/getInfo.php?workbook=06_02.xlsx&amp;sheet=A0&amp;row=202&amp;col=7&amp;number=&amp;sourceID=34","")</f>
        <v/>
      </c>
      <c r="H202" s="4" t="str">
        <f>HYPERLINK("http://141.218.60.56/~jnz1568/getInfo.php?workbook=06_02.xlsx&amp;sheet=A0&amp;row=202&amp;col=8&amp;number=&amp;sourceID=34","")</f>
        <v/>
      </c>
      <c r="I202" s="4" t="str">
        <f>HYPERLINK("http://141.218.60.56/~jnz1568/getInfo.php?workbook=06_02.xlsx&amp;sheet=A0&amp;row=202&amp;col=9&amp;number=&amp;sourceID=34","")</f>
        <v/>
      </c>
      <c r="J202" s="4" t="str">
        <f>HYPERLINK("http://141.218.60.56/~jnz1568/getInfo.php?workbook=06_02.xlsx&amp;sheet=A0&amp;row=202&amp;col=10&amp;number=&amp;sourceID=34","")</f>
        <v/>
      </c>
      <c r="K202" s="4" t="str">
        <f>HYPERLINK("http://141.218.60.56/~jnz1568/getInfo.php?workbook=06_02.xlsx&amp;sheet=A0&amp;row=202&amp;col=11&amp;number=5811000000&amp;sourceID=30","5811000000")</f>
        <v>5811000000</v>
      </c>
      <c r="L202" s="4" t="str">
        <f>HYPERLINK("http://141.218.60.56/~jnz1568/getInfo.php?workbook=06_02.xlsx&amp;sheet=A0&amp;row=202&amp;col=12&amp;number=&amp;sourceID=30","")</f>
        <v/>
      </c>
      <c r="M202" s="4" t="str">
        <f>HYPERLINK("http://141.218.60.56/~jnz1568/getInfo.php?workbook=06_02.xlsx&amp;sheet=A0&amp;row=202&amp;col=13&amp;number=&amp;sourceID=30","")</f>
        <v/>
      </c>
      <c r="N202" s="4" t="str">
        <f>HYPERLINK("http://141.218.60.56/~jnz1568/getInfo.php?workbook=06_02.xlsx&amp;sheet=A0&amp;row=202&amp;col=14&amp;number=0.984&amp;sourceID=30","0.984")</f>
        <v>0.984</v>
      </c>
      <c r="O202" s="4" t="str">
        <f>HYPERLINK("http://141.218.60.56/~jnz1568/getInfo.php?workbook=06_02.xlsx&amp;sheet=A0&amp;row=202&amp;col=15&amp;number=5889000000&amp;sourceID=32","5889000000")</f>
        <v>5889000000</v>
      </c>
      <c r="P202" s="4" t="str">
        <f>HYPERLINK("http://141.218.60.56/~jnz1568/getInfo.php?workbook=06_02.xlsx&amp;sheet=A0&amp;row=202&amp;col=16&amp;number=&amp;sourceID=32","")</f>
        <v/>
      </c>
      <c r="Q202" s="4" t="str">
        <f>HYPERLINK("http://141.218.60.56/~jnz1568/getInfo.php?workbook=06_02.xlsx&amp;sheet=A0&amp;row=202&amp;col=17&amp;number=&amp;sourceID=32","")</f>
        <v/>
      </c>
      <c r="R202" s="4" t="str">
        <f>HYPERLINK("http://141.218.60.56/~jnz1568/getInfo.php?workbook=06_02.xlsx&amp;sheet=A0&amp;row=202&amp;col=18&amp;number=1.015&amp;sourceID=32","1.015")</f>
        <v>1.015</v>
      </c>
    </row>
    <row r="203" spans="1:18">
      <c r="A203" s="3">
        <v>6</v>
      </c>
      <c r="B203" s="3">
        <v>2</v>
      </c>
      <c r="C203" s="3">
        <v>23</v>
      </c>
      <c r="D203" s="3">
        <v>5</v>
      </c>
      <c r="E203" s="3">
        <f>((1/(INDEX(E0!J$4:J$52,C203,1)-INDEX(E0!J$4:J$52,D203,1))))*100000000</f>
        <v>0</v>
      </c>
      <c r="F203" s="4" t="str">
        <f>HYPERLINK("http://141.218.60.56/~jnz1568/getInfo.php?workbook=06_02.xlsx&amp;sheet=A0&amp;row=203&amp;col=6&amp;number=&amp;sourceID=27","")</f>
        <v/>
      </c>
      <c r="G203" s="4" t="str">
        <f>HYPERLINK("http://141.218.60.56/~jnz1568/getInfo.php?workbook=06_02.xlsx&amp;sheet=A0&amp;row=203&amp;col=7&amp;number=&amp;sourceID=34","")</f>
        <v/>
      </c>
      <c r="H203" s="4" t="str">
        <f>HYPERLINK("http://141.218.60.56/~jnz1568/getInfo.php?workbook=06_02.xlsx&amp;sheet=A0&amp;row=203&amp;col=8&amp;number=&amp;sourceID=34","")</f>
        <v/>
      </c>
      <c r="I203" s="4" t="str">
        <f>HYPERLINK("http://141.218.60.56/~jnz1568/getInfo.php?workbook=06_02.xlsx&amp;sheet=A0&amp;row=203&amp;col=9&amp;number=&amp;sourceID=34","")</f>
        <v/>
      </c>
      <c r="J203" s="4" t="str">
        <f>HYPERLINK("http://141.218.60.56/~jnz1568/getInfo.php?workbook=06_02.xlsx&amp;sheet=A0&amp;row=203&amp;col=10&amp;number=&amp;sourceID=34","")</f>
        <v/>
      </c>
      <c r="K203" s="4" t="str">
        <f>HYPERLINK("http://141.218.60.56/~jnz1568/getInfo.php?workbook=06_02.xlsx&amp;sheet=A0&amp;row=203&amp;col=11&amp;number=7748000000&amp;sourceID=30","7748000000")</f>
        <v>7748000000</v>
      </c>
      <c r="L203" s="4" t="str">
        <f>HYPERLINK("http://141.218.60.56/~jnz1568/getInfo.php?workbook=06_02.xlsx&amp;sheet=A0&amp;row=203&amp;col=12&amp;number=&amp;sourceID=30","")</f>
        <v/>
      </c>
      <c r="M203" s="4" t="str">
        <f>HYPERLINK("http://141.218.60.56/~jnz1568/getInfo.php?workbook=06_02.xlsx&amp;sheet=A0&amp;row=203&amp;col=13&amp;number=&amp;sourceID=30","")</f>
        <v/>
      </c>
      <c r="N203" s="4" t="str">
        <f>HYPERLINK("http://141.218.60.56/~jnz1568/getInfo.php?workbook=06_02.xlsx&amp;sheet=A0&amp;row=203&amp;col=14&amp;number=&amp;sourceID=30","")</f>
        <v/>
      </c>
      <c r="O203" s="4" t="str">
        <f>HYPERLINK("http://141.218.60.56/~jnz1568/getInfo.php?workbook=06_02.xlsx&amp;sheet=A0&amp;row=203&amp;col=15&amp;number=7851000000&amp;sourceID=32","7851000000")</f>
        <v>7851000000</v>
      </c>
      <c r="P203" s="4" t="str">
        <f>HYPERLINK("http://141.218.60.56/~jnz1568/getInfo.php?workbook=06_02.xlsx&amp;sheet=A0&amp;row=203&amp;col=16&amp;number=&amp;sourceID=32","")</f>
        <v/>
      </c>
      <c r="Q203" s="4" t="str">
        <f>HYPERLINK("http://141.218.60.56/~jnz1568/getInfo.php?workbook=06_02.xlsx&amp;sheet=A0&amp;row=203&amp;col=17&amp;number=&amp;sourceID=32","")</f>
        <v/>
      </c>
      <c r="R203" s="4" t="str">
        <f>HYPERLINK("http://141.218.60.56/~jnz1568/getInfo.php?workbook=06_02.xlsx&amp;sheet=A0&amp;row=203&amp;col=18&amp;number=&amp;sourceID=32","")</f>
        <v/>
      </c>
    </row>
    <row r="204" spans="1:18">
      <c r="A204" s="3">
        <v>6</v>
      </c>
      <c r="B204" s="3">
        <v>2</v>
      </c>
      <c r="C204" s="3">
        <v>23</v>
      </c>
      <c r="D204" s="3">
        <v>6</v>
      </c>
      <c r="E204" s="3">
        <f>((1/(INDEX(E0!J$4:J$52,C204,1)-INDEX(E0!J$4:J$52,D204,1))))*100000000</f>
        <v>0</v>
      </c>
      <c r="F204" s="4" t="str">
        <f>HYPERLINK("http://141.218.60.56/~jnz1568/getInfo.php?workbook=06_02.xlsx&amp;sheet=A0&amp;row=204&amp;col=6&amp;number=&amp;sourceID=27","")</f>
        <v/>
      </c>
      <c r="G204" s="4" t="str">
        <f>HYPERLINK("http://141.218.60.56/~jnz1568/getInfo.php?workbook=06_02.xlsx&amp;sheet=A0&amp;row=204&amp;col=7&amp;number=&amp;sourceID=34","")</f>
        <v/>
      </c>
      <c r="H204" s="4" t="str">
        <f>HYPERLINK("http://141.218.60.56/~jnz1568/getInfo.php?workbook=06_02.xlsx&amp;sheet=A0&amp;row=204&amp;col=8&amp;number=&amp;sourceID=34","")</f>
        <v/>
      </c>
      <c r="I204" s="4" t="str">
        <f>HYPERLINK("http://141.218.60.56/~jnz1568/getInfo.php?workbook=06_02.xlsx&amp;sheet=A0&amp;row=204&amp;col=9&amp;number=&amp;sourceID=34","")</f>
        <v/>
      </c>
      <c r="J204" s="4" t="str">
        <f>HYPERLINK("http://141.218.60.56/~jnz1568/getInfo.php?workbook=06_02.xlsx&amp;sheet=A0&amp;row=204&amp;col=10&amp;number=&amp;sourceID=34","")</f>
        <v/>
      </c>
      <c r="K204" s="4" t="str">
        <f>HYPERLINK("http://141.218.60.56/~jnz1568/getInfo.php?workbook=06_02.xlsx&amp;sheet=A0&amp;row=204&amp;col=11&amp;number=387100000&amp;sourceID=30","387100000")</f>
        <v>387100000</v>
      </c>
      <c r="L204" s="4" t="str">
        <f>HYPERLINK("http://141.218.60.56/~jnz1568/getInfo.php?workbook=06_02.xlsx&amp;sheet=A0&amp;row=204&amp;col=12&amp;number=&amp;sourceID=30","")</f>
        <v/>
      </c>
      <c r="M204" s="4" t="str">
        <f>HYPERLINK("http://141.218.60.56/~jnz1568/getInfo.php?workbook=06_02.xlsx&amp;sheet=A0&amp;row=204&amp;col=13&amp;number=&amp;sourceID=30","")</f>
        <v/>
      </c>
      <c r="N204" s="4" t="str">
        <f>HYPERLINK("http://141.218.60.56/~jnz1568/getInfo.php?workbook=06_02.xlsx&amp;sheet=A0&amp;row=204&amp;col=14&amp;number=1.804e-09&amp;sourceID=30","1.804e-09")</f>
        <v>1.804e-09</v>
      </c>
      <c r="O204" s="4" t="str">
        <f>HYPERLINK("http://141.218.60.56/~jnz1568/getInfo.php?workbook=06_02.xlsx&amp;sheet=A0&amp;row=204&amp;col=15&amp;number=392200000&amp;sourceID=32","392200000")</f>
        <v>392200000</v>
      </c>
      <c r="P204" s="4" t="str">
        <f>HYPERLINK("http://141.218.60.56/~jnz1568/getInfo.php?workbook=06_02.xlsx&amp;sheet=A0&amp;row=204&amp;col=16&amp;number=&amp;sourceID=32","")</f>
        <v/>
      </c>
      <c r="Q204" s="4" t="str">
        <f>HYPERLINK("http://141.218.60.56/~jnz1568/getInfo.php?workbook=06_02.xlsx&amp;sheet=A0&amp;row=204&amp;col=17&amp;number=&amp;sourceID=32","")</f>
        <v/>
      </c>
      <c r="R204" s="4" t="str">
        <f>HYPERLINK("http://141.218.60.56/~jnz1568/getInfo.php?workbook=06_02.xlsx&amp;sheet=A0&amp;row=204&amp;col=18&amp;number=1.45e-05&amp;sourceID=32","1.45e-05")</f>
        <v>1.45e-05</v>
      </c>
    </row>
    <row r="205" spans="1:18">
      <c r="A205" s="3">
        <v>6</v>
      </c>
      <c r="B205" s="3">
        <v>2</v>
      </c>
      <c r="C205" s="3">
        <v>23</v>
      </c>
      <c r="D205" s="3">
        <v>7</v>
      </c>
      <c r="E205" s="3">
        <f>((1/(INDEX(E0!J$4:J$52,C205,1)-INDEX(E0!J$4:J$52,D205,1))))*100000000</f>
        <v>0</v>
      </c>
      <c r="F205" s="4" t="str">
        <f>HYPERLINK("http://141.218.60.56/~jnz1568/getInfo.php?workbook=06_02.xlsx&amp;sheet=A0&amp;row=205&amp;col=6&amp;number=&amp;sourceID=27","")</f>
        <v/>
      </c>
      <c r="G205" s="4" t="str">
        <f>HYPERLINK("http://141.218.60.56/~jnz1568/getInfo.php?workbook=06_02.xlsx&amp;sheet=A0&amp;row=205&amp;col=7&amp;number=&amp;sourceID=34","")</f>
        <v/>
      </c>
      <c r="H205" s="4" t="str">
        <f>HYPERLINK("http://141.218.60.56/~jnz1568/getInfo.php?workbook=06_02.xlsx&amp;sheet=A0&amp;row=205&amp;col=8&amp;number=&amp;sourceID=34","")</f>
        <v/>
      </c>
      <c r="I205" s="4" t="str">
        <f>HYPERLINK("http://141.218.60.56/~jnz1568/getInfo.php?workbook=06_02.xlsx&amp;sheet=A0&amp;row=205&amp;col=9&amp;number=&amp;sourceID=34","")</f>
        <v/>
      </c>
      <c r="J205" s="4" t="str">
        <f>HYPERLINK("http://141.218.60.56/~jnz1568/getInfo.php?workbook=06_02.xlsx&amp;sheet=A0&amp;row=205&amp;col=10&amp;number=&amp;sourceID=34","")</f>
        <v/>
      </c>
      <c r="K205" s="4" t="str">
        <f>HYPERLINK("http://141.218.60.56/~jnz1568/getInfo.php?workbook=06_02.xlsx&amp;sheet=A0&amp;row=205&amp;col=11&amp;number=137300&amp;sourceID=30","137300")</f>
        <v>137300</v>
      </c>
      <c r="L205" s="4" t="str">
        <f>HYPERLINK("http://141.218.60.56/~jnz1568/getInfo.php?workbook=06_02.xlsx&amp;sheet=A0&amp;row=205&amp;col=12&amp;number=&amp;sourceID=30","")</f>
        <v/>
      </c>
      <c r="M205" s="4" t="str">
        <f>HYPERLINK("http://141.218.60.56/~jnz1568/getInfo.php?workbook=06_02.xlsx&amp;sheet=A0&amp;row=205&amp;col=13&amp;number=&amp;sourceID=30","")</f>
        <v/>
      </c>
      <c r="N205" s="4" t="str">
        <f>HYPERLINK("http://141.218.60.56/~jnz1568/getInfo.php?workbook=06_02.xlsx&amp;sheet=A0&amp;row=205&amp;col=14&amp;number=0.3907&amp;sourceID=30","0.3907")</f>
        <v>0.3907</v>
      </c>
      <c r="O205" s="4" t="str">
        <f>HYPERLINK("http://141.218.60.56/~jnz1568/getInfo.php?workbook=06_02.xlsx&amp;sheet=A0&amp;row=205&amp;col=15&amp;number=145200&amp;sourceID=32","145200")</f>
        <v>145200</v>
      </c>
      <c r="P205" s="4" t="str">
        <f>HYPERLINK("http://141.218.60.56/~jnz1568/getInfo.php?workbook=06_02.xlsx&amp;sheet=A0&amp;row=205&amp;col=16&amp;number=&amp;sourceID=32","")</f>
        <v/>
      </c>
      <c r="Q205" s="4" t="str">
        <f>HYPERLINK("http://141.218.60.56/~jnz1568/getInfo.php?workbook=06_02.xlsx&amp;sheet=A0&amp;row=205&amp;col=17&amp;number=&amp;sourceID=32","")</f>
        <v/>
      </c>
      <c r="R205" s="4" t="str">
        <f>HYPERLINK("http://141.218.60.56/~jnz1568/getInfo.php?workbook=06_02.xlsx&amp;sheet=A0&amp;row=205&amp;col=18&amp;number=0.3875&amp;sourceID=32","0.3875")</f>
        <v>0.3875</v>
      </c>
    </row>
    <row r="206" spans="1:18">
      <c r="A206" s="3">
        <v>6</v>
      </c>
      <c r="B206" s="3">
        <v>2</v>
      </c>
      <c r="C206" s="3">
        <v>23</v>
      </c>
      <c r="D206" s="3">
        <v>8</v>
      </c>
      <c r="E206" s="3">
        <f>((1/(INDEX(E0!J$4:J$52,C206,1)-INDEX(E0!J$4:J$52,D206,1))))*100000000</f>
        <v>0</v>
      </c>
      <c r="F206" s="4" t="str">
        <f>HYPERLINK("http://141.218.60.56/~jnz1568/getInfo.php?workbook=06_02.xlsx&amp;sheet=A0&amp;row=206&amp;col=6&amp;number=&amp;sourceID=27","")</f>
        <v/>
      </c>
      <c r="G206" s="4" t="str">
        <f>HYPERLINK("http://141.218.60.56/~jnz1568/getInfo.php?workbook=06_02.xlsx&amp;sheet=A0&amp;row=206&amp;col=7&amp;number=&amp;sourceID=34","")</f>
        <v/>
      </c>
      <c r="H206" s="4" t="str">
        <f>HYPERLINK("http://141.218.60.56/~jnz1568/getInfo.php?workbook=06_02.xlsx&amp;sheet=A0&amp;row=206&amp;col=8&amp;number=&amp;sourceID=34","")</f>
        <v/>
      </c>
      <c r="I206" s="4" t="str">
        <f>HYPERLINK("http://141.218.60.56/~jnz1568/getInfo.php?workbook=06_02.xlsx&amp;sheet=A0&amp;row=206&amp;col=9&amp;number=&amp;sourceID=34","")</f>
        <v/>
      </c>
      <c r="J206" s="4" t="str">
        <f>HYPERLINK("http://141.218.60.56/~jnz1568/getInfo.php?workbook=06_02.xlsx&amp;sheet=A0&amp;row=206&amp;col=10&amp;number=&amp;sourceID=34","")</f>
        <v/>
      </c>
      <c r="K206" s="4" t="str">
        <f>HYPERLINK("http://141.218.60.56/~jnz1568/getInfo.php?workbook=06_02.xlsx&amp;sheet=A0&amp;row=206&amp;col=11&amp;number=&amp;sourceID=30","")</f>
        <v/>
      </c>
      <c r="L206" s="4" t="str">
        <f>HYPERLINK("http://141.218.60.56/~jnz1568/getInfo.php?workbook=06_02.xlsx&amp;sheet=A0&amp;row=206&amp;col=12&amp;number=75580&amp;sourceID=30","75580")</f>
        <v>75580</v>
      </c>
      <c r="M206" s="4" t="str">
        <f>HYPERLINK("http://141.218.60.56/~jnz1568/getInfo.php?workbook=06_02.xlsx&amp;sheet=A0&amp;row=206&amp;col=13&amp;number=4.816e-05&amp;sourceID=30","4.816e-05")</f>
        <v>4.816e-05</v>
      </c>
      <c r="N206" s="4" t="str">
        <f>HYPERLINK("http://141.218.60.56/~jnz1568/getInfo.php?workbook=06_02.xlsx&amp;sheet=A0&amp;row=206&amp;col=14&amp;number=&amp;sourceID=30","")</f>
        <v/>
      </c>
      <c r="O206" s="4" t="str">
        <f>HYPERLINK("http://141.218.60.56/~jnz1568/getInfo.php?workbook=06_02.xlsx&amp;sheet=A0&amp;row=206&amp;col=15&amp;number=&amp;sourceID=32","")</f>
        <v/>
      </c>
      <c r="P206" s="4" t="str">
        <f>HYPERLINK("http://141.218.60.56/~jnz1568/getInfo.php?workbook=06_02.xlsx&amp;sheet=A0&amp;row=206&amp;col=16&amp;number=76230&amp;sourceID=32","76230")</f>
        <v>76230</v>
      </c>
      <c r="Q206" s="4" t="str">
        <f>HYPERLINK("http://141.218.60.56/~jnz1568/getInfo.php?workbook=06_02.xlsx&amp;sheet=A0&amp;row=206&amp;col=17&amp;number=5.437e-05&amp;sourceID=32","5.437e-05")</f>
        <v>5.437e-05</v>
      </c>
      <c r="R206" s="4" t="str">
        <f>HYPERLINK("http://141.218.60.56/~jnz1568/getInfo.php?workbook=06_02.xlsx&amp;sheet=A0&amp;row=206&amp;col=18&amp;number=&amp;sourceID=32","")</f>
        <v/>
      </c>
    </row>
    <row r="207" spans="1:18">
      <c r="A207" s="3">
        <v>6</v>
      </c>
      <c r="B207" s="3">
        <v>2</v>
      </c>
      <c r="C207" s="3">
        <v>23</v>
      </c>
      <c r="D207" s="3">
        <v>9</v>
      </c>
      <c r="E207" s="3">
        <f>((1/(INDEX(E0!J$4:J$52,C207,1)-INDEX(E0!J$4:J$52,D207,1))))*100000000</f>
        <v>0</v>
      </c>
      <c r="F207" s="4" t="str">
        <f>HYPERLINK("http://141.218.60.56/~jnz1568/getInfo.php?workbook=06_02.xlsx&amp;sheet=A0&amp;row=207&amp;col=6&amp;number=&amp;sourceID=27","")</f>
        <v/>
      </c>
      <c r="G207" s="4" t="str">
        <f>HYPERLINK("http://141.218.60.56/~jnz1568/getInfo.php?workbook=06_02.xlsx&amp;sheet=A0&amp;row=207&amp;col=7&amp;number=&amp;sourceID=34","")</f>
        <v/>
      </c>
      <c r="H207" s="4" t="str">
        <f>HYPERLINK("http://141.218.60.56/~jnz1568/getInfo.php?workbook=06_02.xlsx&amp;sheet=A0&amp;row=207&amp;col=8&amp;number=&amp;sourceID=34","")</f>
        <v/>
      </c>
      <c r="I207" s="4" t="str">
        <f>HYPERLINK("http://141.218.60.56/~jnz1568/getInfo.php?workbook=06_02.xlsx&amp;sheet=A0&amp;row=207&amp;col=9&amp;number=&amp;sourceID=34","")</f>
        <v/>
      </c>
      <c r="J207" s="4" t="str">
        <f>HYPERLINK("http://141.218.60.56/~jnz1568/getInfo.php?workbook=06_02.xlsx&amp;sheet=A0&amp;row=207&amp;col=10&amp;number=&amp;sourceID=34","")</f>
        <v/>
      </c>
      <c r="K207" s="4" t="str">
        <f>HYPERLINK("http://141.218.60.56/~jnz1568/getInfo.php?workbook=06_02.xlsx&amp;sheet=A0&amp;row=207&amp;col=11&amp;number=&amp;sourceID=30","")</f>
        <v/>
      </c>
      <c r="L207" s="4" t="str">
        <f>HYPERLINK("http://141.218.60.56/~jnz1568/getInfo.php?workbook=06_02.xlsx&amp;sheet=A0&amp;row=207&amp;col=12&amp;number=&amp;sourceID=30","")</f>
        <v/>
      </c>
      <c r="M207" s="4" t="str">
        <f>HYPERLINK("http://141.218.60.56/~jnz1568/getInfo.php?workbook=06_02.xlsx&amp;sheet=A0&amp;row=207&amp;col=13&amp;number=3.642e-06&amp;sourceID=30","3.642e-06")</f>
        <v>3.642e-06</v>
      </c>
      <c r="N207" s="4" t="str">
        <f>HYPERLINK("http://141.218.60.56/~jnz1568/getInfo.php?workbook=06_02.xlsx&amp;sheet=A0&amp;row=207&amp;col=14&amp;number=&amp;sourceID=30","")</f>
        <v/>
      </c>
      <c r="O207" s="4" t="str">
        <f>HYPERLINK("http://141.218.60.56/~jnz1568/getInfo.php?workbook=06_02.xlsx&amp;sheet=A0&amp;row=207&amp;col=15&amp;number=&amp;sourceID=32","")</f>
        <v/>
      </c>
      <c r="P207" s="4" t="str">
        <f>HYPERLINK("http://141.218.60.56/~jnz1568/getInfo.php?workbook=06_02.xlsx&amp;sheet=A0&amp;row=207&amp;col=16&amp;number=&amp;sourceID=32","")</f>
        <v/>
      </c>
      <c r="Q207" s="4" t="str">
        <f>HYPERLINK("http://141.218.60.56/~jnz1568/getInfo.php?workbook=06_02.xlsx&amp;sheet=A0&amp;row=207&amp;col=17&amp;number=6.214e-06&amp;sourceID=32","6.214e-06")</f>
        <v>6.214e-06</v>
      </c>
      <c r="R207" s="4" t="str">
        <f>HYPERLINK("http://141.218.60.56/~jnz1568/getInfo.php?workbook=06_02.xlsx&amp;sheet=A0&amp;row=207&amp;col=18&amp;number=&amp;sourceID=32","")</f>
        <v/>
      </c>
    </row>
    <row r="208" spans="1:18">
      <c r="A208" s="3">
        <v>6</v>
      </c>
      <c r="B208" s="3">
        <v>2</v>
      </c>
      <c r="C208" s="3">
        <v>23</v>
      </c>
      <c r="D208" s="3">
        <v>10</v>
      </c>
      <c r="E208" s="3">
        <f>((1/(INDEX(E0!J$4:J$52,C208,1)-INDEX(E0!J$4:J$52,D208,1))))*100000000</f>
        <v>0</v>
      </c>
      <c r="F208" s="4" t="str">
        <f>HYPERLINK("http://141.218.60.56/~jnz1568/getInfo.php?workbook=06_02.xlsx&amp;sheet=A0&amp;row=208&amp;col=6&amp;number=&amp;sourceID=27","")</f>
        <v/>
      </c>
      <c r="G208" s="4" t="str">
        <f>HYPERLINK("http://141.218.60.56/~jnz1568/getInfo.php?workbook=06_02.xlsx&amp;sheet=A0&amp;row=208&amp;col=7&amp;number=&amp;sourceID=34","")</f>
        <v/>
      </c>
      <c r="H208" s="4" t="str">
        <f>HYPERLINK("http://141.218.60.56/~jnz1568/getInfo.php?workbook=06_02.xlsx&amp;sheet=A0&amp;row=208&amp;col=8&amp;number=&amp;sourceID=34","")</f>
        <v/>
      </c>
      <c r="I208" s="4" t="str">
        <f>HYPERLINK("http://141.218.60.56/~jnz1568/getInfo.php?workbook=06_02.xlsx&amp;sheet=A0&amp;row=208&amp;col=9&amp;number=&amp;sourceID=34","")</f>
        <v/>
      </c>
      <c r="J208" s="4" t="str">
        <f>HYPERLINK("http://141.218.60.56/~jnz1568/getInfo.php?workbook=06_02.xlsx&amp;sheet=A0&amp;row=208&amp;col=10&amp;number=&amp;sourceID=34","")</f>
        <v/>
      </c>
      <c r="K208" s="4" t="str">
        <f>HYPERLINK("http://141.218.60.56/~jnz1568/getInfo.php?workbook=06_02.xlsx&amp;sheet=A0&amp;row=208&amp;col=11&amp;number=1792000000&amp;sourceID=30","1792000000")</f>
        <v>1792000000</v>
      </c>
      <c r="L208" s="4" t="str">
        <f>HYPERLINK("http://141.218.60.56/~jnz1568/getInfo.php?workbook=06_02.xlsx&amp;sheet=A0&amp;row=208&amp;col=12&amp;number=&amp;sourceID=30","")</f>
        <v/>
      </c>
      <c r="M208" s="4" t="str">
        <f>HYPERLINK("http://141.218.60.56/~jnz1568/getInfo.php?workbook=06_02.xlsx&amp;sheet=A0&amp;row=208&amp;col=13&amp;number=&amp;sourceID=30","")</f>
        <v/>
      </c>
      <c r="N208" s="4" t="str">
        <f>HYPERLINK("http://141.218.60.56/~jnz1568/getInfo.php?workbook=06_02.xlsx&amp;sheet=A0&amp;row=208&amp;col=14&amp;number=0.02057&amp;sourceID=30","0.02057")</f>
        <v>0.02057</v>
      </c>
      <c r="O208" s="4" t="str">
        <f>HYPERLINK("http://141.218.60.56/~jnz1568/getInfo.php?workbook=06_02.xlsx&amp;sheet=A0&amp;row=208&amp;col=15&amp;number=1799000000&amp;sourceID=32","1799000000")</f>
        <v>1799000000</v>
      </c>
      <c r="P208" s="4" t="str">
        <f>HYPERLINK("http://141.218.60.56/~jnz1568/getInfo.php?workbook=06_02.xlsx&amp;sheet=A0&amp;row=208&amp;col=16&amp;number=&amp;sourceID=32","")</f>
        <v/>
      </c>
      <c r="Q208" s="4" t="str">
        <f>HYPERLINK("http://141.218.60.56/~jnz1568/getInfo.php?workbook=06_02.xlsx&amp;sheet=A0&amp;row=208&amp;col=17&amp;number=&amp;sourceID=32","")</f>
        <v/>
      </c>
      <c r="R208" s="4" t="str">
        <f>HYPERLINK("http://141.218.60.56/~jnz1568/getInfo.php?workbook=06_02.xlsx&amp;sheet=A0&amp;row=208&amp;col=18&amp;number=0.02074&amp;sourceID=32","0.02074")</f>
        <v>0.02074</v>
      </c>
    </row>
    <row r="209" spans="1:18">
      <c r="A209" s="3">
        <v>6</v>
      </c>
      <c r="B209" s="3">
        <v>2</v>
      </c>
      <c r="C209" s="3">
        <v>23</v>
      </c>
      <c r="D209" s="3">
        <v>11</v>
      </c>
      <c r="E209" s="3">
        <f>((1/(INDEX(E0!J$4:J$52,C209,1)-INDEX(E0!J$4:J$52,D209,1))))*100000000</f>
        <v>0</v>
      </c>
      <c r="F209" s="4" t="str">
        <f>HYPERLINK("http://141.218.60.56/~jnz1568/getInfo.php?workbook=06_02.xlsx&amp;sheet=A0&amp;row=209&amp;col=6&amp;number=&amp;sourceID=27","")</f>
        <v/>
      </c>
      <c r="G209" s="4" t="str">
        <f>HYPERLINK("http://141.218.60.56/~jnz1568/getInfo.php?workbook=06_02.xlsx&amp;sheet=A0&amp;row=209&amp;col=7&amp;number=&amp;sourceID=34","")</f>
        <v/>
      </c>
      <c r="H209" s="4" t="str">
        <f>HYPERLINK("http://141.218.60.56/~jnz1568/getInfo.php?workbook=06_02.xlsx&amp;sheet=A0&amp;row=209&amp;col=8&amp;number=&amp;sourceID=34","")</f>
        <v/>
      </c>
      <c r="I209" s="4" t="str">
        <f>HYPERLINK("http://141.218.60.56/~jnz1568/getInfo.php?workbook=06_02.xlsx&amp;sheet=A0&amp;row=209&amp;col=9&amp;number=&amp;sourceID=34","")</f>
        <v/>
      </c>
      <c r="J209" s="4" t="str">
        <f>HYPERLINK("http://141.218.60.56/~jnz1568/getInfo.php?workbook=06_02.xlsx&amp;sheet=A0&amp;row=209&amp;col=10&amp;number=&amp;sourceID=34","")</f>
        <v/>
      </c>
      <c r="K209" s="4" t="str">
        <f>HYPERLINK("http://141.218.60.56/~jnz1568/getInfo.php?workbook=06_02.xlsx&amp;sheet=A0&amp;row=209&amp;col=11&amp;number=2389000000&amp;sourceID=30","2389000000")</f>
        <v>2389000000</v>
      </c>
      <c r="L209" s="4" t="str">
        <f>HYPERLINK("http://141.218.60.56/~jnz1568/getInfo.php?workbook=06_02.xlsx&amp;sheet=A0&amp;row=209&amp;col=12&amp;number=&amp;sourceID=30","")</f>
        <v/>
      </c>
      <c r="M209" s="4" t="str">
        <f>HYPERLINK("http://141.218.60.56/~jnz1568/getInfo.php?workbook=06_02.xlsx&amp;sheet=A0&amp;row=209&amp;col=13&amp;number=&amp;sourceID=30","")</f>
        <v/>
      </c>
      <c r="N209" s="4" t="str">
        <f>HYPERLINK("http://141.218.60.56/~jnz1568/getInfo.php?workbook=06_02.xlsx&amp;sheet=A0&amp;row=209&amp;col=14&amp;number=&amp;sourceID=30","")</f>
        <v/>
      </c>
      <c r="O209" s="4" t="str">
        <f>HYPERLINK("http://141.218.60.56/~jnz1568/getInfo.php?workbook=06_02.xlsx&amp;sheet=A0&amp;row=209&amp;col=15&amp;number=2398000000&amp;sourceID=32","2398000000")</f>
        <v>2398000000</v>
      </c>
      <c r="P209" s="4" t="str">
        <f>HYPERLINK("http://141.218.60.56/~jnz1568/getInfo.php?workbook=06_02.xlsx&amp;sheet=A0&amp;row=209&amp;col=16&amp;number=&amp;sourceID=32","")</f>
        <v/>
      </c>
      <c r="Q209" s="4" t="str">
        <f>HYPERLINK("http://141.218.60.56/~jnz1568/getInfo.php?workbook=06_02.xlsx&amp;sheet=A0&amp;row=209&amp;col=17&amp;number=&amp;sourceID=32","")</f>
        <v/>
      </c>
      <c r="R209" s="4" t="str">
        <f>HYPERLINK("http://141.218.60.56/~jnz1568/getInfo.php?workbook=06_02.xlsx&amp;sheet=A0&amp;row=209&amp;col=18&amp;number=&amp;sourceID=32","")</f>
        <v/>
      </c>
    </row>
    <row r="210" spans="1:18">
      <c r="A210" s="3">
        <v>6</v>
      </c>
      <c r="B210" s="3">
        <v>2</v>
      </c>
      <c r="C210" s="3">
        <v>23</v>
      </c>
      <c r="D210" s="3">
        <v>12</v>
      </c>
      <c r="E210" s="3">
        <f>((1/(INDEX(E0!J$4:J$52,C210,1)-INDEX(E0!J$4:J$52,D210,1))))*100000000</f>
        <v>0</v>
      </c>
      <c r="F210" s="4" t="str">
        <f>HYPERLINK("http://141.218.60.56/~jnz1568/getInfo.php?workbook=06_02.xlsx&amp;sheet=A0&amp;row=210&amp;col=6&amp;number=&amp;sourceID=27","")</f>
        <v/>
      </c>
      <c r="G210" s="4" t="str">
        <f>HYPERLINK("http://141.218.60.56/~jnz1568/getInfo.php?workbook=06_02.xlsx&amp;sheet=A0&amp;row=210&amp;col=7&amp;number=&amp;sourceID=34","")</f>
        <v/>
      </c>
      <c r="H210" s="4" t="str">
        <f>HYPERLINK("http://141.218.60.56/~jnz1568/getInfo.php?workbook=06_02.xlsx&amp;sheet=A0&amp;row=210&amp;col=8&amp;number=&amp;sourceID=34","")</f>
        <v/>
      </c>
      <c r="I210" s="4" t="str">
        <f>HYPERLINK("http://141.218.60.56/~jnz1568/getInfo.php?workbook=06_02.xlsx&amp;sheet=A0&amp;row=210&amp;col=9&amp;number=&amp;sourceID=34","")</f>
        <v/>
      </c>
      <c r="J210" s="4" t="str">
        <f>HYPERLINK("http://141.218.60.56/~jnz1568/getInfo.php?workbook=06_02.xlsx&amp;sheet=A0&amp;row=210&amp;col=10&amp;number=&amp;sourceID=34","")</f>
        <v/>
      </c>
      <c r="K210" s="4" t="str">
        <f>HYPERLINK("http://141.218.60.56/~jnz1568/getInfo.php?workbook=06_02.xlsx&amp;sheet=A0&amp;row=210&amp;col=11&amp;number=119400000&amp;sourceID=30","119400000")</f>
        <v>119400000</v>
      </c>
      <c r="L210" s="4" t="str">
        <f>HYPERLINK("http://141.218.60.56/~jnz1568/getInfo.php?workbook=06_02.xlsx&amp;sheet=A0&amp;row=210&amp;col=12&amp;number=&amp;sourceID=30","")</f>
        <v/>
      </c>
      <c r="M210" s="4" t="str">
        <f>HYPERLINK("http://141.218.60.56/~jnz1568/getInfo.php?workbook=06_02.xlsx&amp;sheet=A0&amp;row=210&amp;col=13&amp;number=&amp;sourceID=30","")</f>
        <v/>
      </c>
      <c r="N210" s="4" t="str">
        <f>HYPERLINK("http://141.218.60.56/~jnz1568/getInfo.php?workbook=06_02.xlsx&amp;sheet=A0&amp;row=210&amp;col=14&amp;number=4.986e-10&amp;sourceID=30","4.986e-10")</f>
        <v>4.986e-10</v>
      </c>
      <c r="O210" s="4" t="str">
        <f>HYPERLINK("http://141.218.60.56/~jnz1568/getInfo.php?workbook=06_02.xlsx&amp;sheet=A0&amp;row=210&amp;col=15&amp;number=119900000&amp;sourceID=32","119900000")</f>
        <v>119900000</v>
      </c>
      <c r="P210" s="4" t="str">
        <f>HYPERLINK("http://141.218.60.56/~jnz1568/getInfo.php?workbook=06_02.xlsx&amp;sheet=A0&amp;row=210&amp;col=16&amp;number=&amp;sourceID=32","")</f>
        <v/>
      </c>
      <c r="Q210" s="4" t="str">
        <f>HYPERLINK("http://141.218.60.56/~jnz1568/getInfo.php?workbook=06_02.xlsx&amp;sheet=A0&amp;row=210&amp;col=17&amp;number=&amp;sourceID=32","")</f>
        <v/>
      </c>
      <c r="R210" s="4" t="str">
        <f>HYPERLINK("http://141.218.60.56/~jnz1568/getInfo.php?workbook=06_02.xlsx&amp;sheet=A0&amp;row=210&amp;col=18&amp;number=3.844e-11&amp;sourceID=32","3.844e-11")</f>
        <v>3.844e-11</v>
      </c>
    </row>
    <row r="211" spans="1:18">
      <c r="A211" s="3">
        <v>6</v>
      </c>
      <c r="B211" s="3">
        <v>2</v>
      </c>
      <c r="C211" s="3">
        <v>23</v>
      </c>
      <c r="D211" s="3">
        <v>13</v>
      </c>
      <c r="E211" s="3">
        <f>((1/(INDEX(E0!J$4:J$52,C211,1)-INDEX(E0!J$4:J$52,D211,1))))*100000000</f>
        <v>0</v>
      </c>
      <c r="F211" s="4" t="str">
        <f>HYPERLINK("http://141.218.60.56/~jnz1568/getInfo.php?workbook=06_02.xlsx&amp;sheet=A0&amp;row=211&amp;col=6&amp;number=&amp;sourceID=27","")</f>
        <v/>
      </c>
      <c r="G211" s="4" t="str">
        <f>HYPERLINK("http://141.218.60.56/~jnz1568/getInfo.php?workbook=06_02.xlsx&amp;sheet=A0&amp;row=211&amp;col=7&amp;number=&amp;sourceID=34","")</f>
        <v/>
      </c>
      <c r="H211" s="4" t="str">
        <f>HYPERLINK("http://141.218.60.56/~jnz1568/getInfo.php?workbook=06_02.xlsx&amp;sheet=A0&amp;row=211&amp;col=8&amp;number=&amp;sourceID=34","")</f>
        <v/>
      </c>
      <c r="I211" s="4" t="str">
        <f>HYPERLINK("http://141.218.60.56/~jnz1568/getInfo.php?workbook=06_02.xlsx&amp;sheet=A0&amp;row=211&amp;col=9&amp;number=&amp;sourceID=34","")</f>
        <v/>
      </c>
      <c r="J211" s="4" t="str">
        <f>HYPERLINK("http://141.218.60.56/~jnz1568/getInfo.php?workbook=06_02.xlsx&amp;sheet=A0&amp;row=211&amp;col=10&amp;number=&amp;sourceID=34","")</f>
        <v/>
      </c>
      <c r="K211" s="4" t="str">
        <f>HYPERLINK("http://141.218.60.56/~jnz1568/getInfo.php?workbook=06_02.xlsx&amp;sheet=A0&amp;row=211&amp;col=11&amp;number=&amp;sourceID=30","")</f>
        <v/>
      </c>
      <c r="L211" s="4" t="str">
        <f>HYPERLINK("http://141.218.60.56/~jnz1568/getInfo.php?workbook=06_02.xlsx&amp;sheet=A0&amp;row=211&amp;col=12&amp;number=6507&amp;sourceID=30","6507")</f>
        <v>6507</v>
      </c>
      <c r="M211" s="4" t="str">
        <f>HYPERLINK("http://141.218.60.56/~jnz1568/getInfo.php?workbook=06_02.xlsx&amp;sheet=A0&amp;row=211&amp;col=13&amp;number=0.0001495&amp;sourceID=30","0.0001495")</f>
        <v>0.0001495</v>
      </c>
      <c r="N211" s="4" t="str">
        <f>HYPERLINK("http://141.218.60.56/~jnz1568/getInfo.php?workbook=06_02.xlsx&amp;sheet=A0&amp;row=211&amp;col=14&amp;number=&amp;sourceID=30","")</f>
        <v/>
      </c>
      <c r="O211" s="4" t="str">
        <f>HYPERLINK("http://141.218.60.56/~jnz1568/getInfo.php?workbook=06_02.xlsx&amp;sheet=A0&amp;row=211&amp;col=15&amp;number=&amp;sourceID=32","")</f>
        <v/>
      </c>
      <c r="P211" s="4" t="str">
        <f>HYPERLINK("http://141.218.60.56/~jnz1568/getInfo.php?workbook=06_02.xlsx&amp;sheet=A0&amp;row=211&amp;col=16&amp;number=6516&amp;sourceID=32","6516")</f>
        <v>6516</v>
      </c>
      <c r="Q211" s="4" t="str">
        <f>HYPERLINK("http://141.218.60.56/~jnz1568/getInfo.php?workbook=06_02.xlsx&amp;sheet=A0&amp;row=211&amp;col=17&amp;number=0.0001727&amp;sourceID=32","0.0001727")</f>
        <v>0.0001727</v>
      </c>
      <c r="R211" s="4" t="str">
        <f>HYPERLINK("http://141.218.60.56/~jnz1568/getInfo.php?workbook=06_02.xlsx&amp;sheet=A0&amp;row=211&amp;col=18&amp;number=&amp;sourceID=32","")</f>
        <v/>
      </c>
    </row>
    <row r="212" spans="1:18">
      <c r="A212" s="3">
        <v>6</v>
      </c>
      <c r="B212" s="3">
        <v>2</v>
      </c>
      <c r="C212" s="3">
        <v>23</v>
      </c>
      <c r="D212" s="3">
        <v>14</v>
      </c>
      <c r="E212" s="3">
        <f>((1/(INDEX(E0!J$4:J$52,C212,1)-INDEX(E0!J$4:J$52,D212,1))))*100000000</f>
        <v>0</v>
      </c>
      <c r="F212" s="4" t="str">
        <f>HYPERLINK("http://141.218.60.56/~jnz1568/getInfo.php?workbook=06_02.xlsx&amp;sheet=A0&amp;row=212&amp;col=6&amp;number=&amp;sourceID=27","")</f>
        <v/>
      </c>
      <c r="G212" s="4" t="str">
        <f>HYPERLINK("http://141.218.60.56/~jnz1568/getInfo.php?workbook=06_02.xlsx&amp;sheet=A0&amp;row=212&amp;col=7&amp;number=&amp;sourceID=34","")</f>
        <v/>
      </c>
      <c r="H212" s="4" t="str">
        <f>HYPERLINK("http://141.218.60.56/~jnz1568/getInfo.php?workbook=06_02.xlsx&amp;sheet=A0&amp;row=212&amp;col=8&amp;number=&amp;sourceID=34","")</f>
        <v/>
      </c>
      <c r="I212" s="4" t="str">
        <f>HYPERLINK("http://141.218.60.56/~jnz1568/getInfo.php?workbook=06_02.xlsx&amp;sheet=A0&amp;row=212&amp;col=9&amp;number=&amp;sourceID=34","")</f>
        <v/>
      </c>
      <c r="J212" s="4" t="str">
        <f>HYPERLINK("http://141.218.60.56/~jnz1568/getInfo.php?workbook=06_02.xlsx&amp;sheet=A0&amp;row=212&amp;col=10&amp;number=&amp;sourceID=34","")</f>
        <v/>
      </c>
      <c r="K212" s="4" t="str">
        <f>HYPERLINK("http://141.218.60.56/~jnz1568/getInfo.php?workbook=06_02.xlsx&amp;sheet=A0&amp;row=212&amp;col=11&amp;number=&amp;sourceID=30","")</f>
        <v/>
      </c>
      <c r="L212" s="4" t="str">
        <f>HYPERLINK("http://141.218.60.56/~jnz1568/getInfo.php?workbook=06_02.xlsx&amp;sheet=A0&amp;row=212&amp;col=12&amp;number=10820&amp;sourceID=30","10820")</f>
        <v>10820</v>
      </c>
      <c r="M212" s="4" t="str">
        <f>HYPERLINK("http://141.218.60.56/~jnz1568/getInfo.php?workbook=06_02.xlsx&amp;sheet=A0&amp;row=212&amp;col=13&amp;number=4.473e-07&amp;sourceID=30","4.473e-07")</f>
        <v>4.473e-07</v>
      </c>
      <c r="N212" s="4" t="str">
        <f>HYPERLINK("http://141.218.60.56/~jnz1568/getInfo.php?workbook=06_02.xlsx&amp;sheet=A0&amp;row=212&amp;col=14&amp;number=&amp;sourceID=30","")</f>
        <v/>
      </c>
      <c r="O212" s="4" t="str">
        <f>HYPERLINK("http://141.218.60.56/~jnz1568/getInfo.php?workbook=06_02.xlsx&amp;sheet=A0&amp;row=212&amp;col=15&amp;number=&amp;sourceID=32","")</f>
        <v/>
      </c>
      <c r="P212" s="4" t="str">
        <f>HYPERLINK("http://141.218.60.56/~jnz1568/getInfo.php?workbook=06_02.xlsx&amp;sheet=A0&amp;row=212&amp;col=16&amp;number=10820&amp;sourceID=32","10820")</f>
        <v>10820</v>
      </c>
      <c r="Q212" s="4" t="str">
        <f>HYPERLINK("http://141.218.60.56/~jnz1568/getInfo.php?workbook=06_02.xlsx&amp;sheet=A0&amp;row=212&amp;col=17&amp;number=3.244e-06&amp;sourceID=32","3.244e-06")</f>
        <v>3.244e-06</v>
      </c>
      <c r="R212" s="4" t="str">
        <f>HYPERLINK("http://141.218.60.56/~jnz1568/getInfo.php?workbook=06_02.xlsx&amp;sheet=A0&amp;row=212&amp;col=18&amp;number=&amp;sourceID=32","")</f>
        <v/>
      </c>
    </row>
    <row r="213" spans="1:18">
      <c r="A213" s="3">
        <v>6</v>
      </c>
      <c r="B213" s="3">
        <v>2</v>
      </c>
      <c r="C213" s="3">
        <v>23</v>
      </c>
      <c r="D213" s="3">
        <v>15</v>
      </c>
      <c r="E213" s="3">
        <f>((1/(INDEX(E0!J$4:J$52,C213,1)-INDEX(E0!J$4:J$52,D213,1))))*100000000</f>
        <v>0</v>
      </c>
      <c r="F213" s="4" t="str">
        <f>HYPERLINK("http://141.218.60.56/~jnz1568/getInfo.php?workbook=06_02.xlsx&amp;sheet=A0&amp;row=213&amp;col=6&amp;number=&amp;sourceID=27","")</f>
        <v/>
      </c>
      <c r="G213" s="4" t="str">
        <f>HYPERLINK("http://141.218.60.56/~jnz1568/getInfo.php?workbook=06_02.xlsx&amp;sheet=A0&amp;row=213&amp;col=7&amp;number=&amp;sourceID=34","")</f>
        <v/>
      </c>
      <c r="H213" s="4" t="str">
        <f>HYPERLINK("http://141.218.60.56/~jnz1568/getInfo.php?workbook=06_02.xlsx&amp;sheet=A0&amp;row=213&amp;col=8&amp;number=&amp;sourceID=34","")</f>
        <v/>
      </c>
      <c r="I213" s="4" t="str">
        <f>HYPERLINK("http://141.218.60.56/~jnz1568/getInfo.php?workbook=06_02.xlsx&amp;sheet=A0&amp;row=213&amp;col=9&amp;number=&amp;sourceID=34","")</f>
        <v/>
      </c>
      <c r="J213" s="4" t="str">
        <f>HYPERLINK("http://141.218.60.56/~jnz1568/getInfo.php?workbook=06_02.xlsx&amp;sheet=A0&amp;row=213&amp;col=10&amp;number=&amp;sourceID=34","")</f>
        <v/>
      </c>
      <c r="K213" s="4" t="str">
        <f>HYPERLINK("http://141.218.60.56/~jnz1568/getInfo.php?workbook=06_02.xlsx&amp;sheet=A0&amp;row=213&amp;col=11&amp;number=&amp;sourceID=30","")</f>
        <v/>
      </c>
      <c r="L213" s="4" t="str">
        <f>HYPERLINK("http://141.218.60.56/~jnz1568/getInfo.php?workbook=06_02.xlsx&amp;sheet=A0&amp;row=213&amp;col=12&amp;number=1239&amp;sourceID=30","1239")</f>
        <v>1239</v>
      </c>
      <c r="M213" s="4" t="str">
        <f>HYPERLINK("http://141.218.60.56/~jnz1568/getInfo.php?workbook=06_02.xlsx&amp;sheet=A0&amp;row=213&amp;col=13&amp;number=&amp;sourceID=30","")</f>
        <v/>
      </c>
      <c r="N213" s="4" t="str">
        <f>HYPERLINK("http://141.218.60.56/~jnz1568/getInfo.php?workbook=06_02.xlsx&amp;sheet=A0&amp;row=213&amp;col=14&amp;number=&amp;sourceID=30","")</f>
        <v/>
      </c>
      <c r="O213" s="4" t="str">
        <f>HYPERLINK("http://141.218.60.56/~jnz1568/getInfo.php?workbook=06_02.xlsx&amp;sheet=A0&amp;row=213&amp;col=15&amp;number=&amp;sourceID=32","")</f>
        <v/>
      </c>
      <c r="P213" s="4" t="str">
        <f>HYPERLINK("http://141.218.60.56/~jnz1568/getInfo.php?workbook=06_02.xlsx&amp;sheet=A0&amp;row=213&amp;col=16&amp;number=1241&amp;sourceID=32","1241")</f>
        <v>1241</v>
      </c>
      <c r="Q213" s="4" t="str">
        <f>HYPERLINK("http://141.218.60.56/~jnz1568/getInfo.php?workbook=06_02.xlsx&amp;sheet=A0&amp;row=213&amp;col=17&amp;number=&amp;sourceID=32","")</f>
        <v/>
      </c>
      <c r="R213" s="4" t="str">
        <f>HYPERLINK("http://141.218.60.56/~jnz1568/getInfo.php?workbook=06_02.xlsx&amp;sheet=A0&amp;row=213&amp;col=18&amp;number=&amp;sourceID=32","")</f>
        <v/>
      </c>
    </row>
    <row r="214" spans="1:18">
      <c r="A214" s="3">
        <v>6</v>
      </c>
      <c r="B214" s="3">
        <v>2</v>
      </c>
      <c r="C214" s="3">
        <v>23</v>
      </c>
      <c r="D214" s="3">
        <v>16</v>
      </c>
      <c r="E214" s="3">
        <f>((1/(INDEX(E0!J$4:J$52,C214,1)-INDEX(E0!J$4:J$52,D214,1))))*100000000</f>
        <v>0</v>
      </c>
      <c r="F214" s="4" t="str">
        <f>HYPERLINK("http://141.218.60.56/~jnz1568/getInfo.php?workbook=06_02.xlsx&amp;sheet=A0&amp;row=214&amp;col=6&amp;number=&amp;sourceID=27","")</f>
        <v/>
      </c>
      <c r="G214" s="4" t="str">
        <f>HYPERLINK("http://141.218.60.56/~jnz1568/getInfo.php?workbook=06_02.xlsx&amp;sheet=A0&amp;row=214&amp;col=7&amp;number=&amp;sourceID=34","")</f>
        <v/>
      </c>
      <c r="H214" s="4" t="str">
        <f>HYPERLINK("http://141.218.60.56/~jnz1568/getInfo.php?workbook=06_02.xlsx&amp;sheet=A0&amp;row=214&amp;col=8&amp;number=&amp;sourceID=34","")</f>
        <v/>
      </c>
      <c r="I214" s="4" t="str">
        <f>HYPERLINK("http://141.218.60.56/~jnz1568/getInfo.php?workbook=06_02.xlsx&amp;sheet=A0&amp;row=214&amp;col=9&amp;number=&amp;sourceID=34","")</f>
        <v/>
      </c>
      <c r="J214" s="4" t="str">
        <f>HYPERLINK("http://141.218.60.56/~jnz1568/getInfo.php?workbook=06_02.xlsx&amp;sheet=A0&amp;row=214&amp;col=10&amp;number=&amp;sourceID=34","")</f>
        <v/>
      </c>
      <c r="K214" s="4" t="str">
        <f>HYPERLINK("http://141.218.60.56/~jnz1568/getInfo.php?workbook=06_02.xlsx&amp;sheet=A0&amp;row=214&amp;col=11&amp;number=&amp;sourceID=30","")</f>
        <v/>
      </c>
      <c r="L214" s="4" t="str">
        <f>HYPERLINK("http://141.218.60.56/~jnz1568/getInfo.php?workbook=06_02.xlsx&amp;sheet=A0&amp;row=214&amp;col=12&amp;number=33.94&amp;sourceID=30","33.94")</f>
        <v>33.94</v>
      </c>
      <c r="M214" s="4" t="str">
        <f>HYPERLINK("http://141.218.60.56/~jnz1568/getInfo.php?workbook=06_02.xlsx&amp;sheet=A0&amp;row=214&amp;col=13&amp;number=0.0007443&amp;sourceID=30","0.0007443")</f>
        <v>0.0007443</v>
      </c>
      <c r="N214" s="4" t="str">
        <f>HYPERLINK("http://141.218.60.56/~jnz1568/getInfo.php?workbook=06_02.xlsx&amp;sheet=A0&amp;row=214&amp;col=14&amp;number=&amp;sourceID=30","")</f>
        <v/>
      </c>
      <c r="O214" s="4" t="str">
        <f>HYPERLINK("http://141.218.60.56/~jnz1568/getInfo.php?workbook=06_02.xlsx&amp;sheet=A0&amp;row=214&amp;col=15&amp;number=&amp;sourceID=32","")</f>
        <v/>
      </c>
      <c r="P214" s="4" t="str">
        <f>HYPERLINK("http://141.218.60.56/~jnz1568/getInfo.php?workbook=06_02.xlsx&amp;sheet=A0&amp;row=214&amp;col=16&amp;number=46.3&amp;sourceID=32","46.3")</f>
        <v>46.3</v>
      </c>
      <c r="Q214" s="4" t="str">
        <f>HYPERLINK("http://141.218.60.56/~jnz1568/getInfo.php?workbook=06_02.xlsx&amp;sheet=A0&amp;row=214&amp;col=17&amp;number=0.0007117&amp;sourceID=32","0.0007117")</f>
        <v>0.0007117</v>
      </c>
      <c r="R214" s="4" t="str">
        <f>HYPERLINK("http://141.218.60.56/~jnz1568/getInfo.php?workbook=06_02.xlsx&amp;sheet=A0&amp;row=214&amp;col=18&amp;number=&amp;sourceID=32","")</f>
        <v/>
      </c>
    </row>
    <row r="215" spans="1:18">
      <c r="A215" s="3">
        <v>6</v>
      </c>
      <c r="B215" s="3">
        <v>2</v>
      </c>
      <c r="C215" s="3">
        <v>23</v>
      </c>
      <c r="D215" s="3">
        <v>17</v>
      </c>
      <c r="E215" s="3">
        <f>((1/(INDEX(E0!J$4:J$52,C215,1)-INDEX(E0!J$4:J$52,D215,1))))*100000000</f>
        <v>0</v>
      </c>
      <c r="F215" s="4" t="str">
        <f>HYPERLINK("http://141.218.60.56/~jnz1568/getInfo.php?workbook=06_02.xlsx&amp;sheet=A0&amp;row=215&amp;col=6&amp;number=&amp;sourceID=27","")</f>
        <v/>
      </c>
      <c r="G215" s="4" t="str">
        <f>HYPERLINK("http://141.218.60.56/~jnz1568/getInfo.php?workbook=06_02.xlsx&amp;sheet=A0&amp;row=215&amp;col=7&amp;number=&amp;sourceID=34","")</f>
        <v/>
      </c>
      <c r="H215" s="4" t="str">
        <f>HYPERLINK("http://141.218.60.56/~jnz1568/getInfo.php?workbook=06_02.xlsx&amp;sheet=A0&amp;row=215&amp;col=8&amp;number=&amp;sourceID=34","")</f>
        <v/>
      </c>
      <c r="I215" s="4" t="str">
        <f>HYPERLINK("http://141.218.60.56/~jnz1568/getInfo.php?workbook=06_02.xlsx&amp;sheet=A0&amp;row=215&amp;col=9&amp;number=&amp;sourceID=34","")</f>
        <v/>
      </c>
      <c r="J215" s="4" t="str">
        <f>HYPERLINK("http://141.218.60.56/~jnz1568/getInfo.php?workbook=06_02.xlsx&amp;sheet=A0&amp;row=215&amp;col=10&amp;number=&amp;sourceID=34","")</f>
        <v/>
      </c>
      <c r="K215" s="4" t="str">
        <f>HYPERLINK("http://141.218.60.56/~jnz1568/getInfo.php?workbook=06_02.xlsx&amp;sheet=A0&amp;row=215&amp;col=11&amp;number=52040&amp;sourceID=30","52040")</f>
        <v>52040</v>
      </c>
      <c r="L215" s="4" t="str">
        <f>HYPERLINK("http://141.218.60.56/~jnz1568/getInfo.php?workbook=06_02.xlsx&amp;sheet=A0&amp;row=215&amp;col=12&amp;number=&amp;sourceID=30","")</f>
        <v/>
      </c>
      <c r="M215" s="4" t="str">
        <f>HYPERLINK("http://141.218.60.56/~jnz1568/getInfo.php?workbook=06_02.xlsx&amp;sheet=A0&amp;row=215&amp;col=13&amp;number=&amp;sourceID=30","")</f>
        <v/>
      </c>
      <c r="N215" s="4" t="str">
        <f>HYPERLINK("http://141.218.60.56/~jnz1568/getInfo.php?workbook=06_02.xlsx&amp;sheet=A0&amp;row=215&amp;col=14&amp;number=0.009238&amp;sourceID=30","0.009238")</f>
        <v>0.009238</v>
      </c>
      <c r="O215" s="4" t="str">
        <f>HYPERLINK("http://141.218.60.56/~jnz1568/getInfo.php?workbook=06_02.xlsx&amp;sheet=A0&amp;row=215&amp;col=15&amp;number=55930&amp;sourceID=32","55930")</f>
        <v>55930</v>
      </c>
      <c r="P215" s="4" t="str">
        <f>HYPERLINK("http://141.218.60.56/~jnz1568/getInfo.php?workbook=06_02.xlsx&amp;sheet=A0&amp;row=215&amp;col=16&amp;number=&amp;sourceID=32","")</f>
        <v/>
      </c>
      <c r="Q215" s="4" t="str">
        <f>HYPERLINK("http://141.218.60.56/~jnz1568/getInfo.php?workbook=06_02.xlsx&amp;sheet=A0&amp;row=215&amp;col=17&amp;number=&amp;sourceID=32","")</f>
        <v/>
      </c>
      <c r="R215" s="4" t="str">
        <f>HYPERLINK("http://141.218.60.56/~jnz1568/getInfo.php?workbook=06_02.xlsx&amp;sheet=A0&amp;row=215&amp;col=18&amp;number=0.009264&amp;sourceID=32","0.009264")</f>
        <v>0.009264</v>
      </c>
    </row>
    <row r="216" spans="1:18">
      <c r="A216" s="3">
        <v>6</v>
      </c>
      <c r="B216" s="3">
        <v>2</v>
      </c>
      <c r="C216" s="3">
        <v>23</v>
      </c>
      <c r="D216" s="3">
        <v>18</v>
      </c>
      <c r="E216" s="3">
        <f>((1/(INDEX(E0!J$4:J$52,C216,1)-INDEX(E0!J$4:J$52,D216,1))))*100000000</f>
        <v>0</v>
      </c>
      <c r="F216" s="4" t="str">
        <f>HYPERLINK("http://141.218.60.56/~jnz1568/getInfo.php?workbook=06_02.xlsx&amp;sheet=A0&amp;row=216&amp;col=6&amp;number=&amp;sourceID=27","")</f>
        <v/>
      </c>
      <c r="G216" s="4" t="str">
        <f>HYPERLINK("http://141.218.60.56/~jnz1568/getInfo.php?workbook=06_02.xlsx&amp;sheet=A0&amp;row=216&amp;col=7&amp;number=&amp;sourceID=34","")</f>
        <v/>
      </c>
      <c r="H216" s="4" t="str">
        <f>HYPERLINK("http://141.218.60.56/~jnz1568/getInfo.php?workbook=06_02.xlsx&amp;sheet=A0&amp;row=216&amp;col=8&amp;number=&amp;sourceID=34","")</f>
        <v/>
      </c>
      <c r="I216" s="4" t="str">
        <f>HYPERLINK("http://141.218.60.56/~jnz1568/getInfo.php?workbook=06_02.xlsx&amp;sheet=A0&amp;row=216&amp;col=9&amp;number=&amp;sourceID=34","")</f>
        <v/>
      </c>
      <c r="J216" s="4" t="str">
        <f>HYPERLINK("http://141.218.60.56/~jnz1568/getInfo.php?workbook=06_02.xlsx&amp;sheet=A0&amp;row=216&amp;col=10&amp;number=&amp;sourceID=34","")</f>
        <v/>
      </c>
      <c r="K216" s="4" t="str">
        <f>HYPERLINK("http://141.218.60.56/~jnz1568/getInfo.php?workbook=06_02.xlsx&amp;sheet=A0&amp;row=216&amp;col=11&amp;number=&amp;sourceID=30","")</f>
        <v/>
      </c>
      <c r="L216" s="4" t="str">
        <f>HYPERLINK("http://141.218.60.56/~jnz1568/getInfo.php?workbook=06_02.xlsx&amp;sheet=A0&amp;row=216&amp;col=12&amp;number=0.1969&amp;sourceID=30","0.1969")</f>
        <v>0.1969</v>
      </c>
      <c r="M216" s="4" t="str">
        <f>HYPERLINK("http://141.218.60.56/~jnz1568/getInfo.php?workbook=06_02.xlsx&amp;sheet=A0&amp;row=216&amp;col=13&amp;number=3.317e-07&amp;sourceID=30","3.317e-07")</f>
        <v>3.317e-07</v>
      </c>
      <c r="N216" s="4" t="str">
        <f>HYPERLINK("http://141.218.60.56/~jnz1568/getInfo.php?workbook=06_02.xlsx&amp;sheet=A0&amp;row=216&amp;col=14&amp;number=&amp;sourceID=30","")</f>
        <v/>
      </c>
      <c r="O216" s="4" t="str">
        <f>HYPERLINK("http://141.218.60.56/~jnz1568/getInfo.php?workbook=06_02.xlsx&amp;sheet=A0&amp;row=216&amp;col=15&amp;number=&amp;sourceID=32","")</f>
        <v/>
      </c>
      <c r="P216" s="4" t="str">
        <f>HYPERLINK("http://141.218.60.56/~jnz1568/getInfo.php?workbook=06_02.xlsx&amp;sheet=A0&amp;row=216&amp;col=16&amp;number=0.2033&amp;sourceID=32","0.2033")</f>
        <v>0.2033</v>
      </c>
      <c r="Q216" s="4" t="str">
        <f>HYPERLINK("http://141.218.60.56/~jnz1568/getInfo.php?workbook=06_02.xlsx&amp;sheet=A0&amp;row=216&amp;col=17&amp;number=3.438e-07&amp;sourceID=32","3.438e-07")</f>
        <v>3.438e-07</v>
      </c>
      <c r="R216" s="4" t="str">
        <f>HYPERLINK("http://141.218.60.56/~jnz1568/getInfo.php?workbook=06_02.xlsx&amp;sheet=A0&amp;row=216&amp;col=18&amp;number=&amp;sourceID=32","")</f>
        <v/>
      </c>
    </row>
    <row r="217" spans="1:18">
      <c r="A217" s="3">
        <v>6</v>
      </c>
      <c r="B217" s="3">
        <v>2</v>
      </c>
      <c r="C217" s="3">
        <v>23</v>
      </c>
      <c r="D217" s="3">
        <v>19</v>
      </c>
      <c r="E217" s="3">
        <f>((1/(INDEX(E0!J$4:J$52,C217,1)-INDEX(E0!J$4:J$52,D217,1))))*100000000</f>
        <v>0</v>
      </c>
      <c r="F217" s="4" t="str">
        <f>HYPERLINK("http://141.218.60.56/~jnz1568/getInfo.php?workbook=06_02.xlsx&amp;sheet=A0&amp;row=217&amp;col=6&amp;number=&amp;sourceID=27","")</f>
        <v/>
      </c>
      <c r="G217" s="4" t="str">
        <f>HYPERLINK("http://141.218.60.56/~jnz1568/getInfo.php?workbook=06_02.xlsx&amp;sheet=A0&amp;row=217&amp;col=7&amp;number=&amp;sourceID=34","")</f>
        <v/>
      </c>
      <c r="H217" s="4" t="str">
        <f>HYPERLINK("http://141.218.60.56/~jnz1568/getInfo.php?workbook=06_02.xlsx&amp;sheet=A0&amp;row=217&amp;col=8&amp;number=&amp;sourceID=34","")</f>
        <v/>
      </c>
      <c r="I217" s="4" t="str">
        <f>HYPERLINK("http://141.218.60.56/~jnz1568/getInfo.php?workbook=06_02.xlsx&amp;sheet=A0&amp;row=217&amp;col=9&amp;number=&amp;sourceID=34","")</f>
        <v/>
      </c>
      <c r="J217" s="4" t="str">
        <f>HYPERLINK("http://141.218.60.56/~jnz1568/getInfo.php?workbook=06_02.xlsx&amp;sheet=A0&amp;row=217&amp;col=10&amp;number=&amp;sourceID=34","")</f>
        <v/>
      </c>
      <c r="K217" s="4" t="str">
        <f>HYPERLINK("http://141.218.60.56/~jnz1568/getInfo.php?workbook=06_02.xlsx&amp;sheet=A0&amp;row=217&amp;col=11&amp;number=&amp;sourceID=30","")</f>
        <v/>
      </c>
      <c r="L217" s="4" t="str">
        <f>HYPERLINK("http://141.218.60.56/~jnz1568/getInfo.php?workbook=06_02.xlsx&amp;sheet=A0&amp;row=217&amp;col=12&amp;number=&amp;sourceID=30","")</f>
        <v/>
      </c>
      <c r="M217" s="4" t="str">
        <f>HYPERLINK("http://141.218.60.56/~jnz1568/getInfo.php?workbook=06_02.xlsx&amp;sheet=A0&amp;row=217&amp;col=13&amp;number=2.866e-12&amp;sourceID=30","2.866e-12")</f>
        <v>2.866e-12</v>
      </c>
      <c r="N217" s="4" t="str">
        <f>HYPERLINK("http://141.218.60.56/~jnz1568/getInfo.php?workbook=06_02.xlsx&amp;sheet=A0&amp;row=217&amp;col=14&amp;number=&amp;sourceID=30","")</f>
        <v/>
      </c>
      <c r="O217" s="4" t="str">
        <f>HYPERLINK("http://141.218.60.56/~jnz1568/getInfo.php?workbook=06_02.xlsx&amp;sheet=A0&amp;row=217&amp;col=15&amp;number=&amp;sourceID=32","")</f>
        <v/>
      </c>
      <c r="P217" s="4" t="str">
        <f>HYPERLINK("http://141.218.60.56/~jnz1568/getInfo.php?workbook=06_02.xlsx&amp;sheet=A0&amp;row=217&amp;col=16&amp;number=&amp;sourceID=32","")</f>
        <v/>
      </c>
      <c r="Q217" s="4" t="str">
        <f>HYPERLINK("http://141.218.60.56/~jnz1568/getInfo.php?workbook=06_02.xlsx&amp;sheet=A0&amp;row=217&amp;col=17&amp;number=1.933e-11&amp;sourceID=32","1.933e-11")</f>
        <v>1.933e-11</v>
      </c>
      <c r="R217" s="4" t="str">
        <f>HYPERLINK("http://141.218.60.56/~jnz1568/getInfo.php?workbook=06_02.xlsx&amp;sheet=A0&amp;row=217&amp;col=18&amp;number=&amp;sourceID=32","")</f>
        <v/>
      </c>
    </row>
    <row r="218" spans="1:18">
      <c r="A218" s="3">
        <v>6</v>
      </c>
      <c r="B218" s="3">
        <v>2</v>
      </c>
      <c r="C218" s="3">
        <v>23</v>
      </c>
      <c r="D218" s="3">
        <v>20</v>
      </c>
      <c r="E218" s="3">
        <f>((1/(INDEX(E0!J$4:J$52,C218,1)-INDEX(E0!J$4:J$52,D218,1))))*100000000</f>
        <v>0</v>
      </c>
      <c r="F218" s="4" t="str">
        <f>HYPERLINK("http://141.218.60.56/~jnz1568/getInfo.php?workbook=06_02.xlsx&amp;sheet=A0&amp;row=218&amp;col=6&amp;number=&amp;sourceID=27","")</f>
        <v/>
      </c>
      <c r="G218" s="4" t="str">
        <f>HYPERLINK("http://141.218.60.56/~jnz1568/getInfo.php?workbook=06_02.xlsx&amp;sheet=A0&amp;row=218&amp;col=7&amp;number=&amp;sourceID=34","")</f>
        <v/>
      </c>
      <c r="H218" s="4" t="str">
        <f>HYPERLINK("http://141.218.60.56/~jnz1568/getInfo.php?workbook=06_02.xlsx&amp;sheet=A0&amp;row=218&amp;col=8&amp;number=&amp;sourceID=34","")</f>
        <v/>
      </c>
      <c r="I218" s="4" t="str">
        <f>HYPERLINK("http://141.218.60.56/~jnz1568/getInfo.php?workbook=06_02.xlsx&amp;sheet=A0&amp;row=218&amp;col=9&amp;number=&amp;sourceID=34","")</f>
        <v/>
      </c>
      <c r="J218" s="4" t="str">
        <f>HYPERLINK("http://141.218.60.56/~jnz1568/getInfo.php?workbook=06_02.xlsx&amp;sheet=A0&amp;row=218&amp;col=10&amp;number=&amp;sourceID=34","")</f>
        <v/>
      </c>
      <c r="K218" s="4" t="str">
        <f>HYPERLINK("http://141.218.60.56/~jnz1568/getInfo.php?workbook=06_02.xlsx&amp;sheet=A0&amp;row=218&amp;col=11&amp;number=99530&amp;sourceID=30","99530")</f>
        <v>99530</v>
      </c>
      <c r="L218" s="4" t="str">
        <f>HYPERLINK("http://141.218.60.56/~jnz1568/getInfo.php?workbook=06_02.xlsx&amp;sheet=A0&amp;row=218&amp;col=12&amp;number=&amp;sourceID=30","")</f>
        <v/>
      </c>
      <c r="M218" s="4" t="str">
        <f>HYPERLINK("http://141.218.60.56/~jnz1568/getInfo.php?workbook=06_02.xlsx&amp;sheet=A0&amp;row=218&amp;col=13&amp;number=&amp;sourceID=30","")</f>
        <v/>
      </c>
      <c r="N218" s="4" t="str">
        <f>HYPERLINK("http://141.218.60.56/~jnz1568/getInfo.php?workbook=06_02.xlsx&amp;sheet=A0&amp;row=218&amp;col=14&amp;number=&amp;sourceID=30","")</f>
        <v/>
      </c>
      <c r="O218" s="4" t="str">
        <f>HYPERLINK("http://141.218.60.56/~jnz1568/getInfo.php?workbook=06_02.xlsx&amp;sheet=A0&amp;row=218&amp;col=15&amp;number=112900&amp;sourceID=32","112900")</f>
        <v>112900</v>
      </c>
      <c r="P218" s="4" t="str">
        <f>HYPERLINK("http://141.218.60.56/~jnz1568/getInfo.php?workbook=06_02.xlsx&amp;sheet=A0&amp;row=218&amp;col=16&amp;number=&amp;sourceID=32","")</f>
        <v/>
      </c>
      <c r="Q218" s="4" t="str">
        <f>HYPERLINK("http://141.218.60.56/~jnz1568/getInfo.php?workbook=06_02.xlsx&amp;sheet=A0&amp;row=218&amp;col=17&amp;number=&amp;sourceID=32","")</f>
        <v/>
      </c>
      <c r="R218" s="4" t="str">
        <f>HYPERLINK("http://141.218.60.56/~jnz1568/getInfo.php?workbook=06_02.xlsx&amp;sheet=A0&amp;row=218&amp;col=18&amp;number=&amp;sourceID=32","")</f>
        <v/>
      </c>
    </row>
    <row r="219" spans="1:18">
      <c r="A219" s="3">
        <v>6</v>
      </c>
      <c r="B219" s="3">
        <v>2</v>
      </c>
      <c r="C219" s="3">
        <v>23</v>
      </c>
      <c r="D219" s="3">
        <v>21</v>
      </c>
      <c r="E219" s="3">
        <f>((1/(INDEX(E0!J$4:J$52,C219,1)-INDEX(E0!J$4:J$52,D219,1))))*100000000</f>
        <v>0</v>
      </c>
      <c r="F219" s="4" t="str">
        <f>HYPERLINK("http://141.218.60.56/~jnz1568/getInfo.php?workbook=06_02.xlsx&amp;sheet=A0&amp;row=219&amp;col=6&amp;number=&amp;sourceID=27","")</f>
        <v/>
      </c>
      <c r="G219" s="4" t="str">
        <f>HYPERLINK("http://141.218.60.56/~jnz1568/getInfo.php?workbook=06_02.xlsx&amp;sheet=A0&amp;row=219&amp;col=7&amp;number=&amp;sourceID=34","")</f>
        <v/>
      </c>
      <c r="H219" s="4" t="str">
        <f>HYPERLINK("http://141.218.60.56/~jnz1568/getInfo.php?workbook=06_02.xlsx&amp;sheet=A0&amp;row=219&amp;col=8&amp;number=&amp;sourceID=34","")</f>
        <v/>
      </c>
      <c r="I219" s="4" t="str">
        <f>HYPERLINK("http://141.218.60.56/~jnz1568/getInfo.php?workbook=06_02.xlsx&amp;sheet=A0&amp;row=219&amp;col=9&amp;number=&amp;sourceID=34","")</f>
        <v/>
      </c>
      <c r="J219" s="4" t="str">
        <f>HYPERLINK("http://141.218.60.56/~jnz1568/getInfo.php?workbook=06_02.xlsx&amp;sheet=A0&amp;row=219&amp;col=10&amp;number=&amp;sourceID=34","")</f>
        <v/>
      </c>
      <c r="K219" s="4" t="str">
        <f>HYPERLINK("http://141.218.60.56/~jnz1568/getInfo.php?workbook=06_02.xlsx&amp;sheet=A0&amp;row=219&amp;col=11&amp;number=74690&amp;sourceID=30","74690")</f>
        <v>74690</v>
      </c>
      <c r="L219" s="4" t="str">
        <f>HYPERLINK("http://141.218.60.56/~jnz1568/getInfo.php?workbook=06_02.xlsx&amp;sheet=A0&amp;row=219&amp;col=12&amp;number=&amp;sourceID=30","")</f>
        <v/>
      </c>
      <c r="M219" s="4" t="str">
        <f>HYPERLINK("http://141.218.60.56/~jnz1568/getInfo.php?workbook=06_02.xlsx&amp;sheet=A0&amp;row=219&amp;col=13&amp;number=&amp;sourceID=30","")</f>
        <v/>
      </c>
      <c r="N219" s="4" t="str">
        <f>HYPERLINK("http://141.218.60.56/~jnz1568/getInfo.php?workbook=06_02.xlsx&amp;sheet=A0&amp;row=219&amp;col=14&amp;number=2.411e-10&amp;sourceID=30","2.411e-10")</f>
        <v>2.411e-10</v>
      </c>
      <c r="O219" s="4" t="str">
        <f>HYPERLINK("http://141.218.60.56/~jnz1568/getInfo.php?workbook=06_02.xlsx&amp;sheet=A0&amp;row=219&amp;col=15&amp;number=84680&amp;sourceID=32","84680")</f>
        <v>84680</v>
      </c>
      <c r="P219" s="4" t="str">
        <f>HYPERLINK("http://141.218.60.56/~jnz1568/getInfo.php?workbook=06_02.xlsx&amp;sheet=A0&amp;row=219&amp;col=16&amp;number=&amp;sourceID=32","")</f>
        <v/>
      </c>
      <c r="Q219" s="4" t="str">
        <f>HYPERLINK("http://141.218.60.56/~jnz1568/getInfo.php?workbook=06_02.xlsx&amp;sheet=A0&amp;row=219&amp;col=17&amp;number=&amp;sourceID=32","")</f>
        <v/>
      </c>
      <c r="R219" s="4" t="str">
        <f>HYPERLINK("http://141.218.60.56/~jnz1568/getInfo.php?workbook=06_02.xlsx&amp;sheet=A0&amp;row=219&amp;col=18&amp;number=2.978e-10&amp;sourceID=32","2.978e-10")</f>
        <v>2.978e-10</v>
      </c>
    </row>
    <row r="220" spans="1:18">
      <c r="A220" s="3">
        <v>6</v>
      </c>
      <c r="B220" s="3">
        <v>2</v>
      </c>
      <c r="C220" s="3">
        <v>23</v>
      </c>
      <c r="D220" s="3">
        <v>22</v>
      </c>
      <c r="E220" s="3">
        <f>((1/(INDEX(E0!J$4:J$52,C220,1)-INDEX(E0!J$4:J$52,D220,1))))*100000000</f>
        <v>0</v>
      </c>
      <c r="F220" s="4" t="str">
        <f>HYPERLINK("http://141.218.60.56/~jnz1568/getInfo.php?workbook=06_02.xlsx&amp;sheet=A0&amp;row=220&amp;col=6&amp;number=&amp;sourceID=27","")</f>
        <v/>
      </c>
      <c r="G220" s="4" t="str">
        <f>HYPERLINK("http://141.218.60.56/~jnz1568/getInfo.php?workbook=06_02.xlsx&amp;sheet=A0&amp;row=220&amp;col=7&amp;number=&amp;sourceID=34","")</f>
        <v/>
      </c>
      <c r="H220" s="4" t="str">
        <f>HYPERLINK("http://141.218.60.56/~jnz1568/getInfo.php?workbook=06_02.xlsx&amp;sheet=A0&amp;row=220&amp;col=8&amp;number=&amp;sourceID=34","")</f>
        <v/>
      </c>
      <c r="I220" s="4" t="str">
        <f>HYPERLINK("http://141.218.60.56/~jnz1568/getInfo.php?workbook=06_02.xlsx&amp;sheet=A0&amp;row=220&amp;col=9&amp;number=&amp;sourceID=34","")</f>
        <v/>
      </c>
      <c r="J220" s="4" t="str">
        <f>HYPERLINK("http://141.218.60.56/~jnz1568/getInfo.php?workbook=06_02.xlsx&amp;sheet=A0&amp;row=220&amp;col=10&amp;number=&amp;sourceID=34","")</f>
        <v/>
      </c>
      <c r="K220" s="4" t="str">
        <f>HYPERLINK("http://141.218.60.56/~jnz1568/getInfo.php?workbook=06_02.xlsx&amp;sheet=A0&amp;row=220&amp;col=11&amp;number=4866&amp;sourceID=30","4866")</f>
        <v>4866</v>
      </c>
      <c r="L220" s="4" t="str">
        <f>HYPERLINK("http://141.218.60.56/~jnz1568/getInfo.php?workbook=06_02.xlsx&amp;sheet=A0&amp;row=220&amp;col=12&amp;number=&amp;sourceID=30","")</f>
        <v/>
      </c>
      <c r="M220" s="4" t="str">
        <f>HYPERLINK("http://141.218.60.56/~jnz1568/getInfo.php?workbook=06_02.xlsx&amp;sheet=A0&amp;row=220&amp;col=13&amp;number=&amp;sourceID=30","")</f>
        <v/>
      </c>
      <c r="N220" s="4" t="str">
        <f>HYPERLINK("http://141.218.60.56/~jnz1568/getInfo.php?workbook=06_02.xlsx&amp;sheet=A0&amp;row=220&amp;col=14&amp;number=0&amp;sourceID=30","0")</f>
        <v>0</v>
      </c>
      <c r="O220" s="4" t="str">
        <f>HYPERLINK("http://141.218.60.56/~jnz1568/getInfo.php?workbook=06_02.xlsx&amp;sheet=A0&amp;row=220&amp;col=15&amp;number=5513&amp;sourceID=32","5513")</f>
        <v>5513</v>
      </c>
      <c r="P220" s="4" t="str">
        <f>HYPERLINK("http://141.218.60.56/~jnz1568/getInfo.php?workbook=06_02.xlsx&amp;sheet=A0&amp;row=220&amp;col=16&amp;number=&amp;sourceID=32","")</f>
        <v/>
      </c>
      <c r="Q220" s="4" t="str">
        <f>HYPERLINK("http://141.218.60.56/~jnz1568/getInfo.php?workbook=06_02.xlsx&amp;sheet=A0&amp;row=220&amp;col=17&amp;number=&amp;sourceID=32","")</f>
        <v/>
      </c>
      <c r="R220" s="4" t="str">
        <f>HYPERLINK("http://141.218.60.56/~jnz1568/getInfo.php?workbook=06_02.xlsx&amp;sheet=A0&amp;row=220&amp;col=18&amp;number=0&amp;sourceID=32","0")</f>
        <v>0</v>
      </c>
    </row>
    <row r="221" spans="1:18">
      <c r="A221" s="3">
        <v>6</v>
      </c>
      <c r="B221" s="3">
        <v>2</v>
      </c>
      <c r="C221" s="3">
        <v>24</v>
      </c>
      <c r="D221" s="3">
        <v>1</v>
      </c>
      <c r="E221" s="3">
        <f>((1/(INDEX(E0!J$4:J$52,C221,1)-INDEX(E0!J$4:J$52,D221,1))))*100000000</f>
        <v>0</v>
      </c>
      <c r="F221" s="4" t="str">
        <f>HYPERLINK("http://141.218.60.56/~jnz1568/getInfo.php?workbook=06_02.xlsx&amp;sheet=A0&amp;row=221&amp;col=6&amp;number=&amp;sourceID=27","")</f>
        <v/>
      </c>
      <c r="G221" s="4" t="str">
        <f>HYPERLINK("http://141.218.60.56/~jnz1568/getInfo.php?workbook=06_02.xlsx&amp;sheet=A0&amp;row=221&amp;col=7&amp;number=&amp;sourceID=34","")</f>
        <v/>
      </c>
      <c r="H221" s="4" t="str">
        <f>HYPERLINK("http://141.218.60.56/~jnz1568/getInfo.php?workbook=06_02.xlsx&amp;sheet=A0&amp;row=221&amp;col=8&amp;number=&amp;sourceID=34","")</f>
        <v/>
      </c>
      <c r="I221" s="4" t="str">
        <f>HYPERLINK("http://141.218.60.56/~jnz1568/getInfo.php?workbook=06_02.xlsx&amp;sheet=A0&amp;row=221&amp;col=9&amp;number=&amp;sourceID=34","")</f>
        <v/>
      </c>
      <c r="J221" s="4" t="str">
        <f>HYPERLINK("http://141.218.60.56/~jnz1568/getInfo.php?workbook=06_02.xlsx&amp;sheet=A0&amp;row=221&amp;col=10&amp;number=&amp;sourceID=34","")</f>
        <v/>
      </c>
      <c r="K221" s="4" t="str">
        <f>HYPERLINK("http://141.218.60.56/~jnz1568/getInfo.php?workbook=06_02.xlsx&amp;sheet=A0&amp;row=221&amp;col=11&amp;number=&amp;sourceID=30","")</f>
        <v/>
      </c>
      <c r="L221" s="4" t="str">
        <f>HYPERLINK("http://141.218.60.56/~jnz1568/getInfo.php?workbook=06_02.xlsx&amp;sheet=A0&amp;row=221&amp;col=12&amp;number=222.4&amp;sourceID=30","222.4")</f>
        <v>222.4</v>
      </c>
      <c r="M221" s="4" t="str">
        <f>HYPERLINK("http://141.218.60.56/~jnz1568/getInfo.php?workbook=06_02.xlsx&amp;sheet=A0&amp;row=221&amp;col=13&amp;number=&amp;sourceID=30","")</f>
        <v/>
      </c>
      <c r="N221" s="4" t="str">
        <f>HYPERLINK("http://141.218.60.56/~jnz1568/getInfo.php?workbook=06_02.xlsx&amp;sheet=A0&amp;row=221&amp;col=14&amp;number=&amp;sourceID=30","")</f>
        <v/>
      </c>
      <c r="O221" s="4" t="str">
        <f>HYPERLINK("http://141.218.60.56/~jnz1568/getInfo.php?workbook=06_02.xlsx&amp;sheet=A0&amp;row=221&amp;col=15&amp;number=&amp;sourceID=32","")</f>
        <v/>
      </c>
      <c r="P221" s="4" t="str">
        <f>HYPERLINK("http://141.218.60.56/~jnz1568/getInfo.php?workbook=06_02.xlsx&amp;sheet=A0&amp;row=221&amp;col=16&amp;number=27740&amp;sourceID=32","27740")</f>
        <v>27740</v>
      </c>
      <c r="Q221" s="4" t="str">
        <f>HYPERLINK("http://141.218.60.56/~jnz1568/getInfo.php?workbook=06_02.xlsx&amp;sheet=A0&amp;row=221&amp;col=17&amp;number=&amp;sourceID=32","")</f>
        <v/>
      </c>
      <c r="R221" s="4" t="str">
        <f>HYPERLINK("http://141.218.60.56/~jnz1568/getInfo.php?workbook=06_02.xlsx&amp;sheet=A0&amp;row=221&amp;col=18&amp;number=&amp;sourceID=32","")</f>
        <v/>
      </c>
    </row>
    <row r="222" spans="1:18">
      <c r="A222" s="3">
        <v>6</v>
      </c>
      <c r="B222" s="3">
        <v>2</v>
      </c>
      <c r="C222" s="3">
        <v>24</v>
      </c>
      <c r="D222" s="3">
        <v>2</v>
      </c>
      <c r="E222" s="3">
        <f>((1/(INDEX(E0!J$4:J$52,C222,1)-INDEX(E0!J$4:J$52,D222,1))))*100000000</f>
        <v>0</v>
      </c>
      <c r="F222" s="4" t="str">
        <f>HYPERLINK("http://141.218.60.56/~jnz1568/getInfo.php?workbook=06_02.xlsx&amp;sheet=A0&amp;row=222&amp;col=6&amp;number=&amp;sourceID=27","")</f>
        <v/>
      </c>
      <c r="G222" s="4" t="str">
        <f>HYPERLINK("http://141.218.60.56/~jnz1568/getInfo.php?workbook=06_02.xlsx&amp;sheet=A0&amp;row=222&amp;col=7&amp;number=&amp;sourceID=34","")</f>
        <v/>
      </c>
      <c r="H222" s="4" t="str">
        <f>HYPERLINK("http://141.218.60.56/~jnz1568/getInfo.php?workbook=06_02.xlsx&amp;sheet=A0&amp;row=222&amp;col=8&amp;number=&amp;sourceID=34","")</f>
        <v/>
      </c>
      <c r="I222" s="4" t="str">
        <f>HYPERLINK("http://141.218.60.56/~jnz1568/getInfo.php?workbook=06_02.xlsx&amp;sheet=A0&amp;row=222&amp;col=9&amp;number=&amp;sourceID=34","")</f>
        <v/>
      </c>
      <c r="J222" s="4" t="str">
        <f>HYPERLINK("http://141.218.60.56/~jnz1568/getInfo.php?workbook=06_02.xlsx&amp;sheet=A0&amp;row=222&amp;col=10&amp;number=&amp;sourceID=34","")</f>
        <v/>
      </c>
      <c r="K222" s="4" t="str">
        <f>HYPERLINK("http://141.218.60.56/~jnz1568/getInfo.php?workbook=06_02.xlsx&amp;sheet=A0&amp;row=222&amp;col=11&amp;number=&amp;sourceID=30","")</f>
        <v/>
      </c>
      <c r="L222" s="4" t="str">
        <f>HYPERLINK("http://141.218.60.56/~jnz1568/getInfo.php?workbook=06_02.xlsx&amp;sheet=A0&amp;row=222&amp;col=12&amp;number=195100&amp;sourceID=30","195100")</f>
        <v>195100</v>
      </c>
      <c r="M222" s="4" t="str">
        <f>HYPERLINK("http://141.218.60.56/~jnz1568/getInfo.php?workbook=06_02.xlsx&amp;sheet=A0&amp;row=222&amp;col=13&amp;number=0.0001838&amp;sourceID=30","0.0001838")</f>
        <v>0.0001838</v>
      </c>
      <c r="N222" s="4" t="str">
        <f>HYPERLINK("http://141.218.60.56/~jnz1568/getInfo.php?workbook=06_02.xlsx&amp;sheet=A0&amp;row=222&amp;col=14&amp;number=&amp;sourceID=30","")</f>
        <v/>
      </c>
      <c r="O222" s="4" t="str">
        <f>HYPERLINK("http://141.218.60.56/~jnz1568/getInfo.php?workbook=06_02.xlsx&amp;sheet=A0&amp;row=222&amp;col=15&amp;number=&amp;sourceID=32","")</f>
        <v/>
      </c>
      <c r="P222" s="4" t="str">
        <f>HYPERLINK("http://141.218.60.56/~jnz1568/getInfo.php?workbook=06_02.xlsx&amp;sheet=A0&amp;row=222&amp;col=16&amp;number=214100&amp;sourceID=32","214100")</f>
        <v>214100</v>
      </c>
      <c r="Q222" s="4" t="str">
        <f>HYPERLINK("http://141.218.60.56/~jnz1568/getInfo.php?workbook=06_02.xlsx&amp;sheet=A0&amp;row=222&amp;col=17&amp;number=0.0004656&amp;sourceID=32","0.0004656")</f>
        <v>0.0004656</v>
      </c>
      <c r="R222" s="4" t="str">
        <f>HYPERLINK("http://141.218.60.56/~jnz1568/getInfo.php?workbook=06_02.xlsx&amp;sheet=A0&amp;row=222&amp;col=18&amp;number=&amp;sourceID=32","")</f>
        <v/>
      </c>
    </row>
    <row r="223" spans="1:18">
      <c r="A223" s="3">
        <v>6</v>
      </c>
      <c r="B223" s="3">
        <v>2</v>
      </c>
      <c r="C223" s="3">
        <v>24</v>
      </c>
      <c r="D223" s="3">
        <v>3</v>
      </c>
      <c r="E223" s="3">
        <f>((1/(INDEX(E0!J$4:J$52,C223,1)-INDEX(E0!J$4:J$52,D223,1))))*100000000</f>
        <v>0</v>
      </c>
      <c r="F223" s="4" t="str">
        <f>HYPERLINK("http://141.218.60.56/~jnz1568/getInfo.php?workbook=06_02.xlsx&amp;sheet=A0&amp;row=223&amp;col=6&amp;number=&amp;sourceID=27","")</f>
        <v/>
      </c>
      <c r="G223" s="4" t="str">
        <f>HYPERLINK("http://141.218.60.56/~jnz1568/getInfo.php?workbook=06_02.xlsx&amp;sheet=A0&amp;row=223&amp;col=7&amp;number=&amp;sourceID=34","")</f>
        <v/>
      </c>
      <c r="H223" s="4" t="str">
        <f>HYPERLINK("http://141.218.60.56/~jnz1568/getInfo.php?workbook=06_02.xlsx&amp;sheet=A0&amp;row=223&amp;col=8&amp;number=&amp;sourceID=34","")</f>
        <v/>
      </c>
      <c r="I223" s="4" t="str">
        <f>HYPERLINK("http://141.218.60.56/~jnz1568/getInfo.php?workbook=06_02.xlsx&amp;sheet=A0&amp;row=223&amp;col=9&amp;number=&amp;sourceID=34","")</f>
        <v/>
      </c>
      <c r="J223" s="4" t="str">
        <f>HYPERLINK("http://141.218.60.56/~jnz1568/getInfo.php?workbook=06_02.xlsx&amp;sheet=A0&amp;row=223&amp;col=10&amp;number=&amp;sourceID=34","")</f>
        <v/>
      </c>
      <c r="K223" s="4" t="str">
        <f>HYPERLINK("http://141.218.60.56/~jnz1568/getInfo.php?workbook=06_02.xlsx&amp;sheet=A0&amp;row=223&amp;col=11&amp;number=&amp;sourceID=30","")</f>
        <v/>
      </c>
      <c r="L223" s="4" t="str">
        <f>HYPERLINK("http://141.218.60.56/~jnz1568/getInfo.php?workbook=06_02.xlsx&amp;sheet=A0&amp;row=223&amp;col=12&amp;number=283.6&amp;sourceID=30","283.6")</f>
        <v>283.6</v>
      </c>
      <c r="M223" s="4" t="str">
        <f>HYPERLINK("http://141.218.60.56/~jnz1568/getInfo.php?workbook=06_02.xlsx&amp;sheet=A0&amp;row=223&amp;col=13&amp;number=&amp;sourceID=30","")</f>
        <v/>
      </c>
      <c r="N223" s="4" t="str">
        <f>HYPERLINK("http://141.218.60.56/~jnz1568/getInfo.php?workbook=06_02.xlsx&amp;sheet=A0&amp;row=223&amp;col=14&amp;number=&amp;sourceID=30","")</f>
        <v/>
      </c>
      <c r="O223" s="4" t="str">
        <f>HYPERLINK("http://141.218.60.56/~jnz1568/getInfo.php?workbook=06_02.xlsx&amp;sheet=A0&amp;row=223&amp;col=15&amp;number=&amp;sourceID=32","")</f>
        <v/>
      </c>
      <c r="P223" s="4" t="str">
        <f>HYPERLINK("http://141.218.60.56/~jnz1568/getInfo.php?workbook=06_02.xlsx&amp;sheet=A0&amp;row=223&amp;col=16&amp;number=293.4&amp;sourceID=32","293.4")</f>
        <v>293.4</v>
      </c>
      <c r="Q223" s="4" t="str">
        <f>HYPERLINK("http://141.218.60.56/~jnz1568/getInfo.php?workbook=06_02.xlsx&amp;sheet=A0&amp;row=223&amp;col=17&amp;number=&amp;sourceID=32","")</f>
        <v/>
      </c>
      <c r="R223" s="4" t="str">
        <f>HYPERLINK("http://141.218.60.56/~jnz1568/getInfo.php?workbook=06_02.xlsx&amp;sheet=A0&amp;row=223&amp;col=18&amp;number=&amp;sourceID=32","")</f>
        <v/>
      </c>
    </row>
    <row r="224" spans="1:18">
      <c r="A224" s="3">
        <v>6</v>
      </c>
      <c r="B224" s="3">
        <v>2</v>
      </c>
      <c r="C224" s="3">
        <v>24</v>
      </c>
      <c r="D224" s="3">
        <v>4</v>
      </c>
      <c r="E224" s="3">
        <f>((1/(INDEX(E0!J$4:J$52,C224,1)-INDEX(E0!J$4:J$52,D224,1))))*100000000</f>
        <v>0</v>
      </c>
      <c r="F224" s="4" t="str">
        <f>HYPERLINK("http://141.218.60.56/~jnz1568/getInfo.php?workbook=06_02.xlsx&amp;sheet=A0&amp;row=224&amp;col=6&amp;number=&amp;sourceID=27","")</f>
        <v/>
      </c>
      <c r="G224" s="4" t="str">
        <f>HYPERLINK("http://141.218.60.56/~jnz1568/getInfo.php?workbook=06_02.xlsx&amp;sheet=A0&amp;row=224&amp;col=7&amp;number=&amp;sourceID=34","")</f>
        <v/>
      </c>
      <c r="H224" s="4" t="str">
        <f>HYPERLINK("http://141.218.60.56/~jnz1568/getInfo.php?workbook=06_02.xlsx&amp;sheet=A0&amp;row=224&amp;col=8&amp;number=&amp;sourceID=34","")</f>
        <v/>
      </c>
      <c r="I224" s="4" t="str">
        <f>HYPERLINK("http://141.218.60.56/~jnz1568/getInfo.php?workbook=06_02.xlsx&amp;sheet=A0&amp;row=224&amp;col=9&amp;number=&amp;sourceID=34","")</f>
        <v/>
      </c>
      <c r="J224" s="4" t="str">
        <f>HYPERLINK("http://141.218.60.56/~jnz1568/getInfo.php?workbook=06_02.xlsx&amp;sheet=A0&amp;row=224&amp;col=10&amp;number=&amp;sourceID=34","")</f>
        <v/>
      </c>
      <c r="K224" s="4" t="str">
        <f>HYPERLINK("http://141.218.60.56/~jnz1568/getInfo.php?workbook=06_02.xlsx&amp;sheet=A0&amp;row=224&amp;col=11&amp;number=10440000000&amp;sourceID=30","10440000000")</f>
        <v>10440000000</v>
      </c>
      <c r="L224" s="4" t="str">
        <f>HYPERLINK("http://141.218.60.56/~jnz1568/getInfo.php?workbook=06_02.xlsx&amp;sheet=A0&amp;row=224&amp;col=12&amp;number=&amp;sourceID=30","")</f>
        <v/>
      </c>
      <c r="M224" s="4" t="str">
        <f>HYPERLINK("http://141.218.60.56/~jnz1568/getInfo.php?workbook=06_02.xlsx&amp;sheet=A0&amp;row=224&amp;col=13&amp;number=&amp;sourceID=30","")</f>
        <v/>
      </c>
      <c r="N224" s="4" t="str">
        <f>HYPERLINK("http://141.218.60.56/~jnz1568/getInfo.php?workbook=06_02.xlsx&amp;sheet=A0&amp;row=224&amp;col=14&amp;number=14.31&amp;sourceID=30","14.31")</f>
        <v>14.31</v>
      </c>
      <c r="O224" s="4" t="str">
        <f>HYPERLINK("http://141.218.60.56/~jnz1568/getInfo.php?workbook=06_02.xlsx&amp;sheet=A0&amp;row=224&amp;col=15&amp;number=10580000000&amp;sourceID=32","10580000000")</f>
        <v>10580000000</v>
      </c>
      <c r="P224" s="4" t="str">
        <f>HYPERLINK("http://141.218.60.56/~jnz1568/getInfo.php?workbook=06_02.xlsx&amp;sheet=A0&amp;row=224&amp;col=16&amp;number=&amp;sourceID=32","")</f>
        <v/>
      </c>
      <c r="Q224" s="4" t="str">
        <f>HYPERLINK("http://141.218.60.56/~jnz1568/getInfo.php?workbook=06_02.xlsx&amp;sheet=A0&amp;row=224&amp;col=17&amp;number=&amp;sourceID=32","")</f>
        <v/>
      </c>
      <c r="R224" s="4" t="str">
        <f>HYPERLINK("http://141.218.60.56/~jnz1568/getInfo.php?workbook=06_02.xlsx&amp;sheet=A0&amp;row=224&amp;col=18&amp;number=14.37&amp;sourceID=32","14.37")</f>
        <v>14.37</v>
      </c>
    </row>
    <row r="225" spans="1:18">
      <c r="A225" s="3">
        <v>6</v>
      </c>
      <c r="B225" s="3">
        <v>2</v>
      </c>
      <c r="C225" s="3">
        <v>24</v>
      </c>
      <c r="D225" s="3">
        <v>5</v>
      </c>
      <c r="E225" s="3">
        <f>((1/(INDEX(E0!J$4:J$52,C225,1)-INDEX(E0!J$4:J$52,D225,1))))*100000000</f>
        <v>0</v>
      </c>
      <c r="F225" s="4" t="str">
        <f>HYPERLINK("http://141.218.60.56/~jnz1568/getInfo.php?workbook=06_02.xlsx&amp;sheet=A0&amp;row=225&amp;col=6&amp;number=&amp;sourceID=27","")</f>
        <v/>
      </c>
      <c r="G225" s="4" t="str">
        <f>HYPERLINK("http://141.218.60.56/~jnz1568/getInfo.php?workbook=06_02.xlsx&amp;sheet=A0&amp;row=225&amp;col=7&amp;number=&amp;sourceID=34","")</f>
        <v/>
      </c>
      <c r="H225" s="4" t="str">
        <f>HYPERLINK("http://141.218.60.56/~jnz1568/getInfo.php?workbook=06_02.xlsx&amp;sheet=A0&amp;row=225&amp;col=8&amp;number=&amp;sourceID=34","")</f>
        <v/>
      </c>
      <c r="I225" s="4" t="str">
        <f>HYPERLINK("http://141.218.60.56/~jnz1568/getInfo.php?workbook=06_02.xlsx&amp;sheet=A0&amp;row=225&amp;col=9&amp;number=&amp;sourceID=34","")</f>
        <v/>
      </c>
      <c r="J225" s="4" t="str">
        <f>HYPERLINK("http://141.218.60.56/~jnz1568/getInfo.php?workbook=06_02.xlsx&amp;sheet=A0&amp;row=225&amp;col=10&amp;number=&amp;sourceID=34","")</f>
        <v/>
      </c>
      <c r="K225" s="4" t="str">
        <f>HYPERLINK("http://141.218.60.56/~jnz1568/getInfo.php?workbook=06_02.xlsx&amp;sheet=A0&amp;row=225&amp;col=11&amp;number=&amp;sourceID=30","")</f>
        <v/>
      </c>
      <c r="L225" s="4" t="str">
        <f>HYPERLINK("http://141.218.60.56/~jnz1568/getInfo.php?workbook=06_02.xlsx&amp;sheet=A0&amp;row=225&amp;col=12&amp;number=&amp;sourceID=30","")</f>
        <v/>
      </c>
      <c r="M225" s="4" t="str">
        <f>HYPERLINK("http://141.218.60.56/~jnz1568/getInfo.php?workbook=06_02.xlsx&amp;sheet=A0&amp;row=225&amp;col=13&amp;number=&amp;sourceID=30","")</f>
        <v/>
      </c>
      <c r="N225" s="4" t="str">
        <f>HYPERLINK("http://141.218.60.56/~jnz1568/getInfo.php?workbook=06_02.xlsx&amp;sheet=A0&amp;row=225&amp;col=14&amp;number=0.78&amp;sourceID=30","0.78")</f>
        <v>0.78</v>
      </c>
      <c r="O225" s="4" t="str">
        <f>HYPERLINK("http://141.218.60.56/~jnz1568/getInfo.php?workbook=06_02.xlsx&amp;sheet=A0&amp;row=225&amp;col=15&amp;number=&amp;sourceID=32","")</f>
        <v/>
      </c>
      <c r="P225" s="4" t="str">
        <f>HYPERLINK("http://141.218.60.56/~jnz1568/getInfo.php?workbook=06_02.xlsx&amp;sheet=A0&amp;row=225&amp;col=16&amp;number=&amp;sourceID=32","")</f>
        <v/>
      </c>
      <c r="Q225" s="4" t="str">
        <f>HYPERLINK("http://141.218.60.56/~jnz1568/getInfo.php?workbook=06_02.xlsx&amp;sheet=A0&amp;row=225&amp;col=17&amp;number=&amp;sourceID=32","")</f>
        <v/>
      </c>
      <c r="R225" s="4" t="str">
        <f>HYPERLINK("http://141.218.60.56/~jnz1568/getInfo.php?workbook=06_02.xlsx&amp;sheet=A0&amp;row=225&amp;col=18&amp;number=0.7532&amp;sourceID=32","0.7532")</f>
        <v>0.7532</v>
      </c>
    </row>
    <row r="226" spans="1:18">
      <c r="A226" s="3">
        <v>6</v>
      </c>
      <c r="B226" s="3">
        <v>2</v>
      </c>
      <c r="C226" s="3">
        <v>24</v>
      </c>
      <c r="D226" s="3">
        <v>6</v>
      </c>
      <c r="E226" s="3">
        <f>((1/(INDEX(E0!J$4:J$52,C226,1)-INDEX(E0!J$4:J$52,D226,1))))*100000000</f>
        <v>0</v>
      </c>
      <c r="F226" s="4" t="str">
        <f>HYPERLINK("http://141.218.60.56/~jnz1568/getInfo.php?workbook=06_02.xlsx&amp;sheet=A0&amp;row=226&amp;col=6&amp;number=&amp;sourceID=27","")</f>
        <v/>
      </c>
      <c r="G226" s="4" t="str">
        <f>HYPERLINK("http://141.218.60.56/~jnz1568/getInfo.php?workbook=06_02.xlsx&amp;sheet=A0&amp;row=226&amp;col=7&amp;number=&amp;sourceID=34","")</f>
        <v/>
      </c>
      <c r="H226" s="4" t="str">
        <f>HYPERLINK("http://141.218.60.56/~jnz1568/getInfo.php?workbook=06_02.xlsx&amp;sheet=A0&amp;row=226&amp;col=8&amp;number=&amp;sourceID=34","")</f>
        <v/>
      </c>
      <c r="I226" s="4" t="str">
        <f>HYPERLINK("http://141.218.60.56/~jnz1568/getInfo.php?workbook=06_02.xlsx&amp;sheet=A0&amp;row=226&amp;col=9&amp;number=&amp;sourceID=34","")</f>
        <v/>
      </c>
      <c r="J226" s="4" t="str">
        <f>HYPERLINK("http://141.218.60.56/~jnz1568/getInfo.php?workbook=06_02.xlsx&amp;sheet=A0&amp;row=226&amp;col=10&amp;number=&amp;sourceID=34","")</f>
        <v/>
      </c>
      <c r="K226" s="4" t="str">
        <f>HYPERLINK("http://141.218.60.56/~jnz1568/getInfo.php?workbook=06_02.xlsx&amp;sheet=A0&amp;row=226&amp;col=11&amp;number=3477000000&amp;sourceID=30","3477000000")</f>
        <v>3477000000</v>
      </c>
      <c r="L226" s="4" t="str">
        <f>HYPERLINK("http://141.218.60.56/~jnz1568/getInfo.php?workbook=06_02.xlsx&amp;sheet=A0&amp;row=226&amp;col=12&amp;number=&amp;sourceID=30","")</f>
        <v/>
      </c>
      <c r="M226" s="4" t="str">
        <f>HYPERLINK("http://141.218.60.56/~jnz1568/getInfo.php?workbook=06_02.xlsx&amp;sheet=A0&amp;row=226&amp;col=13&amp;number=&amp;sourceID=30","")</f>
        <v/>
      </c>
      <c r="N226" s="4" t="str">
        <f>HYPERLINK("http://141.218.60.56/~jnz1568/getInfo.php?workbook=06_02.xlsx&amp;sheet=A0&amp;row=226&amp;col=14&amp;number=6.116&amp;sourceID=30","6.116")</f>
        <v>6.116</v>
      </c>
      <c r="O226" s="4" t="str">
        <f>HYPERLINK("http://141.218.60.56/~jnz1568/getInfo.php?workbook=06_02.xlsx&amp;sheet=A0&amp;row=226&amp;col=15&amp;number=3522000000&amp;sourceID=32","3522000000")</f>
        <v>3522000000</v>
      </c>
      <c r="P226" s="4" t="str">
        <f>HYPERLINK("http://141.218.60.56/~jnz1568/getInfo.php?workbook=06_02.xlsx&amp;sheet=A0&amp;row=226&amp;col=16&amp;number=&amp;sourceID=32","")</f>
        <v/>
      </c>
      <c r="Q226" s="4" t="str">
        <f>HYPERLINK("http://141.218.60.56/~jnz1568/getInfo.php?workbook=06_02.xlsx&amp;sheet=A0&amp;row=226&amp;col=17&amp;number=&amp;sourceID=32","")</f>
        <v/>
      </c>
      <c r="R226" s="4" t="str">
        <f>HYPERLINK("http://141.218.60.56/~jnz1568/getInfo.php?workbook=06_02.xlsx&amp;sheet=A0&amp;row=226&amp;col=18&amp;number=6.131&amp;sourceID=32","6.131")</f>
        <v>6.131</v>
      </c>
    </row>
    <row r="227" spans="1:18">
      <c r="A227" s="3">
        <v>6</v>
      </c>
      <c r="B227" s="3">
        <v>2</v>
      </c>
      <c r="C227" s="3">
        <v>24</v>
      </c>
      <c r="D227" s="3">
        <v>7</v>
      </c>
      <c r="E227" s="3">
        <f>((1/(INDEX(E0!J$4:J$52,C227,1)-INDEX(E0!J$4:J$52,D227,1))))*100000000</f>
        <v>0</v>
      </c>
      <c r="F227" s="4" t="str">
        <f>HYPERLINK("http://141.218.60.56/~jnz1568/getInfo.php?workbook=06_02.xlsx&amp;sheet=A0&amp;row=227&amp;col=6&amp;number=&amp;sourceID=27","")</f>
        <v/>
      </c>
      <c r="G227" s="4" t="str">
        <f>HYPERLINK("http://141.218.60.56/~jnz1568/getInfo.php?workbook=06_02.xlsx&amp;sheet=A0&amp;row=227&amp;col=7&amp;number=&amp;sourceID=34","")</f>
        <v/>
      </c>
      <c r="H227" s="4" t="str">
        <f>HYPERLINK("http://141.218.60.56/~jnz1568/getInfo.php?workbook=06_02.xlsx&amp;sheet=A0&amp;row=227&amp;col=8&amp;number=&amp;sourceID=34","")</f>
        <v/>
      </c>
      <c r="I227" s="4" t="str">
        <f>HYPERLINK("http://141.218.60.56/~jnz1568/getInfo.php?workbook=06_02.xlsx&amp;sheet=A0&amp;row=227&amp;col=9&amp;number=&amp;sourceID=34","")</f>
        <v/>
      </c>
      <c r="J227" s="4" t="str">
        <f>HYPERLINK("http://141.218.60.56/~jnz1568/getInfo.php?workbook=06_02.xlsx&amp;sheet=A0&amp;row=227&amp;col=10&amp;number=&amp;sourceID=34","")</f>
        <v/>
      </c>
      <c r="K227" s="4" t="str">
        <f>HYPERLINK("http://141.218.60.56/~jnz1568/getInfo.php?workbook=06_02.xlsx&amp;sheet=A0&amp;row=227&amp;col=11&amp;number=18950000&amp;sourceID=30","18950000")</f>
        <v>18950000</v>
      </c>
      <c r="L227" s="4" t="str">
        <f>HYPERLINK("http://141.218.60.56/~jnz1568/getInfo.php?workbook=06_02.xlsx&amp;sheet=A0&amp;row=227&amp;col=12&amp;number=&amp;sourceID=30","")</f>
        <v/>
      </c>
      <c r="M227" s="4" t="str">
        <f>HYPERLINK("http://141.218.60.56/~jnz1568/getInfo.php?workbook=06_02.xlsx&amp;sheet=A0&amp;row=227&amp;col=13&amp;number=&amp;sourceID=30","")</f>
        <v/>
      </c>
      <c r="N227" s="4" t="str">
        <f>HYPERLINK("http://141.218.60.56/~jnz1568/getInfo.php?workbook=06_02.xlsx&amp;sheet=A0&amp;row=227&amp;col=14&amp;number=3.14&amp;sourceID=30","3.14")</f>
        <v>3.14</v>
      </c>
      <c r="O227" s="4" t="str">
        <f>HYPERLINK("http://141.218.60.56/~jnz1568/getInfo.php?workbook=06_02.xlsx&amp;sheet=A0&amp;row=227&amp;col=15&amp;number=25620000&amp;sourceID=32","25620000")</f>
        <v>25620000</v>
      </c>
      <c r="P227" s="4" t="str">
        <f>HYPERLINK("http://141.218.60.56/~jnz1568/getInfo.php?workbook=06_02.xlsx&amp;sheet=A0&amp;row=227&amp;col=16&amp;number=&amp;sourceID=32","")</f>
        <v/>
      </c>
      <c r="Q227" s="4" t="str">
        <f>HYPERLINK("http://141.218.60.56/~jnz1568/getInfo.php?workbook=06_02.xlsx&amp;sheet=A0&amp;row=227&amp;col=17&amp;number=&amp;sourceID=32","")</f>
        <v/>
      </c>
      <c r="R227" s="4" t="str">
        <f>HYPERLINK("http://141.218.60.56/~jnz1568/getInfo.php?workbook=06_02.xlsx&amp;sheet=A0&amp;row=227&amp;col=18&amp;number=3.041&amp;sourceID=32","3.041")</f>
        <v>3.041</v>
      </c>
    </row>
    <row r="228" spans="1:18">
      <c r="A228" s="3">
        <v>6</v>
      </c>
      <c r="B228" s="3">
        <v>2</v>
      </c>
      <c r="C228" s="3">
        <v>24</v>
      </c>
      <c r="D228" s="3">
        <v>8</v>
      </c>
      <c r="E228" s="3">
        <f>((1/(INDEX(E0!J$4:J$52,C228,1)-INDEX(E0!J$4:J$52,D228,1))))*100000000</f>
        <v>0</v>
      </c>
      <c r="F228" s="4" t="str">
        <f>HYPERLINK("http://141.218.60.56/~jnz1568/getInfo.php?workbook=06_02.xlsx&amp;sheet=A0&amp;row=228&amp;col=6&amp;number=&amp;sourceID=27","")</f>
        <v/>
      </c>
      <c r="G228" s="4" t="str">
        <f>HYPERLINK("http://141.218.60.56/~jnz1568/getInfo.php?workbook=06_02.xlsx&amp;sheet=A0&amp;row=228&amp;col=7&amp;number=&amp;sourceID=34","")</f>
        <v/>
      </c>
      <c r="H228" s="4" t="str">
        <f>HYPERLINK("http://141.218.60.56/~jnz1568/getInfo.php?workbook=06_02.xlsx&amp;sheet=A0&amp;row=228&amp;col=8&amp;number=&amp;sourceID=34","")</f>
        <v/>
      </c>
      <c r="I228" s="4" t="str">
        <f>HYPERLINK("http://141.218.60.56/~jnz1568/getInfo.php?workbook=06_02.xlsx&amp;sheet=A0&amp;row=228&amp;col=9&amp;number=&amp;sourceID=34","")</f>
        <v/>
      </c>
      <c r="J228" s="4" t="str">
        <f>HYPERLINK("http://141.218.60.56/~jnz1568/getInfo.php?workbook=06_02.xlsx&amp;sheet=A0&amp;row=228&amp;col=10&amp;number=&amp;sourceID=34","")</f>
        <v/>
      </c>
      <c r="K228" s="4" t="str">
        <f>HYPERLINK("http://141.218.60.56/~jnz1568/getInfo.php?workbook=06_02.xlsx&amp;sheet=A0&amp;row=228&amp;col=11&amp;number=&amp;sourceID=30","")</f>
        <v/>
      </c>
      <c r="L228" s="4" t="str">
        <f>HYPERLINK("http://141.218.60.56/~jnz1568/getInfo.php?workbook=06_02.xlsx&amp;sheet=A0&amp;row=228&amp;col=12&amp;number=75430&amp;sourceID=30","75430")</f>
        <v>75430</v>
      </c>
      <c r="M228" s="4" t="str">
        <f>HYPERLINK("http://141.218.60.56/~jnz1568/getInfo.php?workbook=06_02.xlsx&amp;sheet=A0&amp;row=228&amp;col=13&amp;number=3.175e-07&amp;sourceID=30","3.175e-07")</f>
        <v>3.175e-07</v>
      </c>
      <c r="N228" s="4" t="str">
        <f>HYPERLINK("http://141.218.60.56/~jnz1568/getInfo.php?workbook=06_02.xlsx&amp;sheet=A0&amp;row=228&amp;col=14&amp;number=&amp;sourceID=30","")</f>
        <v/>
      </c>
      <c r="O228" s="4" t="str">
        <f>HYPERLINK("http://141.218.60.56/~jnz1568/getInfo.php?workbook=06_02.xlsx&amp;sheet=A0&amp;row=228&amp;col=15&amp;number=&amp;sourceID=32","")</f>
        <v/>
      </c>
      <c r="P228" s="4" t="str">
        <f>HYPERLINK("http://141.218.60.56/~jnz1568/getInfo.php?workbook=06_02.xlsx&amp;sheet=A0&amp;row=228&amp;col=16&amp;number=76030&amp;sourceID=32","76030")</f>
        <v>76030</v>
      </c>
      <c r="Q228" s="4" t="str">
        <f>HYPERLINK("http://141.218.60.56/~jnz1568/getInfo.php?workbook=06_02.xlsx&amp;sheet=A0&amp;row=228&amp;col=17&amp;number=1.7e-09&amp;sourceID=32","1.7e-09")</f>
        <v>1.7e-09</v>
      </c>
      <c r="R228" s="4" t="str">
        <f>HYPERLINK("http://141.218.60.56/~jnz1568/getInfo.php?workbook=06_02.xlsx&amp;sheet=A0&amp;row=228&amp;col=18&amp;number=&amp;sourceID=32","")</f>
        <v/>
      </c>
    </row>
    <row r="229" spans="1:18">
      <c r="A229" s="3">
        <v>6</v>
      </c>
      <c r="B229" s="3">
        <v>2</v>
      </c>
      <c r="C229" s="3">
        <v>24</v>
      </c>
      <c r="D229" s="3">
        <v>9</v>
      </c>
      <c r="E229" s="3">
        <f>((1/(INDEX(E0!J$4:J$52,C229,1)-INDEX(E0!J$4:J$52,D229,1))))*100000000</f>
        <v>0</v>
      </c>
      <c r="F229" s="4" t="str">
        <f>HYPERLINK("http://141.218.60.56/~jnz1568/getInfo.php?workbook=06_02.xlsx&amp;sheet=A0&amp;row=229&amp;col=6&amp;number=&amp;sourceID=27","")</f>
        <v/>
      </c>
      <c r="G229" s="4" t="str">
        <f>HYPERLINK("http://141.218.60.56/~jnz1568/getInfo.php?workbook=06_02.xlsx&amp;sheet=A0&amp;row=229&amp;col=7&amp;number=&amp;sourceID=34","")</f>
        <v/>
      </c>
      <c r="H229" s="4" t="str">
        <f>HYPERLINK("http://141.218.60.56/~jnz1568/getInfo.php?workbook=06_02.xlsx&amp;sheet=A0&amp;row=229&amp;col=8&amp;number=&amp;sourceID=34","")</f>
        <v/>
      </c>
      <c r="I229" s="4" t="str">
        <f>HYPERLINK("http://141.218.60.56/~jnz1568/getInfo.php?workbook=06_02.xlsx&amp;sheet=A0&amp;row=229&amp;col=9&amp;number=&amp;sourceID=34","")</f>
        <v/>
      </c>
      <c r="J229" s="4" t="str">
        <f>HYPERLINK("http://141.218.60.56/~jnz1568/getInfo.php?workbook=06_02.xlsx&amp;sheet=A0&amp;row=229&amp;col=10&amp;number=&amp;sourceID=34","")</f>
        <v/>
      </c>
      <c r="K229" s="4" t="str">
        <f>HYPERLINK("http://141.218.60.56/~jnz1568/getInfo.php?workbook=06_02.xlsx&amp;sheet=A0&amp;row=229&amp;col=11&amp;number=&amp;sourceID=30","")</f>
        <v/>
      </c>
      <c r="L229" s="4" t="str">
        <f>HYPERLINK("http://141.218.60.56/~jnz1568/getInfo.php?workbook=06_02.xlsx&amp;sheet=A0&amp;row=229&amp;col=12&amp;number=120.1&amp;sourceID=30","120.1")</f>
        <v>120.1</v>
      </c>
      <c r="M229" s="4" t="str">
        <f>HYPERLINK("http://141.218.60.56/~jnz1568/getInfo.php?workbook=06_02.xlsx&amp;sheet=A0&amp;row=229&amp;col=13&amp;number=&amp;sourceID=30","")</f>
        <v/>
      </c>
      <c r="N229" s="4" t="str">
        <f>HYPERLINK("http://141.218.60.56/~jnz1568/getInfo.php?workbook=06_02.xlsx&amp;sheet=A0&amp;row=229&amp;col=14&amp;number=&amp;sourceID=30","")</f>
        <v/>
      </c>
      <c r="O229" s="4" t="str">
        <f>HYPERLINK("http://141.218.60.56/~jnz1568/getInfo.php?workbook=06_02.xlsx&amp;sheet=A0&amp;row=229&amp;col=15&amp;number=&amp;sourceID=32","")</f>
        <v/>
      </c>
      <c r="P229" s="4" t="str">
        <f>HYPERLINK("http://141.218.60.56/~jnz1568/getInfo.php?workbook=06_02.xlsx&amp;sheet=A0&amp;row=229&amp;col=16&amp;number=164.7&amp;sourceID=32","164.7")</f>
        <v>164.7</v>
      </c>
      <c r="Q229" s="4" t="str">
        <f>HYPERLINK("http://141.218.60.56/~jnz1568/getInfo.php?workbook=06_02.xlsx&amp;sheet=A0&amp;row=229&amp;col=17&amp;number=&amp;sourceID=32","")</f>
        <v/>
      </c>
      <c r="R229" s="4" t="str">
        <f>HYPERLINK("http://141.218.60.56/~jnz1568/getInfo.php?workbook=06_02.xlsx&amp;sheet=A0&amp;row=229&amp;col=18&amp;number=&amp;sourceID=32","")</f>
        <v/>
      </c>
    </row>
    <row r="230" spans="1:18">
      <c r="A230" s="3">
        <v>6</v>
      </c>
      <c r="B230" s="3">
        <v>2</v>
      </c>
      <c r="C230" s="3">
        <v>24</v>
      </c>
      <c r="D230" s="3">
        <v>10</v>
      </c>
      <c r="E230" s="3">
        <f>((1/(INDEX(E0!J$4:J$52,C230,1)-INDEX(E0!J$4:J$52,D230,1))))*100000000</f>
        <v>0</v>
      </c>
      <c r="F230" s="4" t="str">
        <f>HYPERLINK("http://141.218.60.56/~jnz1568/getInfo.php?workbook=06_02.xlsx&amp;sheet=A0&amp;row=230&amp;col=6&amp;number=&amp;sourceID=27","")</f>
        <v/>
      </c>
      <c r="G230" s="4" t="str">
        <f>HYPERLINK("http://141.218.60.56/~jnz1568/getInfo.php?workbook=06_02.xlsx&amp;sheet=A0&amp;row=230&amp;col=7&amp;number=&amp;sourceID=34","")</f>
        <v/>
      </c>
      <c r="H230" s="4" t="str">
        <f>HYPERLINK("http://141.218.60.56/~jnz1568/getInfo.php?workbook=06_02.xlsx&amp;sheet=A0&amp;row=230&amp;col=8&amp;number=&amp;sourceID=34","")</f>
        <v/>
      </c>
      <c r="I230" s="4" t="str">
        <f>HYPERLINK("http://141.218.60.56/~jnz1568/getInfo.php?workbook=06_02.xlsx&amp;sheet=A0&amp;row=230&amp;col=9&amp;number=&amp;sourceID=34","")</f>
        <v/>
      </c>
      <c r="J230" s="4" t="str">
        <f>HYPERLINK("http://141.218.60.56/~jnz1568/getInfo.php?workbook=06_02.xlsx&amp;sheet=A0&amp;row=230&amp;col=10&amp;number=&amp;sourceID=34","")</f>
        <v/>
      </c>
      <c r="K230" s="4" t="str">
        <f>HYPERLINK("http://141.218.60.56/~jnz1568/getInfo.php?workbook=06_02.xlsx&amp;sheet=A0&amp;row=230&amp;col=11&amp;number=3221000000&amp;sourceID=30","3221000000")</f>
        <v>3221000000</v>
      </c>
      <c r="L230" s="4" t="str">
        <f>HYPERLINK("http://141.218.60.56/~jnz1568/getInfo.php?workbook=06_02.xlsx&amp;sheet=A0&amp;row=230&amp;col=12&amp;number=&amp;sourceID=30","")</f>
        <v/>
      </c>
      <c r="M230" s="4" t="str">
        <f>HYPERLINK("http://141.218.60.56/~jnz1568/getInfo.php?workbook=06_02.xlsx&amp;sheet=A0&amp;row=230&amp;col=13&amp;number=&amp;sourceID=30","")</f>
        <v/>
      </c>
      <c r="N230" s="4" t="str">
        <f>HYPERLINK("http://141.218.60.56/~jnz1568/getInfo.php?workbook=06_02.xlsx&amp;sheet=A0&amp;row=230&amp;col=14&amp;number=0.299&amp;sourceID=30","0.299")</f>
        <v>0.299</v>
      </c>
      <c r="O230" s="4" t="str">
        <f>HYPERLINK("http://141.218.60.56/~jnz1568/getInfo.php?workbook=06_02.xlsx&amp;sheet=A0&amp;row=230&amp;col=15&amp;number=3231000000&amp;sourceID=32","3231000000")</f>
        <v>3231000000</v>
      </c>
      <c r="P230" s="4" t="str">
        <f>HYPERLINK("http://141.218.60.56/~jnz1568/getInfo.php?workbook=06_02.xlsx&amp;sheet=A0&amp;row=230&amp;col=16&amp;number=&amp;sourceID=32","")</f>
        <v/>
      </c>
      <c r="Q230" s="4" t="str">
        <f>HYPERLINK("http://141.218.60.56/~jnz1568/getInfo.php?workbook=06_02.xlsx&amp;sheet=A0&amp;row=230&amp;col=17&amp;number=&amp;sourceID=32","")</f>
        <v/>
      </c>
      <c r="R230" s="4" t="str">
        <f>HYPERLINK("http://141.218.60.56/~jnz1568/getInfo.php?workbook=06_02.xlsx&amp;sheet=A0&amp;row=230&amp;col=18&amp;number=0.297&amp;sourceID=32","0.297")</f>
        <v>0.297</v>
      </c>
    </row>
    <row r="231" spans="1:18">
      <c r="A231" s="3">
        <v>6</v>
      </c>
      <c r="B231" s="3">
        <v>2</v>
      </c>
      <c r="C231" s="3">
        <v>24</v>
      </c>
      <c r="D231" s="3">
        <v>11</v>
      </c>
      <c r="E231" s="3">
        <f>((1/(INDEX(E0!J$4:J$52,C231,1)-INDEX(E0!J$4:J$52,D231,1))))*100000000</f>
        <v>0</v>
      </c>
      <c r="F231" s="4" t="str">
        <f>HYPERLINK("http://141.218.60.56/~jnz1568/getInfo.php?workbook=06_02.xlsx&amp;sheet=A0&amp;row=231&amp;col=6&amp;number=&amp;sourceID=27","")</f>
        <v/>
      </c>
      <c r="G231" s="4" t="str">
        <f>HYPERLINK("http://141.218.60.56/~jnz1568/getInfo.php?workbook=06_02.xlsx&amp;sheet=A0&amp;row=231&amp;col=7&amp;number=&amp;sourceID=34","")</f>
        <v/>
      </c>
      <c r="H231" s="4" t="str">
        <f>HYPERLINK("http://141.218.60.56/~jnz1568/getInfo.php?workbook=06_02.xlsx&amp;sheet=A0&amp;row=231&amp;col=8&amp;number=&amp;sourceID=34","")</f>
        <v/>
      </c>
      <c r="I231" s="4" t="str">
        <f>HYPERLINK("http://141.218.60.56/~jnz1568/getInfo.php?workbook=06_02.xlsx&amp;sheet=A0&amp;row=231&amp;col=9&amp;number=&amp;sourceID=34","")</f>
        <v/>
      </c>
      <c r="J231" s="4" t="str">
        <f>HYPERLINK("http://141.218.60.56/~jnz1568/getInfo.php?workbook=06_02.xlsx&amp;sheet=A0&amp;row=231&amp;col=10&amp;number=&amp;sourceID=34","")</f>
        <v/>
      </c>
      <c r="K231" s="4" t="str">
        <f>HYPERLINK("http://141.218.60.56/~jnz1568/getInfo.php?workbook=06_02.xlsx&amp;sheet=A0&amp;row=231&amp;col=11&amp;number=&amp;sourceID=30","")</f>
        <v/>
      </c>
      <c r="L231" s="4" t="str">
        <f>HYPERLINK("http://141.218.60.56/~jnz1568/getInfo.php?workbook=06_02.xlsx&amp;sheet=A0&amp;row=231&amp;col=12&amp;number=&amp;sourceID=30","")</f>
        <v/>
      </c>
      <c r="M231" s="4" t="str">
        <f>HYPERLINK("http://141.218.60.56/~jnz1568/getInfo.php?workbook=06_02.xlsx&amp;sheet=A0&amp;row=231&amp;col=13&amp;number=&amp;sourceID=30","")</f>
        <v/>
      </c>
      <c r="N231" s="4" t="str">
        <f>HYPERLINK("http://141.218.60.56/~jnz1568/getInfo.php?workbook=06_02.xlsx&amp;sheet=A0&amp;row=231&amp;col=14&amp;number=0.0163&amp;sourceID=30","0.0163")</f>
        <v>0.0163</v>
      </c>
      <c r="O231" s="4" t="str">
        <f>HYPERLINK("http://141.218.60.56/~jnz1568/getInfo.php?workbook=06_02.xlsx&amp;sheet=A0&amp;row=231&amp;col=15&amp;number=&amp;sourceID=32","")</f>
        <v/>
      </c>
      <c r="P231" s="4" t="str">
        <f>HYPERLINK("http://141.218.60.56/~jnz1568/getInfo.php?workbook=06_02.xlsx&amp;sheet=A0&amp;row=231&amp;col=16&amp;number=&amp;sourceID=32","")</f>
        <v/>
      </c>
      <c r="Q231" s="4" t="str">
        <f>HYPERLINK("http://141.218.60.56/~jnz1568/getInfo.php?workbook=06_02.xlsx&amp;sheet=A0&amp;row=231&amp;col=17&amp;number=&amp;sourceID=32","")</f>
        <v/>
      </c>
      <c r="R231" s="4" t="str">
        <f>HYPERLINK("http://141.218.60.56/~jnz1568/getInfo.php?workbook=06_02.xlsx&amp;sheet=A0&amp;row=231&amp;col=18&amp;number=0.01577&amp;sourceID=32","0.01577")</f>
        <v>0.01577</v>
      </c>
    </row>
    <row r="232" spans="1:18">
      <c r="A232" s="3">
        <v>6</v>
      </c>
      <c r="B232" s="3">
        <v>2</v>
      </c>
      <c r="C232" s="3">
        <v>24</v>
      </c>
      <c r="D232" s="3">
        <v>12</v>
      </c>
      <c r="E232" s="3">
        <f>((1/(INDEX(E0!J$4:J$52,C232,1)-INDEX(E0!J$4:J$52,D232,1))))*100000000</f>
        <v>0</v>
      </c>
      <c r="F232" s="4" t="str">
        <f>HYPERLINK("http://141.218.60.56/~jnz1568/getInfo.php?workbook=06_02.xlsx&amp;sheet=A0&amp;row=232&amp;col=6&amp;number=&amp;sourceID=27","")</f>
        <v/>
      </c>
      <c r="G232" s="4" t="str">
        <f>HYPERLINK("http://141.218.60.56/~jnz1568/getInfo.php?workbook=06_02.xlsx&amp;sheet=A0&amp;row=232&amp;col=7&amp;number=&amp;sourceID=34","")</f>
        <v/>
      </c>
      <c r="H232" s="4" t="str">
        <f>HYPERLINK("http://141.218.60.56/~jnz1568/getInfo.php?workbook=06_02.xlsx&amp;sheet=A0&amp;row=232&amp;col=8&amp;number=&amp;sourceID=34","")</f>
        <v/>
      </c>
      <c r="I232" s="4" t="str">
        <f>HYPERLINK("http://141.218.60.56/~jnz1568/getInfo.php?workbook=06_02.xlsx&amp;sheet=A0&amp;row=232&amp;col=9&amp;number=&amp;sourceID=34","")</f>
        <v/>
      </c>
      <c r="J232" s="4" t="str">
        <f>HYPERLINK("http://141.218.60.56/~jnz1568/getInfo.php?workbook=06_02.xlsx&amp;sheet=A0&amp;row=232&amp;col=10&amp;number=&amp;sourceID=34","")</f>
        <v/>
      </c>
      <c r="K232" s="4" t="str">
        <f>HYPERLINK("http://141.218.60.56/~jnz1568/getInfo.php?workbook=06_02.xlsx&amp;sheet=A0&amp;row=232&amp;col=11&amp;number=1073000000&amp;sourceID=30","1073000000")</f>
        <v>1073000000</v>
      </c>
      <c r="L232" s="4" t="str">
        <f>HYPERLINK("http://141.218.60.56/~jnz1568/getInfo.php?workbook=06_02.xlsx&amp;sheet=A0&amp;row=232&amp;col=12&amp;number=&amp;sourceID=30","")</f>
        <v/>
      </c>
      <c r="M232" s="4" t="str">
        <f>HYPERLINK("http://141.218.60.56/~jnz1568/getInfo.php?workbook=06_02.xlsx&amp;sheet=A0&amp;row=232&amp;col=13&amp;number=&amp;sourceID=30","")</f>
        <v/>
      </c>
      <c r="N232" s="4" t="str">
        <f>HYPERLINK("http://141.218.60.56/~jnz1568/getInfo.php?workbook=06_02.xlsx&amp;sheet=A0&amp;row=232&amp;col=14&amp;number=0.1279&amp;sourceID=30","0.1279")</f>
        <v>0.1279</v>
      </c>
      <c r="O232" s="4" t="str">
        <f>HYPERLINK("http://141.218.60.56/~jnz1568/getInfo.php?workbook=06_02.xlsx&amp;sheet=A0&amp;row=232&amp;col=15&amp;number=1077000000&amp;sourceID=32","1077000000")</f>
        <v>1077000000</v>
      </c>
      <c r="P232" s="4" t="str">
        <f>HYPERLINK("http://141.218.60.56/~jnz1568/getInfo.php?workbook=06_02.xlsx&amp;sheet=A0&amp;row=232&amp;col=16&amp;number=&amp;sourceID=32","")</f>
        <v/>
      </c>
      <c r="Q232" s="4" t="str">
        <f>HYPERLINK("http://141.218.60.56/~jnz1568/getInfo.php?workbook=06_02.xlsx&amp;sheet=A0&amp;row=232&amp;col=17&amp;number=&amp;sourceID=32","")</f>
        <v/>
      </c>
      <c r="R232" s="4" t="str">
        <f>HYPERLINK("http://141.218.60.56/~jnz1568/getInfo.php?workbook=06_02.xlsx&amp;sheet=A0&amp;row=232&amp;col=18&amp;number=0.1264&amp;sourceID=32","0.1264")</f>
        <v>0.1264</v>
      </c>
    </row>
    <row r="233" spans="1:18">
      <c r="A233" s="3">
        <v>6</v>
      </c>
      <c r="B233" s="3">
        <v>2</v>
      </c>
      <c r="C233" s="3">
        <v>24</v>
      </c>
      <c r="D233" s="3">
        <v>13</v>
      </c>
      <c r="E233" s="3">
        <f>((1/(INDEX(E0!J$4:J$52,C233,1)-INDEX(E0!J$4:J$52,D233,1))))*100000000</f>
        <v>0</v>
      </c>
      <c r="F233" s="4" t="str">
        <f>HYPERLINK("http://141.218.60.56/~jnz1568/getInfo.php?workbook=06_02.xlsx&amp;sheet=A0&amp;row=233&amp;col=6&amp;number=&amp;sourceID=27","")</f>
        <v/>
      </c>
      <c r="G233" s="4" t="str">
        <f>HYPERLINK("http://141.218.60.56/~jnz1568/getInfo.php?workbook=06_02.xlsx&amp;sheet=A0&amp;row=233&amp;col=7&amp;number=&amp;sourceID=34","")</f>
        <v/>
      </c>
      <c r="H233" s="4" t="str">
        <f>HYPERLINK("http://141.218.60.56/~jnz1568/getInfo.php?workbook=06_02.xlsx&amp;sheet=A0&amp;row=233&amp;col=8&amp;number=&amp;sourceID=34","")</f>
        <v/>
      </c>
      <c r="I233" s="4" t="str">
        <f>HYPERLINK("http://141.218.60.56/~jnz1568/getInfo.php?workbook=06_02.xlsx&amp;sheet=A0&amp;row=233&amp;col=9&amp;number=&amp;sourceID=34","")</f>
        <v/>
      </c>
      <c r="J233" s="4" t="str">
        <f>HYPERLINK("http://141.218.60.56/~jnz1568/getInfo.php?workbook=06_02.xlsx&amp;sheet=A0&amp;row=233&amp;col=10&amp;number=&amp;sourceID=34","")</f>
        <v/>
      </c>
      <c r="K233" s="4" t="str">
        <f>HYPERLINK("http://141.218.60.56/~jnz1568/getInfo.php?workbook=06_02.xlsx&amp;sheet=A0&amp;row=233&amp;col=11&amp;number=&amp;sourceID=30","")</f>
        <v/>
      </c>
      <c r="L233" s="4" t="str">
        <f>HYPERLINK("http://141.218.60.56/~jnz1568/getInfo.php?workbook=06_02.xlsx&amp;sheet=A0&amp;row=233&amp;col=12&amp;number=6502&amp;sourceID=30","6502")</f>
        <v>6502</v>
      </c>
      <c r="M233" s="4" t="str">
        <f>HYPERLINK("http://141.218.60.56/~jnz1568/getInfo.php?workbook=06_02.xlsx&amp;sheet=A0&amp;row=233&amp;col=13&amp;number=6.464e-06&amp;sourceID=30","6.464e-06")</f>
        <v>6.464e-06</v>
      </c>
      <c r="N233" s="4" t="str">
        <f>HYPERLINK("http://141.218.60.56/~jnz1568/getInfo.php?workbook=06_02.xlsx&amp;sheet=A0&amp;row=233&amp;col=14&amp;number=&amp;sourceID=30","")</f>
        <v/>
      </c>
      <c r="O233" s="4" t="str">
        <f>HYPERLINK("http://141.218.60.56/~jnz1568/getInfo.php?workbook=06_02.xlsx&amp;sheet=A0&amp;row=233&amp;col=15&amp;number=&amp;sourceID=32","")</f>
        <v/>
      </c>
      <c r="P233" s="4" t="str">
        <f>HYPERLINK("http://141.218.60.56/~jnz1568/getInfo.php?workbook=06_02.xlsx&amp;sheet=A0&amp;row=233&amp;col=16&amp;number=6506&amp;sourceID=32","6506")</f>
        <v>6506</v>
      </c>
      <c r="Q233" s="4" t="str">
        <f>HYPERLINK("http://141.218.60.56/~jnz1568/getInfo.php?workbook=06_02.xlsx&amp;sheet=A0&amp;row=233&amp;col=17&amp;number=8.979e-06&amp;sourceID=32","8.979e-06")</f>
        <v>8.979e-06</v>
      </c>
      <c r="R233" s="4" t="str">
        <f>HYPERLINK("http://141.218.60.56/~jnz1568/getInfo.php?workbook=06_02.xlsx&amp;sheet=A0&amp;row=233&amp;col=18&amp;number=&amp;sourceID=32","")</f>
        <v/>
      </c>
    </row>
    <row r="234" spans="1:18">
      <c r="A234" s="3">
        <v>6</v>
      </c>
      <c r="B234" s="3">
        <v>2</v>
      </c>
      <c r="C234" s="3">
        <v>24</v>
      </c>
      <c r="D234" s="3">
        <v>14</v>
      </c>
      <c r="E234" s="3">
        <f>((1/(INDEX(E0!J$4:J$52,C234,1)-INDEX(E0!J$4:J$52,D234,1))))*100000000</f>
        <v>0</v>
      </c>
      <c r="F234" s="4" t="str">
        <f>HYPERLINK("http://141.218.60.56/~jnz1568/getInfo.php?workbook=06_02.xlsx&amp;sheet=A0&amp;row=234&amp;col=6&amp;number=&amp;sourceID=27","")</f>
        <v/>
      </c>
      <c r="G234" s="4" t="str">
        <f>HYPERLINK("http://141.218.60.56/~jnz1568/getInfo.php?workbook=06_02.xlsx&amp;sheet=A0&amp;row=234&amp;col=7&amp;number=&amp;sourceID=34","")</f>
        <v/>
      </c>
      <c r="H234" s="4" t="str">
        <f>HYPERLINK("http://141.218.60.56/~jnz1568/getInfo.php?workbook=06_02.xlsx&amp;sheet=A0&amp;row=234&amp;col=8&amp;number=&amp;sourceID=34","")</f>
        <v/>
      </c>
      <c r="I234" s="4" t="str">
        <f>HYPERLINK("http://141.218.60.56/~jnz1568/getInfo.php?workbook=06_02.xlsx&amp;sheet=A0&amp;row=234&amp;col=9&amp;number=&amp;sourceID=34","")</f>
        <v/>
      </c>
      <c r="J234" s="4" t="str">
        <f>HYPERLINK("http://141.218.60.56/~jnz1568/getInfo.php?workbook=06_02.xlsx&amp;sheet=A0&amp;row=234&amp;col=10&amp;number=&amp;sourceID=34","")</f>
        <v/>
      </c>
      <c r="K234" s="4" t="str">
        <f>HYPERLINK("http://141.218.60.56/~jnz1568/getInfo.php?workbook=06_02.xlsx&amp;sheet=A0&amp;row=234&amp;col=11&amp;number=&amp;sourceID=30","")</f>
        <v/>
      </c>
      <c r="L234" s="4" t="str">
        <f>HYPERLINK("http://141.218.60.56/~jnz1568/getInfo.php?workbook=06_02.xlsx&amp;sheet=A0&amp;row=234&amp;col=12&amp;number=4672&amp;sourceID=30","4672")</f>
        <v>4672</v>
      </c>
      <c r="M234" s="4" t="str">
        <f>HYPERLINK("http://141.218.60.56/~jnz1568/getInfo.php?workbook=06_02.xlsx&amp;sheet=A0&amp;row=234&amp;col=13&amp;number=0.0003069&amp;sourceID=30","0.0003069")</f>
        <v>0.0003069</v>
      </c>
      <c r="N234" s="4" t="str">
        <f>HYPERLINK("http://141.218.60.56/~jnz1568/getInfo.php?workbook=06_02.xlsx&amp;sheet=A0&amp;row=234&amp;col=14&amp;number=&amp;sourceID=30","")</f>
        <v/>
      </c>
      <c r="O234" s="4" t="str">
        <f>HYPERLINK("http://141.218.60.56/~jnz1568/getInfo.php?workbook=06_02.xlsx&amp;sheet=A0&amp;row=234&amp;col=15&amp;number=&amp;sourceID=32","")</f>
        <v/>
      </c>
      <c r="P234" s="4" t="str">
        <f>HYPERLINK("http://141.218.60.56/~jnz1568/getInfo.php?workbook=06_02.xlsx&amp;sheet=A0&amp;row=234&amp;col=16&amp;number=4686&amp;sourceID=32","4686")</f>
        <v>4686</v>
      </c>
      <c r="Q234" s="4" t="str">
        <f>HYPERLINK("http://141.218.60.56/~jnz1568/getInfo.php?workbook=06_02.xlsx&amp;sheet=A0&amp;row=234&amp;col=17&amp;number=0.0003081&amp;sourceID=32","0.0003081")</f>
        <v>0.0003081</v>
      </c>
      <c r="R234" s="4" t="str">
        <f>HYPERLINK("http://141.218.60.56/~jnz1568/getInfo.php?workbook=06_02.xlsx&amp;sheet=A0&amp;row=234&amp;col=18&amp;number=&amp;sourceID=32","")</f>
        <v/>
      </c>
    </row>
    <row r="235" spans="1:18">
      <c r="A235" s="3">
        <v>6</v>
      </c>
      <c r="B235" s="3">
        <v>2</v>
      </c>
      <c r="C235" s="3">
        <v>24</v>
      </c>
      <c r="D235" s="3">
        <v>15</v>
      </c>
      <c r="E235" s="3">
        <f>((1/(INDEX(E0!J$4:J$52,C235,1)-INDEX(E0!J$4:J$52,D235,1))))*100000000</f>
        <v>0</v>
      </c>
      <c r="F235" s="4" t="str">
        <f>HYPERLINK("http://141.218.60.56/~jnz1568/getInfo.php?workbook=06_02.xlsx&amp;sheet=A0&amp;row=235&amp;col=6&amp;number=&amp;sourceID=27","")</f>
        <v/>
      </c>
      <c r="G235" s="4" t="str">
        <f>HYPERLINK("http://141.218.60.56/~jnz1568/getInfo.php?workbook=06_02.xlsx&amp;sheet=A0&amp;row=235&amp;col=7&amp;number=&amp;sourceID=34","")</f>
        <v/>
      </c>
      <c r="H235" s="4" t="str">
        <f>HYPERLINK("http://141.218.60.56/~jnz1568/getInfo.php?workbook=06_02.xlsx&amp;sheet=A0&amp;row=235&amp;col=8&amp;number=&amp;sourceID=34","")</f>
        <v/>
      </c>
      <c r="I235" s="4" t="str">
        <f>HYPERLINK("http://141.218.60.56/~jnz1568/getInfo.php?workbook=06_02.xlsx&amp;sheet=A0&amp;row=235&amp;col=9&amp;number=&amp;sourceID=34","")</f>
        <v/>
      </c>
      <c r="J235" s="4" t="str">
        <f>HYPERLINK("http://141.218.60.56/~jnz1568/getInfo.php?workbook=06_02.xlsx&amp;sheet=A0&amp;row=235&amp;col=10&amp;number=&amp;sourceID=34","")</f>
        <v/>
      </c>
      <c r="K235" s="4" t="str">
        <f>HYPERLINK("http://141.218.60.56/~jnz1568/getInfo.php?workbook=06_02.xlsx&amp;sheet=A0&amp;row=235&amp;col=11&amp;number=&amp;sourceID=30","")</f>
        <v/>
      </c>
      <c r="L235" s="4" t="str">
        <f>HYPERLINK("http://141.218.60.56/~jnz1568/getInfo.php?workbook=06_02.xlsx&amp;sheet=A0&amp;row=235&amp;col=12&amp;number=7426&amp;sourceID=30","7426")</f>
        <v>7426</v>
      </c>
      <c r="M235" s="4" t="str">
        <f>HYPERLINK("http://141.218.60.56/~jnz1568/getInfo.php?workbook=06_02.xlsx&amp;sheet=A0&amp;row=235&amp;col=13&amp;number=0.0001179&amp;sourceID=30","0.0001179")</f>
        <v>0.0001179</v>
      </c>
      <c r="N235" s="4" t="str">
        <f>HYPERLINK("http://141.218.60.56/~jnz1568/getInfo.php?workbook=06_02.xlsx&amp;sheet=A0&amp;row=235&amp;col=14&amp;number=&amp;sourceID=30","")</f>
        <v/>
      </c>
      <c r="O235" s="4" t="str">
        <f>HYPERLINK("http://141.218.60.56/~jnz1568/getInfo.php?workbook=06_02.xlsx&amp;sheet=A0&amp;row=235&amp;col=15&amp;number=&amp;sourceID=32","")</f>
        <v/>
      </c>
      <c r="P235" s="4" t="str">
        <f>HYPERLINK("http://141.218.60.56/~jnz1568/getInfo.php?workbook=06_02.xlsx&amp;sheet=A0&amp;row=235&amp;col=16&amp;number=7431&amp;sourceID=32","7431")</f>
        <v>7431</v>
      </c>
      <c r="Q235" s="4" t="str">
        <f>HYPERLINK("http://141.218.60.56/~jnz1568/getInfo.php?workbook=06_02.xlsx&amp;sheet=A0&amp;row=235&amp;col=17&amp;number=0.0001076&amp;sourceID=32","0.0001076")</f>
        <v>0.0001076</v>
      </c>
      <c r="R235" s="4" t="str">
        <f>HYPERLINK("http://141.218.60.56/~jnz1568/getInfo.php?workbook=06_02.xlsx&amp;sheet=A0&amp;row=235&amp;col=18&amp;number=&amp;sourceID=32","")</f>
        <v/>
      </c>
    </row>
    <row r="236" spans="1:18">
      <c r="A236" s="3">
        <v>6</v>
      </c>
      <c r="B236" s="3">
        <v>2</v>
      </c>
      <c r="C236" s="3">
        <v>24</v>
      </c>
      <c r="D236" s="3">
        <v>16</v>
      </c>
      <c r="E236" s="3">
        <f>((1/(INDEX(E0!J$4:J$52,C236,1)-INDEX(E0!J$4:J$52,D236,1))))*100000000</f>
        <v>0</v>
      </c>
      <c r="F236" s="4" t="str">
        <f>HYPERLINK("http://141.218.60.56/~jnz1568/getInfo.php?workbook=06_02.xlsx&amp;sheet=A0&amp;row=236&amp;col=6&amp;number=&amp;sourceID=27","")</f>
        <v/>
      </c>
      <c r="G236" s="4" t="str">
        <f>HYPERLINK("http://141.218.60.56/~jnz1568/getInfo.php?workbook=06_02.xlsx&amp;sheet=A0&amp;row=236&amp;col=7&amp;number=&amp;sourceID=34","")</f>
        <v/>
      </c>
      <c r="H236" s="4" t="str">
        <f>HYPERLINK("http://141.218.60.56/~jnz1568/getInfo.php?workbook=06_02.xlsx&amp;sheet=A0&amp;row=236&amp;col=8&amp;number=&amp;sourceID=34","")</f>
        <v/>
      </c>
      <c r="I236" s="4" t="str">
        <f>HYPERLINK("http://141.218.60.56/~jnz1568/getInfo.php?workbook=06_02.xlsx&amp;sheet=A0&amp;row=236&amp;col=9&amp;number=&amp;sourceID=34","")</f>
        <v/>
      </c>
      <c r="J236" s="4" t="str">
        <f>HYPERLINK("http://141.218.60.56/~jnz1568/getInfo.php?workbook=06_02.xlsx&amp;sheet=A0&amp;row=236&amp;col=10&amp;number=&amp;sourceID=34","")</f>
        <v/>
      </c>
      <c r="K236" s="4" t="str">
        <f>HYPERLINK("http://141.218.60.56/~jnz1568/getInfo.php?workbook=06_02.xlsx&amp;sheet=A0&amp;row=236&amp;col=11&amp;number=&amp;sourceID=30","")</f>
        <v/>
      </c>
      <c r="L236" s="4" t="str">
        <f>HYPERLINK("http://141.218.60.56/~jnz1568/getInfo.php?workbook=06_02.xlsx&amp;sheet=A0&amp;row=236&amp;col=12&amp;number=4.219&amp;sourceID=30","4.219")</f>
        <v>4.219</v>
      </c>
      <c r="M236" s="4" t="str">
        <f>HYPERLINK("http://141.218.60.56/~jnz1568/getInfo.php?workbook=06_02.xlsx&amp;sheet=A0&amp;row=236&amp;col=13&amp;number=0.0001623&amp;sourceID=30","0.0001623")</f>
        <v>0.0001623</v>
      </c>
      <c r="N236" s="4" t="str">
        <f>HYPERLINK("http://141.218.60.56/~jnz1568/getInfo.php?workbook=06_02.xlsx&amp;sheet=A0&amp;row=236&amp;col=14&amp;number=&amp;sourceID=30","")</f>
        <v/>
      </c>
      <c r="O236" s="4" t="str">
        <f>HYPERLINK("http://141.218.60.56/~jnz1568/getInfo.php?workbook=06_02.xlsx&amp;sheet=A0&amp;row=236&amp;col=15&amp;number=&amp;sourceID=32","")</f>
        <v/>
      </c>
      <c r="P236" s="4" t="str">
        <f>HYPERLINK("http://141.218.60.56/~jnz1568/getInfo.php?workbook=06_02.xlsx&amp;sheet=A0&amp;row=236&amp;col=16&amp;number=5.754&amp;sourceID=32","5.754")</f>
        <v>5.754</v>
      </c>
      <c r="Q236" s="4" t="str">
        <f>HYPERLINK("http://141.218.60.56/~jnz1568/getInfo.php?workbook=06_02.xlsx&amp;sheet=A0&amp;row=236&amp;col=17&amp;number=0.0001384&amp;sourceID=32","0.0001384")</f>
        <v>0.0001384</v>
      </c>
      <c r="R236" s="4" t="str">
        <f>HYPERLINK("http://141.218.60.56/~jnz1568/getInfo.php?workbook=06_02.xlsx&amp;sheet=A0&amp;row=236&amp;col=18&amp;number=&amp;sourceID=32","")</f>
        <v/>
      </c>
    </row>
    <row r="237" spans="1:18">
      <c r="A237" s="3">
        <v>6</v>
      </c>
      <c r="B237" s="3">
        <v>2</v>
      </c>
      <c r="C237" s="3">
        <v>24</v>
      </c>
      <c r="D237" s="3">
        <v>17</v>
      </c>
      <c r="E237" s="3">
        <f>((1/(INDEX(E0!J$4:J$52,C237,1)-INDEX(E0!J$4:J$52,D237,1))))*100000000</f>
        <v>0</v>
      </c>
      <c r="F237" s="4" t="str">
        <f>HYPERLINK("http://141.218.60.56/~jnz1568/getInfo.php?workbook=06_02.xlsx&amp;sheet=A0&amp;row=237&amp;col=6&amp;number=&amp;sourceID=27","")</f>
        <v/>
      </c>
      <c r="G237" s="4" t="str">
        <f>HYPERLINK("http://141.218.60.56/~jnz1568/getInfo.php?workbook=06_02.xlsx&amp;sheet=A0&amp;row=237&amp;col=7&amp;number=&amp;sourceID=34","")</f>
        <v/>
      </c>
      <c r="H237" s="4" t="str">
        <f>HYPERLINK("http://141.218.60.56/~jnz1568/getInfo.php?workbook=06_02.xlsx&amp;sheet=A0&amp;row=237&amp;col=8&amp;number=&amp;sourceID=34","")</f>
        <v/>
      </c>
      <c r="I237" s="4" t="str">
        <f>HYPERLINK("http://141.218.60.56/~jnz1568/getInfo.php?workbook=06_02.xlsx&amp;sheet=A0&amp;row=237&amp;col=9&amp;number=&amp;sourceID=34","")</f>
        <v/>
      </c>
      <c r="J237" s="4" t="str">
        <f>HYPERLINK("http://141.218.60.56/~jnz1568/getInfo.php?workbook=06_02.xlsx&amp;sheet=A0&amp;row=237&amp;col=10&amp;number=&amp;sourceID=34","")</f>
        <v/>
      </c>
      <c r="K237" s="4" t="str">
        <f>HYPERLINK("http://141.218.60.56/~jnz1568/getInfo.php?workbook=06_02.xlsx&amp;sheet=A0&amp;row=237&amp;col=11&amp;number=6641000&amp;sourceID=30","6641000")</f>
        <v>6641000</v>
      </c>
      <c r="L237" s="4" t="str">
        <f>HYPERLINK("http://141.218.60.56/~jnz1568/getInfo.php?workbook=06_02.xlsx&amp;sheet=A0&amp;row=237&amp;col=12&amp;number=&amp;sourceID=30","")</f>
        <v/>
      </c>
      <c r="M237" s="4" t="str">
        <f>HYPERLINK("http://141.218.60.56/~jnz1568/getInfo.php?workbook=06_02.xlsx&amp;sheet=A0&amp;row=237&amp;col=13&amp;number=&amp;sourceID=30","")</f>
        <v/>
      </c>
      <c r="N237" s="4" t="str">
        <f>HYPERLINK("http://141.218.60.56/~jnz1568/getInfo.php?workbook=06_02.xlsx&amp;sheet=A0&amp;row=237&amp;col=14&amp;number=0.07435&amp;sourceID=30","0.07435")</f>
        <v>0.07435</v>
      </c>
      <c r="O237" s="4" t="str">
        <f>HYPERLINK("http://141.218.60.56/~jnz1568/getInfo.php?workbook=06_02.xlsx&amp;sheet=A0&amp;row=237&amp;col=15&amp;number=9205000&amp;sourceID=32","9205000")</f>
        <v>9205000</v>
      </c>
      <c r="P237" s="4" t="str">
        <f>HYPERLINK("http://141.218.60.56/~jnz1568/getInfo.php?workbook=06_02.xlsx&amp;sheet=A0&amp;row=237&amp;col=16&amp;number=&amp;sourceID=32","")</f>
        <v/>
      </c>
      <c r="Q237" s="4" t="str">
        <f>HYPERLINK("http://141.218.60.56/~jnz1568/getInfo.php?workbook=06_02.xlsx&amp;sheet=A0&amp;row=237&amp;col=17&amp;number=&amp;sourceID=32","")</f>
        <v/>
      </c>
      <c r="R237" s="4" t="str">
        <f>HYPERLINK("http://141.218.60.56/~jnz1568/getInfo.php?workbook=06_02.xlsx&amp;sheet=A0&amp;row=237&amp;col=18&amp;number=0.07273&amp;sourceID=32","0.07273")</f>
        <v>0.07273</v>
      </c>
    </row>
    <row r="238" spans="1:18">
      <c r="A238" s="3">
        <v>6</v>
      </c>
      <c r="B238" s="3">
        <v>2</v>
      </c>
      <c r="C238" s="3">
        <v>24</v>
      </c>
      <c r="D238" s="3">
        <v>18</v>
      </c>
      <c r="E238" s="3">
        <f>((1/(INDEX(E0!J$4:J$52,C238,1)-INDEX(E0!J$4:J$52,D238,1))))*100000000</f>
        <v>0</v>
      </c>
      <c r="F238" s="4" t="str">
        <f>HYPERLINK("http://141.218.60.56/~jnz1568/getInfo.php?workbook=06_02.xlsx&amp;sheet=A0&amp;row=238&amp;col=6&amp;number=&amp;sourceID=27","")</f>
        <v/>
      </c>
      <c r="G238" s="4" t="str">
        <f>HYPERLINK("http://141.218.60.56/~jnz1568/getInfo.php?workbook=06_02.xlsx&amp;sheet=A0&amp;row=238&amp;col=7&amp;number=&amp;sourceID=34","")</f>
        <v/>
      </c>
      <c r="H238" s="4" t="str">
        <f>HYPERLINK("http://141.218.60.56/~jnz1568/getInfo.php?workbook=06_02.xlsx&amp;sheet=A0&amp;row=238&amp;col=8&amp;number=&amp;sourceID=34","")</f>
        <v/>
      </c>
      <c r="I238" s="4" t="str">
        <f>HYPERLINK("http://141.218.60.56/~jnz1568/getInfo.php?workbook=06_02.xlsx&amp;sheet=A0&amp;row=238&amp;col=9&amp;number=&amp;sourceID=34","")</f>
        <v/>
      </c>
      <c r="J238" s="4" t="str">
        <f>HYPERLINK("http://141.218.60.56/~jnz1568/getInfo.php?workbook=06_02.xlsx&amp;sheet=A0&amp;row=238&amp;col=10&amp;number=&amp;sourceID=34","")</f>
        <v/>
      </c>
      <c r="K238" s="4" t="str">
        <f>HYPERLINK("http://141.218.60.56/~jnz1568/getInfo.php?workbook=06_02.xlsx&amp;sheet=A0&amp;row=238&amp;col=11&amp;number=&amp;sourceID=30","")</f>
        <v/>
      </c>
      <c r="L238" s="4" t="str">
        <f>HYPERLINK("http://141.218.60.56/~jnz1568/getInfo.php?workbook=06_02.xlsx&amp;sheet=A0&amp;row=238&amp;col=12&amp;number=0.1966&amp;sourceID=30","0.1966")</f>
        <v>0.1966</v>
      </c>
      <c r="M238" s="4" t="str">
        <f>HYPERLINK("http://141.218.60.56/~jnz1568/getInfo.php?workbook=06_02.xlsx&amp;sheet=A0&amp;row=238&amp;col=13&amp;number=7.795e-08&amp;sourceID=30","7.795e-08")</f>
        <v>7.795e-08</v>
      </c>
      <c r="N238" s="4" t="str">
        <f>HYPERLINK("http://141.218.60.56/~jnz1568/getInfo.php?workbook=06_02.xlsx&amp;sheet=A0&amp;row=238&amp;col=14&amp;number=&amp;sourceID=30","")</f>
        <v/>
      </c>
      <c r="O238" s="4" t="str">
        <f>HYPERLINK("http://141.218.60.56/~jnz1568/getInfo.php?workbook=06_02.xlsx&amp;sheet=A0&amp;row=238&amp;col=15&amp;number=&amp;sourceID=32","")</f>
        <v/>
      </c>
      <c r="P238" s="4" t="str">
        <f>HYPERLINK("http://141.218.60.56/~jnz1568/getInfo.php?workbook=06_02.xlsx&amp;sheet=A0&amp;row=238&amp;col=16&amp;number=0.2028&amp;sourceID=32","0.2028")</f>
        <v>0.2028</v>
      </c>
      <c r="Q238" s="4" t="str">
        <f>HYPERLINK("http://141.218.60.56/~jnz1568/getInfo.php?workbook=06_02.xlsx&amp;sheet=A0&amp;row=238&amp;col=17&amp;number=8.534e-08&amp;sourceID=32","8.534e-08")</f>
        <v>8.534e-08</v>
      </c>
      <c r="R238" s="4" t="str">
        <f>HYPERLINK("http://141.218.60.56/~jnz1568/getInfo.php?workbook=06_02.xlsx&amp;sheet=A0&amp;row=238&amp;col=18&amp;number=&amp;sourceID=32","")</f>
        <v/>
      </c>
    </row>
    <row r="239" spans="1:18">
      <c r="A239" s="3">
        <v>6</v>
      </c>
      <c r="B239" s="3">
        <v>2</v>
      </c>
      <c r="C239" s="3">
        <v>24</v>
      </c>
      <c r="D239" s="3">
        <v>19</v>
      </c>
      <c r="E239" s="3">
        <f>((1/(INDEX(E0!J$4:J$52,C239,1)-INDEX(E0!J$4:J$52,D239,1))))*100000000</f>
        <v>0</v>
      </c>
      <c r="F239" s="4" t="str">
        <f>HYPERLINK("http://141.218.60.56/~jnz1568/getInfo.php?workbook=06_02.xlsx&amp;sheet=A0&amp;row=239&amp;col=6&amp;number=&amp;sourceID=27","")</f>
        <v/>
      </c>
      <c r="G239" s="4" t="str">
        <f>HYPERLINK("http://141.218.60.56/~jnz1568/getInfo.php?workbook=06_02.xlsx&amp;sheet=A0&amp;row=239&amp;col=7&amp;number=&amp;sourceID=34","")</f>
        <v/>
      </c>
      <c r="H239" s="4" t="str">
        <f>HYPERLINK("http://141.218.60.56/~jnz1568/getInfo.php?workbook=06_02.xlsx&amp;sheet=A0&amp;row=239&amp;col=8&amp;number=&amp;sourceID=34","")</f>
        <v/>
      </c>
      <c r="I239" s="4" t="str">
        <f>HYPERLINK("http://141.218.60.56/~jnz1568/getInfo.php?workbook=06_02.xlsx&amp;sheet=A0&amp;row=239&amp;col=9&amp;number=&amp;sourceID=34","")</f>
        <v/>
      </c>
      <c r="J239" s="4" t="str">
        <f>HYPERLINK("http://141.218.60.56/~jnz1568/getInfo.php?workbook=06_02.xlsx&amp;sheet=A0&amp;row=239&amp;col=10&amp;number=&amp;sourceID=34","")</f>
        <v/>
      </c>
      <c r="K239" s="4" t="str">
        <f>HYPERLINK("http://141.218.60.56/~jnz1568/getInfo.php?workbook=06_02.xlsx&amp;sheet=A0&amp;row=239&amp;col=11&amp;number=&amp;sourceID=30","")</f>
        <v/>
      </c>
      <c r="L239" s="4" t="str">
        <f>HYPERLINK("http://141.218.60.56/~jnz1568/getInfo.php?workbook=06_02.xlsx&amp;sheet=A0&amp;row=239&amp;col=12&amp;number=2.857e-07&amp;sourceID=30","2.857e-07")</f>
        <v>2.857e-07</v>
      </c>
      <c r="M239" s="4" t="str">
        <f>HYPERLINK("http://141.218.60.56/~jnz1568/getInfo.php?workbook=06_02.xlsx&amp;sheet=A0&amp;row=239&amp;col=13&amp;number=&amp;sourceID=30","")</f>
        <v/>
      </c>
      <c r="N239" s="4" t="str">
        <f>HYPERLINK("http://141.218.60.56/~jnz1568/getInfo.php?workbook=06_02.xlsx&amp;sheet=A0&amp;row=239&amp;col=14&amp;number=&amp;sourceID=30","")</f>
        <v/>
      </c>
      <c r="O239" s="4" t="str">
        <f>HYPERLINK("http://141.218.60.56/~jnz1568/getInfo.php?workbook=06_02.xlsx&amp;sheet=A0&amp;row=239&amp;col=15&amp;number=&amp;sourceID=32","")</f>
        <v/>
      </c>
      <c r="P239" s="4" t="str">
        <f>HYPERLINK("http://141.218.60.56/~jnz1568/getInfo.php?workbook=06_02.xlsx&amp;sheet=A0&amp;row=239&amp;col=16&amp;number=2.919e-06&amp;sourceID=32","2.919e-06")</f>
        <v>2.919e-06</v>
      </c>
      <c r="Q239" s="4" t="str">
        <f>HYPERLINK("http://141.218.60.56/~jnz1568/getInfo.php?workbook=06_02.xlsx&amp;sheet=A0&amp;row=239&amp;col=17&amp;number=&amp;sourceID=32","")</f>
        <v/>
      </c>
      <c r="R239" s="4" t="str">
        <f>HYPERLINK("http://141.218.60.56/~jnz1568/getInfo.php?workbook=06_02.xlsx&amp;sheet=A0&amp;row=239&amp;col=18&amp;number=&amp;sourceID=32","")</f>
        <v/>
      </c>
    </row>
    <row r="240" spans="1:18">
      <c r="A240" s="3">
        <v>6</v>
      </c>
      <c r="B240" s="3">
        <v>2</v>
      </c>
      <c r="C240" s="3">
        <v>24</v>
      </c>
      <c r="D240" s="3">
        <v>20</v>
      </c>
      <c r="E240" s="3">
        <f>((1/(INDEX(E0!J$4:J$52,C240,1)-INDEX(E0!J$4:J$52,D240,1))))*100000000</f>
        <v>0</v>
      </c>
      <c r="F240" s="4" t="str">
        <f>HYPERLINK("http://141.218.60.56/~jnz1568/getInfo.php?workbook=06_02.xlsx&amp;sheet=A0&amp;row=240&amp;col=6&amp;number=&amp;sourceID=27","")</f>
        <v/>
      </c>
      <c r="G240" s="4" t="str">
        <f>HYPERLINK("http://141.218.60.56/~jnz1568/getInfo.php?workbook=06_02.xlsx&amp;sheet=A0&amp;row=240&amp;col=7&amp;number=&amp;sourceID=34","")</f>
        <v/>
      </c>
      <c r="H240" s="4" t="str">
        <f>HYPERLINK("http://141.218.60.56/~jnz1568/getInfo.php?workbook=06_02.xlsx&amp;sheet=A0&amp;row=240&amp;col=8&amp;number=&amp;sourceID=34","")</f>
        <v/>
      </c>
      <c r="I240" s="4" t="str">
        <f>HYPERLINK("http://141.218.60.56/~jnz1568/getInfo.php?workbook=06_02.xlsx&amp;sheet=A0&amp;row=240&amp;col=9&amp;number=&amp;sourceID=34","")</f>
        <v/>
      </c>
      <c r="J240" s="4" t="str">
        <f>HYPERLINK("http://141.218.60.56/~jnz1568/getInfo.php?workbook=06_02.xlsx&amp;sheet=A0&amp;row=240&amp;col=10&amp;number=&amp;sourceID=34","")</f>
        <v/>
      </c>
      <c r="K240" s="4" t="str">
        <f>HYPERLINK("http://141.218.60.56/~jnz1568/getInfo.php?workbook=06_02.xlsx&amp;sheet=A0&amp;row=240&amp;col=11&amp;number=&amp;sourceID=30","")</f>
        <v/>
      </c>
      <c r="L240" s="4" t="str">
        <f>HYPERLINK("http://141.218.60.56/~jnz1568/getInfo.php?workbook=06_02.xlsx&amp;sheet=A0&amp;row=240&amp;col=12&amp;number=&amp;sourceID=30","")</f>
        <v/>
      </c>
      <c r="M240" s="4" t="str">
        <f>HYPERLINK("http://141.218.60.56/~jnz1568/getInfo.php?workbook=06_02.xlsx&amp;sheet=A0&amp;row=240&amp;col=13&amp;number=&amp;sourceID=30","")</f>
        <v/>
      </c>
      <c r="N240" s="4" t="str">
        <f>HYPERLINK("http://141.218.60.56/~jnz1568/getInfo.php?workbook=06_02.xlsx&amp;sheet=A0&amp;row=240&amp;col=14&amp;number=1.912e-10&amp;sourceID=30","1.912e-10")</f>
        <v>1.912e-10</v>
      </c>
      <c r="O240" s="4" t="str">
        <f>HYPERLINK("http://141.218.60.56/~jnz1568/getInfo.php?workbook=06_02.xlsx&amp;sheet=A0&amp;row=240&amp;col=15&amp;number=&amp;sourceID=32","")</f>
        <v/>
      </c>
      <c r="P240" s="4" t="str">
        <f>HYPERLINK("http://141.218.60.56/~jnz1568/getInfo.php?workbook=06_02.xlsx&amp;sheet=A0&amp;row=240&amp;col=16&amp;number=&amp;sourceID=32","")</f>
        <v/>
      </c>
      <c r="Q240" s="4" t="str">
        <f>HYPERLINK("http://141.218.60.56/~jnz1568/getInfo.php?workbook=06_02.xlsx&amp;sheet=A0&amp;row=240&amp;col=17&amp;number=&amp;sourceID=32","")</f>
        <v/>
      </c>
      <c r="R240" s="4" t="str">
        <f>HYPERLINK("http://141.218.60.56/~jnz1568/getInfo.php?workbook=06_02.xlsx&amp;sheet=A0&amp;row=240&amp;col=18&amp;number=2.265e-10&amp;sourceID=32","2.265e-10")</f>
        <v>2.265e-10</v>
      </c>
    </row>
    <row r="241" spans="1:18">
      <c r="A241" s="3">
        <v>6</v>
      </c>
      <c r="B241" s="3">
        <v>2</v>
      </c>
      <c r="C241" s="3">
        <v>24</v>
      </c>
      <c r="D241" s="3">
        <v>21</v>
      </c>
      <c r="E241" s="3">
        <f>((1/(INDEX(E0!J$4:J$52,C241,1)-INDEX(E0!J$4:J$52,D241,1))))*100000000</f>
        <v>0</v>
      </c>
      <c r="F241" s="4" t="str">
        <f>HYPERLINK("http://141.218.60.56/~jnz1568/getInfo.php?workbook=06_02.xlsx&amp;sheet=A0&amp;row=241&amp;col=6&amp;number=&amp;sourceID=27","")</f>
        <v/>
      </c>
      <c r="G241" s="4" t="str">
        <f>HYPERLINK("http://141.218.60.56/~jnz1568/getInfo.php?workbook=06_02.xlsx&amp;sheet=A0&amp;row=241&amp;col=7&amp;number=&amp;sourceID=34","")</f>
        <v/>
      </c>
      <c r="H241" s="4" t="str">
        <f>HYPERLINK("http://141.218.60.56/~jnz1568/getInfo.php?workbook=06_02.xlsx&amp;sheet=A0&amp;row=241&amp;col=8&amp;number=&amp;sourceID=34","")</f>
        <v/>
      </c>
      <c r="I241" s="4" t="str">
        <f>HYPERLINK("http://141.218.60.56/~jnz1568/getInfo.php?workbook=06_02.xlsx&amp;sheet=A0&amp;row=241&amp;col=9&amp;number=&amp;sourceID=34","")</f>
        <v/>
      </c>
      <c r="J241" s="4" t="str">
        <f>HYPERLINK("http://141.218.60.56/~jnz1568/getInfo.php?workbook=06_02.xlsx&amp;sheet=A0&amp;row=241&amp;col=10&amp;number=&amp;sourceID=34","")</f>
        <v/>
      </c>
      <c r="K241" s="4" t="str">
        <f>HYPERLINK("http://141.218.60.56/~jnz1568/getInfo.php?workbook=06_02.xlsx&amp;sheet=A0&amp;row=241&amp;col=11&amp;number=134300&amp;sourceID=30","134300")</f>
        <v>134300</v>
      </c>
      <c r="L241" s="4" t="str">
        <f>HYPERLINK("http://141.218.60.56/~jnz1568/getInfo.php?workbook=06_02.xlsx&amp;sheet=A0&amp;row=241&amp;col=12&amp;number=&amp;sourceID=30","")</f>
        <v/>
      </c>
      <c r="M241" s="4" t="str">
        <f>HYPERLINK("http://141.218.60.56/~jnz1568/getInfo.php?workbook=06_02.xlsx&amp;sheet=A0&amp;row=241&amp;col=13&amp;number=&amp;sourceID=30","")</f>
        <v/>
      </c>
      <c r="N241" s="4" t="str">
        <f>HYPERLINK("http://141.218.60.56/~jnz1568/getInfo.php?workbook=06_02.xlsx&amp;sheet=A0&amp;row=241&amp;col=14&amp;number=3.508e-09&amp;sourceID=30","3.508e-09")</f>
        <v>3.508e-09</v>
      </c>
      <c r="O241" s="4" t="str">
        <f>HYPERLINK("http://141.218.60.56/~jnz1568/getInfo.php?workbook=06_02.xlsx&amp;sheet=A0&amp;row=241&amp;col=15&amp;number=152200&amp;sourceID=32","152200")</f>
        <v>152200</v>
      </c>
      <c r="P241" s="4" t="str">
        <f>HYPERLINK("http://141.218.60.56/~jnz1568/getInfo.php?workbook=06_02.xlsx&amp;sheet=A0&amp;row=241&amp;col=16&amp;number=&amp;sourceID=32","")</f>
        <v/>
      </c>
      <c r="Q241" s="4" t="str">
        <f>HYPERLINK("http://141.218.60.56/~jnz1568/getInfo.php?workbook=06_02.xlsx&amp;sheet=A0&amp;row=241&amp;col=17&amp;number=&amp;sourceID=32","")</f>
        <v/>
      </c>
      <c r="R241" s="4" t="str">
        <f>HYPERLINK("http://141.218.60.56/~jnz1568/getInfo.php?workbook=06_02.xlsx&amp;sheet=A0&amp;row=241&amp;col=18&amp;number=4.265e-09&amp;sourceID=32","4.265e-09")</f>
        <v>4.265e-09</v>
      </c>
    </row>
    <row r="242" spans="1:18">
      <c r="A242" s="3">
        <v>6</v>
      </c>
      <c r="B242" s="3">
        <v>2</v>
      </c>
      <c r="C242" s="3">
        <v>24</v>
      </c>
      <c r="D242" s="3">
        <v>22</v>
      </c>
      <c r="E242" s="3">
        <f>((1/(INDEX(E0!J$4:J$52,C242,1)-INDEX(E0!J$4:J$52,D242,1))))*100000000</f>
        <v>0</v>
      </c>
      <c r="F242" s="4" t="str">
        <f>HYPERLINK("http://141.218.60.56/~jnz1568/getInfo.php?workbook=06_02.xlsx&amp;sheet=A0&amp;row=242&amp;col=6&amp;number=&amp;sourceID=27","")</f>
        <v/>
      </c>
      <c r="G242" s="4" t="str">
        <f>HYPERLINK("http://141.218.60.56/~jnz1568/getInfo.php?workbook=06_02.xlsx&amp;sheet=A0&amp;row=242&amp;col=7&amp;number=&amp;sourceID=34","")</f>
        <v/>
      </c>
      <c r="H242" s="4" t="str">
        <f>HYPERLINK("http://141.218.60.56/~jnz1568/getInfo.php?workbook=06_02.xlsx&amp;sheet=A0&amp;row=242&amp;col=8&amp;number=&amp;sourceID=34","")</f>
        <v/>
      </c>
      <c r="I242" s="4" t="str">
        <f>HYPERLINK("http://141.218.60.56/~jnz1568/getInfo.php?workbook=06_02.xlsx&amp;sheet=A0&amp;row=242&amp;col=9&amp;number=&amp;sourceID=34","")</f>
        <v/>
      </c>
      <c r="J242" s="4" t="str">
        <f>HYPERLINK("http://141.218.60.56/~jnz1568/getInfo.php?workbook=06_02.xlsx&amp;sheet=A0&amp;row=242&amp;col=10&amp;number=&amp;sourceID=34","")</f>
        <v/>
      </c>
      <c r="K242" s="4" t="str">
        <f>HYPERLINK("http://141.218.60.56/~jnz1568/getInfo.php?workbook=06_02.xlsx&amp;sheet=A0&amp;row=242&amp;col=11&amp;number=43790&amp;sourceID=30","43790")</f>
        <v>43790</v>
      </c>
      <c r="L242" s="4" t="str">
        <f>HYPERLINK("http://141.218.60.56/~jnz1568/getInfo.php?workbook=06_02.xlsx&amp;sheet=A0&amp;row=242&amp;col=12&amp;number=&amp;sourceID=30","")</f>
        <v/>
      </c>
      <c r="M242" s="4" t="str">
        <f>HYPERLINK("http://141.218.60.56/~jnz1568/getInfo.php?workbook=06_02.xlsx&amp;sheet=A0&amp;row=242&amp;col=13&amp;number=&amp;sourceID=30","")</f>
        <v/>
      </c>
      <c r="N242" s="4" t="str">
        <f>HYPERLINK("http://141.218.60.56/~jnz1568/getInfo.php?workbook=06_02.xlsx&amp;sheet=A0&amp;row=242&amp;col=14&amp;number=1.448e-09&amp;sourceID=30","1.448e-09")</f>
        <v>1.448e-09</v>
      </c>
      <c r="O242" s="4" t="str">
        <f>HYPERLINK("http://141.218.60.56/~jnz1568/getInfo.php?workbook=06_02.xlsx&amp;sheet=A0&amp;row=242&amp;col=15&amp;number=49570&amp;sourceID=32","49570")</f>
        <v>49570</v>
      </c>
      <c r="P242" s="4" t="str">
        <f>HYPERLINK("http://141.218.60.56/~jnz1568/getInfo.php?workbook=06_02.xlsx&amp;sheet=A0&amp;row=242&amp;col=16&amp;number=&amp;sourceID=32","")</f>
        <v/>
      </c>
      <c r="Q242" s="4" t="str">
        <f>HYPERLINK("http://141.218.60.56/~jnz1568/getInfo.php?workbook=06_02.xlsx&amp;sheet=A0&amp;row=242&amp;col=17&amp;number=&amp;sourceID=32","")</f>
        <v/>
      </c>
      <c r="R242" s="4" t="str">
        <f>HYPERLINK("http://141.218.60.56/~jnz1568/getInfo.php?workbook=06_02.xlsx&amp;sheet=A0&amp;row=242&amp;col=18&amp;number=1.75e-09&amp;sourceID=32","1.75e-09")</f>
        <v>1.75e-09</v>
      </c>
    </row>
    <row r="243" spans="1:18">
      <c r="A243" s="3">
        <v>6</v>
      </c>
      <c r="B243" s="3">
        <v>2</v>
      </c>
      <c r="C243" s="3">
        <v>24</v>
      </c>
      <c r="D243" s="3">
        <v>23</v>
      </c>
      <c r="E243" s="3"/>
      <c r="F243" s="4" t="str">
        <f>HYPERLINK("http://141.218.60.56/~jnz1568/getInfo.php?workbook=06_02.xlsx&amp;sheet=A0&amp;row=243&amp;col=6&amp;number=&amp;sourceID=27","")</f>
        <v/>
      </c>
      <c r="G243" s="4" t="str">
        <f>HYPERLINK("http://141.218.60.56/~jnz1568/getInfo.php?workbook=06_02.xlsx&amp;sheet=A0&amp;row=243&amp;col=7&amp;number=&amp;sourceID=34","")</f>
        <v/>
      </c>
      <c r="H243" s="4" t="str">
        <f>HYPERLINK("http://141.218.60.56/~jnz1568/getInfo.php?workbook=06_02.xlsx&amp;sheet=A0&amp;row=243&amp;col=8&amp;number=&amp;sourceID=34","")</f>
        <v/>
      </c>
      <c r="I243" s="4" t="str">
        <f>HYPERLINK("http://141.218.60.56/~jnz1568/getInfo.php?workbook=06_02.xlsx&amp;sheet=A0&amp;row=243&amp;col=9&amp;number=&amp;sourceID=34","")</f>
        <v/>
      </c>
      <c r="J243" s="4" t="str">
        <f>HYPERLINK("http://141.218.60.56/~jnz1568/getInfo.php?workbook=06_02.xlsx&amp;sheet=A0&amp;row=243&amp;col=10&amp;number=&amp;sourceID=34","")</f>
        <v/>
      </c>
      <c r="K243" s="4" t="str">
        <f>HYPERLINK("http://141.218.60.56/~jnz1568/getInfo.php?workbook=06_02.xlsx&amp;sheet=A0&amp;row=243&amp;col=11&amp;number=&amp;sourceID=30","")</f>
        <v/>
      </c>
      <c r="L243" s="4" t="str">
        <f>HYPERLINK("http://141.218.60.56/~jnz1568/getInfo.php?workbook=06_02.xlsx&amp;sheet=A0&amp;row=243&amp;col=12&amp;number=0&amp;sourceID=30","0")</f>
        <v>0</v>
      </c>
      <c r="M243" s="4" t="str">
        <f>HYPERLINK("http://141.218.60.56/~jnz1568/getInfo.php?workbook=06_02.xlsx&amp;sheet=A0&amp;row=243&amp;col=13&amp;number=2.673e-12&amp;sourceID=30","2.673e-12")</f>
        <v>2.673e-12</v>
      </c>
      <c r="N243" s="4" t="str">
        <f>HYPERLINK("http://141.218.60.56/~jnz1568/getInfo.php?workbook=06_02.xlsx&amp;sheet=A0&amp;row=243&amp;col=14&amp;number=&amp;sourceID=30","")</f>
        <v/>
      </c>
      <c r="O243" s="4" t="str">
        <f>HYPERLINK("http://141.218.60.56/~jnz1568/getInfo.php?workbook=06_02.xlsx&amp;sheet=A0&amp;row=243&amp;col=15&amp;number=&amp;sourceID=32","")</f>
        <v/>
      </c>
      <c r="P243" s="4" t="str">
        <f>HYPERLINK("http://141.218.60.56/~jnz1568/getInfo.php?workbook=06_02.xlsx&amp;sheet=A0&amp;row=243&amp;col=16&amp;number=&amp;sourceID=32","")</f>
        <v/>
      </c>
      <c r="Q243" s="4" t="str">
        <f>HYPERLINK("http://141.218.60.56/~jnz1568/getInfo.php?workbook=06_02.xlsx&amp;sheet=A0&amp;row=243&amp;col=17&amp;number=&amp;sourceID=32","")</f>
        <v/>
      </c>
      <c r="R243" s="4" t="str">
        <f>HYPERLINK("http://141.218.60.56/~jnz1568/getInfo.php?workbook=06_02.xlsx&amp;sheet=A0&amp;row=243&amp;col=18&amp;number=&amp;sourceID=32","")</f>
        <v/>
      </c>
    </row>
    <row r="244" spans="1:18">
      <c r="A244" s="3">
        <v>6</v>
      </c>
      <c r="B244" s="3">
        <v>2</v>
      </c>
      <c r="C244" s="3">
        <v>25</v>
      </c>
      <c r="D244" s="3">
        <v>2</v>
      </c>
      <c r="E244" s="3">
        <f>((1/(INDEX(E0!J$4:J$52,C244,1)-INDEX(E0!J$4:J$52,D244,1))))*100000000</f>
        <v>0</v>
      </c>
      <c r="F244" s="4" t="str">
        <f>HYPERLINK("http://141.218.60.56/~jnz1568/getInfo.php?workbook=06_02.xlsx&amp;sheet=A0&amp;row=244&amp;col=6&amp;number=&amp;sourceID=27","")</f>
        <v/>
      </c>
      <c r="G244" s="4" t="str">
        <f>HYPERLINK("http://141.218.60.56/~jnz1568/getInfo.php?workbook=06_02.xlsx&amp;sheet=A0&amp;row=244&amp;col=7&amp;number=&amp;sourceID=34","")</f>
        <v/>
      </c>
      <c r="H244" s="4" t="str">
        <f>HYPERLINK("http://141.218.60.56/~jnz1568/getInfo.php?workbook=06_02.xlsx&amp;sheet=A0&amp;row=244&amp;col=8&amp;number=&amp;sourceID=34","")</f>
        <v/>
      </c>
      <c r="I244" s="4" t="str">
        <f>HYPERLINK("http://141.218.60.56/~jnz1568/getInfo.php?workbook=06_02.xlsx&amp;sheet=A0&amp;row=244&amp;col=9&amp;number=&amp;sourceID=34","")</f>
        <v/>
      </c>
      <c r="J244" s="4" t="str">
        <f>HYPERLINK("http://141.218.60.56/~jnz1568/getInfo.php?workbook=06_02.xlsx&amp;sheet=A0&amp;row=244&amp;col=10&amp;number=&amp;sourceID=34","")</f>
        <v/>
      </c>
      <c r="K244" s="4" t="str">
        <f>HYPERLINK("http://141.218.60.56/~jnz1568/getInfo.php?workbook=06_02.xlsx&amp;sheet=A0&amp;row=244&amp;col=11&amp;number=&amp;sourceID=30","")</f>
        <v/>
      </c>
      <c r="L244" s="4" t="str">
        <f>HYPERLINK("http://141.218.60.56/~jnz1568/getInfo.php?workbook=06_02.xlsx&amp;sheet=A0&amp;row=244&amp;col=12&amp;number=195500&amp;sourceID=30","195500")</f>
        <v>195500</v>
      </c>
      <c r="M244" s="4" t="str">
        <f>HYPERLINK("http://141.218.60.56/~jnz1568/getInfo.php?workbook=06_02.xlsx&amp;sheet=A0&amp;row=244&amp;col=13&amp;number=&amp;sourceID=30","")</f>
        <v/>
      </c>
      <c r="N244" s="4" t="str">
        <f>HYPERLINK("http://141.218.60.56/~jnz1568/getInfo.php?workbook=06_02.xlsx&amp;sheet=A0&amp;row=244&amp;col=14&amp;number=&amp;sourceID=30","")</f>
        <v/>
      </c>
      <c r="O244" s="4" t="str">
        <f>HYPERLINK("http://141.218.60.56/~jnz1568/getInfo.php?workbook=06_02.xlsx&amp;sheet=A0&amp;row=244&amp;col=15&amp;number=&amp;sourceID=32","")</f>
        <v/>
      </c>
      <c r="P244" s="4" t="str">
        <f>HYPERLINK("http://141.218.60.56/~jnz1568/getInfo.php?workbook=06_02.xlsx&amp;sheet=A0&amp;row=244&amp;col=16&amp;number=214700&amp;sourceID=32","214700")</f>
        <v>214700</v>
      </c>
      <c r="Q244" s="4" t="str">
        <f>HYPERLINK("http://141.218.60.56/~jnz1568/getInfo.php?workbook=06_02.xlsx&amp;sheet=A0&amp;row=244&amp;col=17&amp;number=&amp;sourceID=32","")</f>
        <v/>
      </c>
      <c r="R244" s="4" t="str">
        <f>HYPERLINK("http://141.218.60.56/~jnz1568/getInfo.php?workbook=06_02.xlsx&amp;sheet=A0&amp;row=244&amp;col=18&amp;number=&amp;sourceID=32","")</f>
        <v/>
      </c>
    </row>
    <row r="245" spans="1:18">
      <c r="A245" s="3">
        <v>6</v>
      </c>
      <c r="B245" s="3">
        <v>2</v>
      </c>
      <c r="C245" s="3">
        <v>25</v>
      </c>
      <c r="D245" s="3">
        <v>4</v>
      </c>
      <c r="E245" s="3">
        <f>((1/(INDEX(E0!J$4:J$52,C245,1)-INDEX(E0!J$4:J$52,D245,1))))*100000000</f>
        <v>0</v>
      </c>
      <c r="F245" s="4" t="str">
        <f>HYPERLINK("http://141.218.60.56/~jnz1568/getInfo.php?workbook=06_02.xlsx&amp;sheet=A0&amp;row=245&amp;col=6&amp;number=&amp;sourceID=27","")</f>
        <v/>
      </c>
      <c r="G245" s="4" t="str">
        <f>HYPERLINK("http://141.218.60.56/~jnz1568/getInfo.php?workbook=06_02.xlsx&amp;sheet=A0&amp;row=245&amp;col=7&amp;number=&amp;sourceID=34","")</f>
        <v/>
      </c>
      <c r="H245" s="4" t="str">
        <f>HYPERLINK("http://141.218.60.56/~jnz1568/getInfo.php?workbook=06_02.xlsx&amp;sheet=A0&amp;row=245&amp;col=8&amp;number=&amp;sourceID=34","")</f>
        <v/>
      </c>
      <c r="I245" s="4" t="str">
        <f>HYPERLINK("http://141.218.60.56/~jnz1568/getInfo.php?workbook=06_02.xlsx&amp;sheet=A0&amp;row=245&amp;col=9&amp;number=&amp;sourceID=34","")</f>
        <v/>
      </c>
      <c r="J245" s="4" t="str">
        <f>HYPERLINK("http://141.218.60.56/~jnz1568/getInfo.php?workbook=06_02.xlsx&amp;sheet=A0&amp;row=245&amp;col=10&amp;number=&amp;sourceID=34","")</f>
        <v/>
      </c>
      <c r="K245" s="4" t="str">
        <f>HYPERLINK("http://141.218.60.56/~jnz1568/getInfo.php?workbook=06_02.xlsx&amp;sheet=A0&amp;row=245&amp;col=11&amp;number=&amp;sourceID=30","")</f>
        <v/>
      </c>
      <c r="L245" s="4" t="str">
        <f>HYPERLINK("http://141.218.60.56/~jnz1568/getInfo.php?workbook=06_02.xlsx&amp;sheet=A0&amp;row=245&amp;col=12&amp;number=&amp;sourceID=30","")</f>
        <v/>
      </c>
      <c r="M245" s="4" t="str">
        <f>HYPERLINK("http://141.218.60.56/~jnz1568/getInfo.php?workbook=06_02.xlsx&amp;sheet=A0&amp;row=245&amp;col=13&amp;number=&amp;sourceID=30","")</f>
        <v/>
      </c>
      <c r="N245" s="4" t="str">
        <f>HYPERLINK("http://141.218.60.56/~jnz1568/getInfo.php?workbook=06_02.xlsx&amp;sheet=A0&amp;row=245&amp;col=14&amp;number=1.021&amp;sourceID=30","1.021")</f>
        <v>1.021</v>
      </c>
      <c r="O245" s="4" t="str">
        <f>HYPERLINK("http://141.218.60.56/~jnz1568/getInfo.php?workbook=06_02.xlsx&amp;sheet=A0&amp;row=245&amp;col=15&amp;number=&amp;sourceID=32","")</f>
        <v/>
      </c>
      <c r="P245" s="4" t="str">
        <f>HYPERLINK("http://141.218.60.56/~jnz1568/getInfo.php?workbook=06_02.xlsx&amp;sheet=A0&amp;row=245&amp;col=16&amp;number=&amp;sourceID=32","")</f>
        <v/>
      </c>
      <c r="Q245" s="4" t="str">
        <f>HYPERLINK("http://141.218.60.56/~jnz1568/getInfo.php?workbook=06_02.xlsx&amp;sheet=A0&amp;row=245&amp;col=17&amp;number=&amp;sourceID=32","")</f>
        <v/>
      </c>
      <c r="R245" s="4" t="str">
        <f>HYPERLINK("http://141.218.60.56/~jnz1568/getInfo.php?workbook=06_02.xlsx&amp;sheet=A0&amp;row=245&amp;col=18&amp;number=1.031&amp;sourceID=32","1.031")</f>
        <v>1.031</v>
      </c>
    </row>
    <row r="246" spans="1:18">
      <c r="A246" s="3">
        <v>6</v>
      </c>
      <c r="B246" s="3">
        <v>2</v>
      </c>
      <c r="C246" s="3">
        <v>25</v>
      </c>
      <c r="D246" s="3">
        <v>6</v>
      </c>
      <c r="E246" s="3">
        <f>((1/(INDEX(E0!J$4:J$52,C246,1)-INDEX(E0!J$4:J$52,D246,1))))*100000000</f>
        <v>0</v>
      </c>
      <c r="F246" s="4" t="str">
        <f>HYPERLINK("http://141.218.60.56/~jnz1568/getInfo.php?workbook=06_02.xlsx&amp;sheet=A0&amp;row=246&amp;col=6&amp;number=&amp;sourceID=27","")</f>
        <v/>
      </c>
      <c r="G246" s="4" t="str">
        <f>HYPERLINK("http://141.218.60.56/~jnz1568/getInfo.php?workbook=06_02.xlsx&amp;sheet=A0&amp;row=246&amp;col=7&amp;number=14130000000&amp;sourceID=34","14130000000")</f>
        <v>14130000000</v>
      </c>
      <c r="H246" s="4" t="str">
        <f>HYPERLINK("http://141.218.60.56/~jnz1568/getInfo.php?workbook=06_02.xlsx&amp;sheet=A0&amp;row=246&amp;col=8&amp;number=&amp;sourceID=34","")</f>
        <v/>
      </c>
      <c r="I246" s="4" t="str">
        <f>HYPERLINK("http://141.218.60.56/~jnz1568/getInfo.php?workbook=06_02.xlsx&amp;sheet=A0&amp;row=246&amp;col=9&amp;number=&amp;sourceID=34","")</f>
        <v/>
      </c>
      <c r="J246" s="4" t="str">
        <f>HYPERLINK("http://141.218.60.56/~jnz1568/getInfo.php?workbook=06_02.xlsx&amp;sheet=A0&amp;row=246&amp;col=10&amp;number=&amp;sourceID=34","")</f>
        <v/>
      </c>
      <c r="K246" s="4" t="str">
        <f>HYPERLINK("http://141.218.60.56/~jnz1568/getInfo.php?workbook=06_02.xlsx&amp;sheet=A0&amp;row=246&amp;col=11&amp;number=13940000000&amp;sourceID=30","13940000000")</f>
        <v>13940000000</v>
      </c>
      <c r="L246" s="4" t="str">
        <f>HYPERLINK("http://141.218.60.56/~jnz1568/getInfo.php?workbook=06_02.xlsx&amp;sheet=A0&amp;row=246&amp;col=12&amp;number=&amp;sourceID=30","")</f>
        <v/>
      </c>
      <c r="M246" s="4" t="str">
        <f>HYPERLINK("http://141.218.60.56/~jnz1568/getInfo.php?workbook=06_02.xlsx&amp;sheet=A0&amp;row=246&amp;col=13&amp;number=&amp;sourceID=30","")</f>
        <v/>
      </c>
      <c r="N246" s="4" t="str">
        <f>HYPERLINK("http://141.218.60.56/~jnz1568/getInfo.php?workbook=06_02.xlsx&amp;sheet=A0&amp;row=246&amp;col=14&amp;number=48.79&amp;sourceID=30","48.79")</f>
        <v>48.79</v>
      </c>
      <c r="O246" s="4" t="str">
        <f>HYPERLINK("http://141.218.60.56/~jnz1568/getInfo.php?workbook=06_02.xlsx&amp;sheet=A0&amp;row=246&amp;col=15&amp;number=14130000000&amp;sourceID=32","14130000000")</f>
        <v>14130000000</v>
      </c>
      <c r="P246" s="4" t="str">
        <f>HYPERLINK("http://141.218.60.56/~jnz1568/getInfo.php?workbook=06_02.xlsx&amp;sheet=A0&amp;row=246&amp;col=16&amp;number=&amp;sourceID=32","")</f>
        <v/>
      </c>
      <c r="Q246" s="4" t="str">
        <f>HYPERLINK("http://141.218.60.56/~jnz1568/getInfo.php?workbook=06_02.xlsx&amp;sheet=A0&amp;row=246&amp;col=17&amp;number=&amp;sourceID=32","")</f>
        <v/>
      </c>
      <c r="R246" s="4" t="str">
        <f>HYPERLINK("http://141.218.60.56/~jnz1568/getInfo.php?workbook=06_02.xlsx&amp;sheet=A0&amp;row=246&amp;col=18&amp;number=49.76&amp;sourceID=32","49.76")</f>
        <v>49.76</v>
      </c>
    </row>
    <row r="247" spans="1:18">
      <c r="A247" s="3">
        <v>6</v>
      </c>
      <c r="B247" s="3">
        <v>2</v>
      </c>
      <c r="C247" s="3">
        <v>25</v>
      </c>
      <c r="D247" s="3">
        <v>7</v>
      </c>
      <c r="E247" s="3">
        <f>((1/(INDEX(E0!J$4:J$52,C247,1)-INDEX(E0!J$4:J$52,D247,1))))*100000000</f>
        <v>0</v>
      </c>
      <c r="F247" s="4" t="str">
        <f>HYPERLINK("http://141.218.60.56/~jnz1568/getInfo.php?workbook=06_02.xlsx&amp;sheet=A0&amp;row=247&amp;col=6&amp;number=&amp;sourceID=27","")</f>
        <v/>
      </c>
      <c r="G247" s="4" t="str">
        <f>HYPERLINK("http://141.218.60.56/~jnz1568/getInfo.php?workbook=06_02.xlsx&amp;sheet=A0&amp;row=247&amp;col=7&amp;number=&amp;sourceID=34","")</f>
        <v/>
      </c>
      <c r="H247" s="4" t="str">
        <f>HYPERLINK("http://141.218.60.56/~jnz1568/getInfo.php?workbook=06_02.xlsx&amp;sheet=A0&amp;row=247&amp;col=8&amp;number=&amp;sourceID=34","")</f>
        <v/>
      </c>
      <c r="I247" s="4" t="str">
        <f>HYPERLINK("http://141.218.60.56/~jnz1568/getInfo.php?workbook=06_02.xlsx&amp;sheet=A0&amp;row=247&amp;col=9&amp;number=&amp;sourceID=34","")</f>
        <v/>
      </c>
      <c r="J247" s="4" t="str">
        <f>HYPERLINK("http://141.218.60.56/~jnz1568/getInfo.php?workbook=06_02.xlsx&amp;sheet=A0&amp;row=247&amp;col=10&amp;number=&amp;sourceID=34","")</f>
        <v/>
      </c>
      <c r="K247" s="4" t="str">
        <f>HYPERLINK("http://141.218.60.56/~jnz1568/getInfo.php?workbook=06_02.xlsx&amp;sheet=A0&amp;row=247&amp;col=11&amp;number=&amp;sourceID=30","")</f>
        <v/>
      </c>
      <c r="L247" s="4" t="str">
        <f>HYPERLINK("http://141.218.60.56/~jnz1568/getInfo.php?workbook=06_02.xlsx&amp;sheet=A0&amp;row=247&amp;col=12&amp;number=&amp;sourceID=30","")</f>
        <v/>
      </c>
      <c r="M247" s="4" t="str">
        <f>HYPERLINK("http://141.218.60.56/~jnz1568/getInfo.php?workbook=06_02.xlsx&amp;sheet=A0&amp;row=247&amp;col=13&amp;number=&amp;sourceID=30","")</f>
        <v/>
      </c>
      <c r="N247" s="4" t="str">
        <f>HYPERLINK("http://141.218.60.56/~jnz1568/getInfo.php?workbook=06_02.xlsx&amp;sheet=A0&amp;row=247&amp;col=14&amp;number=14.24&amp;sourceID=30","14.24")</f>
        <v>14.24</v>
      </c>
      <c r="O247" s="4" t="str">
        <f>HYPERLINK("http://141.218.60.56/~jnz1568/getInfo.php?workbook=06_02.xlsx&amp;sheet=A0&amp;row=247&amp;col=15&amp;number=&amp;sourceID=32","")</f>
        <v/>
      </c>
      <c r="P247" s="4" t="str">
        <f>HYPERLINK("http://141.218.60.56/~jnz1568/getInfo.php?workbook=06_02.xlsx&amp;sheet=A0&amp;row=247&amp;col=16&amp;number=&amp;sourceID=32","")</f>
        <v/>
      </c>
      <c r="Q247" s="4" t="str">
        <f>HYPERLINK("http://141.218.60.56/~jnz1568/getInfo.php?workbook=06_02.xlsx&amp;sheet=A0&amp;row=247&amp;col=17&amp;number=&amp;sourceID=32","")</f>
        <v/>
      </c>
      <c r="R247" s="4" t="str">
        <f>HYPERLINK("http://141.218.60.56/~jnz1568/getInfo.php?workbook=06_02.xlsx&amp;sheet=A0&amp;row=247&amp;col=18&amp;number=14.14&amp;sourceID=32","14.14")</f>
        <v>14.14</v>
      </c>
    </row>
    <row r="248" spans="1:18">
      <c r="A248" s="3">
        <v>6</v>
      </c>
      <c r="B248" s="3">
        <v>2</v>
      </c>
      <c r="C248" s="3">
        <v>25</v>
      </c>
      <c r="D248" s="3">
        <v>8</v>
      </c>
      <c r="E248" s="3">
        <f>((1/(INDEX(E0!J$4:J$52,C248,1)-INDEX(E0!J$4:J$52,D248,1))))*100000000</f>
        <v>0</v>
      </c>
      <c r="F248" s="4" t="str">
        <f>HYPERLINK("http://141.218.60.56/~jnz1568/getInfo.php?workbook=06_02.xlsx&amp;sheet=A0&amp;row=248&amp;col=6&amp;number=&amp;sourceID=27","")</f>
        <v/>
      </c>
      <c r="G248" s="4" t="str">
        <f>HYPERLINK("http://141.218.60.56/~jnz1568/getInfo.php?workbook=06_02.xlsx&amp;sheet=A0&amp;row=248&amp;col=7&amp;number=&amp;sourceID=34","")</f>
        <v/>
      </c>
      <c r="H248" s="4" t="str">
        <f>HYPERLINK("http://141.218.60.56/~jnz1568/getInfo.php?workbook=06_02.xlsx&amp;sheet=A0&amp;row=248&amp;col=8&amp;number=&amp;sourceID=34","")</f>
        <v/>
      </c>
      <c r="I248" s="4" t="str">
        <f>HYPERLINK("http://141.218.60.56/~jnz1568/getInfo.php?workbook=06_02.xlsx&amp;sheet=A0&amp;row=248&amp;col=9&amp;number=&amp;sourceID=34","")</f>
        <v/>
      </c>
      <c r="J248" s="4" t="str">
        <f>HYPERLINK("http://141.218.60.56/~jnz1568/getInfo.php?workbook=06_02.xlsx&amp;sheet=A0&amp;row=248&amp;col=10&amp;number=&amp;sourceID=34","")</f>
        <v/>
      </c>
      <c r="K248" s="4" t="str">
        <f>HYPERLINK("http://141.218.60.56/~jnz1568/getInfo.php?workbook=06_02.xlsx&amp;sheet=A0&amp;row=248&amp;col=11&amp;number=&amp;sourceID=30","")</f>
        <v/>
      </c>
      <c r="L248" s="4" t="str">
        <f>HYPERLINK("http://141.218.60.56/~jnz1568/getInfo.php?workbook=06_02.xlsx&amp;sheet=A0&amp;row=248&amp;col=12&amp;number=75570&amp;sourceID=30","75570")</f>
        <v>75570</v>
      </c>
      <c r="M248" s="4" t="str">
        <f>HYPERLINK("http://141.218.60.56/~jnz1568/getInfo.php?workbook=06_02.xlsx&amp;sheet=A0&amp;row=248&amp;col=13&amp;number=&amp;sourceID=30","")</f>
        <v/>
      </c>
      <c r="N248" s="4" t="str">
        <f>HYPERLINK("http://141.218.60.56/~jnz1568/getInfo.php?workbook=06_02.xlsx&amp;sheet=A0&amp;row=248&amp;col=14&amp;number=&amp;sourceID=30","")</f>
        <v/>
      </c>
      <c r="O248" s="4" t="str">
        <f>HYPERLINK("http://141.218.60.56/~jnz1568/getInfo.php?workbook=06_02.xlsx&amp;sheet=A0&amp;row=248&amp;col=15&amp;number=&amp;sourceID=32","")</f>
        <v/>
      </c>
      <c r="P248" s="4" t="str">
        <f>HYPERLINK("http://141.218.60.56/~jnz1568/getInfo.php?workbook=06_02.xlsx&amp;sheet=A0&amp;row=248&amp;col=16&amp;number=76230&amp;sourceID=32","76230")</f>
        <v>76230</v>
      </c>
      <c r="Q248" s="4" t="str">
        <f>HYPERLINK("http://141.218.60.56/~jnz1568/getInfo.php?workbook=06_02.xlsx&amp;sheet=A0&amp;row=248&amp;col=17&amp;number=&amp;sourceID=32","")</f>
        <v/>
      </c>
      <c r="R248" s="4" t="str">
        <f>HYPERLINK("http://141.218.60.56/~jnz1568/getInfo.php?workbook=06_02.xlsx&amp;sheet=A0&amp;row=248&amp;col=18&amp;number=&amp;sourceID=32","")</f>
        <v/>
      </c>
    </row>
    <row r="249" spans="1:18">
      <c r="A249" s="3">
        <v>6</v>
      </c>
      <c r="B249" s="3">
        <v>2</v>
      </c>
      <c r="C249" s="3">
        <v>25</v>
      </c>
      <c r="D249" s="3">
        <v>10</v>
      </c>
      <c r="E249" s="3">
        <f>((1/(INDEX(E0!J$4:J$52,C249,1)-INDEX(E0!J$4:J$52,D249,1))))*100000000</f>
        <v>0</v>
      </c>
      <c r="F249" s="4" t="str">
        <f>HYPERLINK("http://141.218.60.56/~jnz1568/getInfo.php?workbook=06_02.xlsx&amp;sheet=A0&amp;row=249&amp;col=6&amp;number=&amp;sourceID=27","")</f>
        <v/>
      </c>
      <c r="G249" s="4" t="str">
        <f>HYPERLINK("http://141.218.60.56/~jnz1568/getInfo.php?workbook=06_02.xlsx&amp;sheet=A0&amp;row=249&amp;col=7&amp;number=&amp;sourceID=34","")</f>
        <v/>
      </c>
      <c r="H249" s="4" t="str">
        <f>HYPERLINK("http://141.218.60.56/~jnz1568/getInfo.php?workbook=06_02.xlsx&amp;sheet=A0&amp;row=249&amp;col=8&amp;number=&amp;sourceID=34","")</f>
        <v/>
      </c>
      <c r="I249" s="4" t="str">
        <f>HYPERLINK("http://141.218.60.56/~jnz1568/getInfo.php?workbook=06_02.xlsx&amp;sheet=A0&amp;row=249&amp;col=9&amp;number=&amp;sourceID=34","")</f>
        <v/>
      </c>
      <c r="J249" s="4" t="str">
        <f>HYPERLINK("http://141.218.60.56/~jnz1568/getInfo.php?workbook=06_02.xlsx&amp;sheet=A0&amp;row=249&amp;col=10&amp;number=&amp;sourceID=34","")</f>
        <v/>
      </c>
      <c r="K249" s="4" t="str">
        <f>HYPERLINK("http://141.218.60.56/~jnz1568/getInfo.php?workbook=06_02.xlsx&amp;sheet=A0&amp;row=249&amp;col=11&amp;number=&amp;sourceID=30","")</f>
        <v/>
      </c>
      <c r="L249" s="4" t="str">
        <f>HYPERLINK("http://141.218.60.56/~jnz1568/getInfo.php?workbook=06_02.xlsx&amp;sheet=A0&amp;row=249&amp;col=12&amp;number=&amp;sourceID=30","")</f>
        <v/>
      </c>
      <c r="M249" s="4" t="str">
        <f>HYPERLINK("http://141.218.60.56/~jnz1568/getInfo.php?workbook=06_02.xlsx&amp;sheet=A0&amp;row=249&amp;col=13&amp;number=&amp;sourceID=30","")</f>
        <v/>
      </c>
      <c r="N249" s="4" t="str">
        <f>HYPERLINK("http://141.218.60.56/~jnz1568/getInfo.php?workbook=06_02.xlsx&amp;sheet=A0&amp;row=249&amp;col=14&amp;number=0.02135&amp;sourceID=30","0.02135")</f>
        <v>0.02135</v>
      </c>
      <c r="O249" s="4" t="str">
        <f>HYPERLINK("http://141.218.60.56/~jnz1568/getInfo.php?workbook=06_02.xlsx&amp;sheet=A0&amp;row=249&amp;col=15&amp;number=&amp;sourceID=32","")</f>
        <v/>
      </c>
      <c r="P249" s="4" t="str">
        <f>HYPERLINK("http://141.218.60.56/~jnz1568/getInfo.php?workbook=06_02.xlsx&amp;sheet=A0&amp;row=249&amp;col=16&amp;number=&amp;sourceID=32","")</f>
        <v/>
      </c>
      <c r="Q249" s="4" t="str">
        <f>HYPERLINK("http://141.218.60.56/~jnz1568/getInfo.php?workbook=06_02.xlsx&amp;sheet=A0&amp;row=249&amp;col=17&amp;number=&amp;sourceID=32","")</f>
        <v/>
      </c>
      <c r="R249" s="4" t="str">
        <f>HYPERLINK("http://141.218.60.56/~jnz1568/getInfo.php?workbook=06_02.xlsx&amp;sheet=A0&amp;row=249&amp;col=18&amp;number=0.02154&amp;sourceID=32","0.02154")</f>
        <v>0.02154</v>
      </c>
    </row>
    <row r="250" spans="1:18">
      <c r="A250" s="3">
        <v>6</v>
      </c>
      <c r="B250" s="3">
        <v>2</v>
      </c>
      <c r="C250" s="3">
        <v>25</v>
      </c>
      <c r="D250" s="3">
        <v>12</v>
      </c>
      <c r="E250" s="3">
        <f>((1/(INDEX(E0!J$4:J$52,C250,1)-INDEX(E0!J$4:J$52,D250,1))))*100000000</f>
        <v>0</v>
      </c>
      <c r="F250" s="4" t="str">
        <f>HYPERLINK("http://141.218.60.56/~jnz1568/getInfo.php?workbook=06_02.xlsx&amp;sheet=A0&amp;row=250&amp;col=6&amp;number=&amp;sourceID=27","")</f>
        <v/>
      </c>
      <c r="G250" s="4" t="str">
        <f>HYPERLINK("http://141.218.60.56/~jnz1568/getInfo.php?workbook=06_02.xlsx&amp;sheet=A0&amp;row=250&amp;col=7&amp;number=4316000000&amp;sourceID=34","4316000000")</f>
        <v>4316000000</v>
      </c>
      <c r="H250" s="4" t="str">
        <f>HYPERLINK("http://141.218.60.56/~jnz1568/getInfo.php?workbook=06_02.xlsx&amp;sheet=A0&amp;row=250&amp;col=8&amp;number=&amp;sourceID=34","")</f>
        <v/>
      </c>
      <c r="I250" s="4" t="str">
        <f>HYPERLINK("http://141.218.60.56/~jnz1568/getInfo.php?workbook=06_02.xlsx&amp;sheet=A0&amp;row=250&amp;col=9&amp;number=&amp;sourceID=34","")</f>
        <v/>
      </c>
      <c r="J250" s="4" t="str">
        <f>HYPERLINK("http://141.218.60.56/~jnz1568/getInfo.php?workbook=06_02.xlsx&amp;sheet=A0&amp;row=250&amp;col=10&amp;number=&amp;sourceID=34","")</f>
        <v/>
      </c>
      <c r="K250" s="4" t="str">
        <f>HYPERLINK("http://141.218.60.56/~jnz1568/getInfo.php?workbook=06_02.xlsx&amp;sheet=A0&amp;row=250&amp;col=11&amp;number=4301000000&amp;sourceID=30","4301000000")</f>
        <v>4301000000</v>
      </c>
      <c r="L250" s="4" t="str">
        <f>HYPERLINK("http://141.218.60.56/~jnz1568/getInfo.php?workbook=06_02.xlsx&amp;sheet=A0&amp;row=250&amp;col=12&amp;number=&amp;sourceID=30","")</f>
        <v/>
      </c>
      <c r="M250" s="4" t="str">
        <f>HYPERLINK("http://141.218.60.56/~jnz1568/getInfo.php?workbook=06_02.xlsx&amp;sheet=A0&amp;row=250&amp;col=13&amp;number=&amp;sourceID=30","")</f>
        <v/>
      </c>
      <c r="N250" s="4" t="str">
        <f>HYPERLINK("http://141.218.60.56/~jnz1568/getInfo.php?workbook=06_02.xlsx&amp;sheet=A0&amp;row=250&amp;col=14&amp;number=1.02&amp;sourceID=30","1.02")</f>
        <v>1.02</v>
      </c>
      <c r="O250" s="4" t="str">
        <f>HYPERLINK("http://141.218.60.56/~jnz1568/getInfo.php?workbook=06_02.xlsx&amp;sheet=A0&amp;row=250&amp;col=15&amp;number=4316000000&amp;sourceID=32","4316000000")</f>
        <v>4316000000</v>
      </c>
      <c r="P250" s="4" t="str">
        <f>HYPERLINK("http://141.218.60.56/~jnz1568/getInfo.php?workbook=06_02.xlsx&amp;sheet=A0&amp;row=250&amp;col=16&amp;number=&amp;sourceID=32","")</f>
        <v/>
      </c>
      <c r="Q250" s="4" t="str">
        <f>HYPERLINK("http://141.218.60.56/~jnz1568/getInfo.php?workbook=06_02.xlsx&amp;sheet=A0&amp;row=250&amp;col=17&amp;number=&amp;sourceID=32","")</f>
        <v/>
      </c>
      <c r="R250" s="4" t="str">
        <f>HYPERLINK("http://141.218.60.56/~jnz1568/getInfo.php?workbook=06_02.xlsx&amp;sheet=A0&amp;row=250&amp;col=18&amp;number=1.028&amp;sourceID=32","1.028")</f>
        <v>1.028</v>
      </c>
    </row>
    <row r="251" spans="1:18">
      <c r="A251" s="3">
        <v>6</v>
      </c>
      <c r="B251" s="3">
        <v>2</v>
      </c>
      <c r="C251" s="3">
        <v>25</v>
      </c>
      <c r="D251" s="3">
        <v>13</v>
      </c>
      <c r="E251" s="3">
        <f>((1/(INDEX(E0!J$4:J$52,C251,1)-INDEX(E0!J$4:J$52,D251,1))))*100000000</f>
        <v>0</v>
      </c>
      <c r="F251" s="4" t="str">
        <f>HYPERLINK("http://141.218.60.56/~jnz1568/getInfo.php?workbook=06_02.xlsx&amp;sheet=A0&amp;row=251&amp;col=6&amp;number=&amp;sourceID=27","")</f>
        <v/>
      </c>
      <c r="G251" s="4" t="str">
        <f>HYPERLINK("http://141.218.60.56/~jnz1568/getInfo.php?workbook=06_02.xlsx&amp;sheet=A0&amp;row=251&amp;col=7&amp;number=&amp;sourceID=34","")</f>
        <v/>
      </c>
      <c r="H251" s="4" t="str">
        <f>HYPERLINK("http://141.218.60.56/~jnz1568/getInfo.php?workbook=06_02.xlsx&amp;sheet=A0&amp;row=251&amp;col=8&amp;number=&amp;sourceID=34","")</f>
        <v/>
      </c>
      <c r="I251" s="4" t="str">
        <f>HYPERLINK("http://141.218.60.56/~jnz1568/getInfo.php?workbook=06_02.xlsx&amp;sheet=A0&amp;row=251&amp;col=9&amp;number=&amp;sourceID=34","")</f>
        <v/>
      </c>
      <c r="J251" s="4" t="str">
        <f>HYPERLINK("http://141.218.60.56/~jnz1568/getInfo.php?workbook=06_02.xlsx&amp;sheet=A0&amp;row=251&amp;col=10&amp;number=&amp;sourceID=34","")</f>
        <v/>
      </c>
      <c r="K251" s="4" t="str">
        <f>HYPERLINK("http://141.218.60.56/~jnz1568/getInfo.php?workbook=06_02.xlsx&amp;sheet=A0&amp;row=251&amp;col=11&amp;number=&amp;sourceID=30","")</f>
        <v/>
      </c>
      <c r="L251" s="4" t="str">
        <f>HYPERLINK("http://141.218.60.56/~jnz1568/getInfo.php?workbook=06_02.xlsx&amp;sheet=A0&amp;row=251&amp;col=12&amp;number=530.6&amp;sourceID=30","530.6")</f>
        <v>530.6</v>
      </c>
      <c r="M251" s="4" t="str">
        <f>HYPERLINK("http://141.218.60.56/~jnz1568/getInfo.php?workbook=06_02.xlsx&amp;sheet=A0&amp;row=251&amp;col=13&amp;number=&amp;sourceID=30","")</f>
        <v/>
      </c>
      <c r="N251" s="4" t="str">
        <f>HYPERLINK("http://141.218.60.56/~jnz1568/getInfo.php?workbook=06_02.xlsx&amp;sheet=A0&amp;row=251&amp;col=14&amp;number=&amp;sourceID=30","")</f>
        <v/>
      </c>
      <c r="O251" s="4" t="str">
        <f>HYPERLINK("http://141.218.60.56/~jnz1568/getInfo.php?workbook=06_02.xlsx&amp;sheet=A0&amp;row=251&amp;col=15&amp;number=&amp;sourceID=32","")</f>
        <v/>
      </c>
      <c r="P251" s="4" t="str">
        <f>HYPERLINK("http://141.218.60.56/~jnz1568/getInfo.php?workbook=06_02.xlsx&amp;sheet=A0&amp;row=251&amp;col=16&amp;number=531.4&amp;sourceID=32","531.4")</f>
        <v>531.4</v>
      </c>
      <c r="Q251" s="4" t="str">
        <f>HYPERLINK("http://141.218.60.56/~jnz1568/getInfo.php?workbook=06_02.xlsx&amp;sheet=A0&amp;row=251&amp;col=17&amp;number=&amp;sourceID=32","")</f>
        <v/>
      </c>
      <c r="R251" s="4" t="str">
        <f>HYPERLINK("http://141.218.60.56/~jnz1568/getInfo.php?workbook=06_02.xlsx&amp;sheet=A0&amp;row=251&amp;col=18&amp;number=&amp;sourceID=32","")</f>
        <v/>
      </c>
    </row>
    <row r="252" spans="1:18">
      <c r="A252" s="3">
        <v>6</v>
      </c>
      <c r="B252" s="3">
        <v>2</v>
      </c>
      <c r="C252" s="3">
        <v>25</v>
      </c>
      <c r="D252" s="3">
        <v>14</v>
      </c>
      <c r="E252" s="3">
        <f>((1/(INDEX(E0!J$4:J$52,C252,1)-INDEX(E0!J$4:J$52,D252,1))))*100000000</f>
        <v>0</v>
      </c>
      <c r="F252" s="4" t="str">
        <f>HYPERLINK("http://141.218.60.56/~jnz1568/getInfo.php?workbook=06_02.xlsx&amp;sheet=A0&amp;row=252&amp;col=6&amp;number=&amp;sourceID=27","")</f>
        <v/>
      </c>
      <c r="G252" s="4" t="str">
        <f>HYPERLINK("http://141.218.60.56/~jnz1568/getInfo.php?workbook=06_02.xlsx&amp;sheet=A0&amp;row=252&amp;col=7&amp;number=&amp;sourceID=34","")</f>
        <v/>
      </c>
      <c r="H252" s="4" t="str">
        <f>HYPERLINK("http://141.218.60.56/~jnz1568/getInfo.php?workbook=06_02.xlsx&amp;sheet=A0&amp;row=252&amp;col=8&amp;number=&amp;sourceID=34","")</f>
        <v/>
      </c>
      <c r="I252" s="4" t="str">
        <f>HYPERLINK("http://141.218.60.56/~jnz1568/getInfo.php?workbook=06_02.xlsx&amp;sheet=A0&amp;row=252&amp;col=9&amp;number=&amp;sourceID=34","")</f>
        <v/>
      </c>
      <c r="J252" s="4" t="str">
        <f>HYPERLINK("http://141.218.60.56/~jnz1568/getInfo.php?workbook=06_02.xlsx&amp;sheet=A0&amp;row=252&amp;col=10&amp;number=&amp;sourceID=34","")</f>
        <v/>
      </c>
      <c r="K252" s="4" t="str">
        <f>HYPERLINK("http://141.218.60.56/~jnz1568/getInfo.php?workbook=06_02.xlsx&amp;sheet=A0&amp;row=252&amp;col=11&amp;number=&amp;sourceID=30","")</f>
        <v/>
      </c>
      <c r="L252" s="4" t="str">
        <f>HYPERLINK("http://141.218.60.56/~jnz1568/getInfo.php?workbook=06_02.xlsx&amp;sheet=A0&amp;row=252&amp;col=12&amp;number=5298&amp;sourceID=30","5298")</f>
        <v>5298</v>
      </c>
      <c r="M252" s="4" t="str">
        <f>HYPERLINK("http://141.218.60.56/~jnz1568/getInfo.php?workbook=06_02.xlsx&amp;sheet=A0&amp;row=252&amp;col=13&amp;number=0.0001001&amp;sourceID=30","0.0001001")</f>
        <v>0.0001001</v>
      </c>
      <c r="N252" s="4" t="str">
        <f>HYPERLINK("http://141.218.60.56/~jnz1568/getInfo.php?workbook=06_02.xlsx&amp;sheet=A0&amp;row=252&amp;col=14&amp;number=&amp;sourceID=30","")</f>
        <v/>
      </c>
      <c r="O252" s="4" t="str">
        <f>HYPERLINK("http://141.218.60.56/~jnz1568/getInfo.php?workbook=06_02.xlsx&amp;sheet=A0&amp;row=252&amp;col=15&amp;number=&amp;sourceID=32","")</f>
        <v/>
      </c>
      <c r="P252" s="4" t="str">
        <f>HYPERLINK("http://141.218.60.56/~jnz1568/getInfo.php?workbook=06_02.xlsx&amp;sheet=A0&amp;row=252&amp;col=16&amp;number=5299&amp;sourceID=32","5299")</f>
        <v>5299</v>
      </c>
      <c r="Q252" s="4" t="str">
        <f>HYPERLINK("http://141.218.60.56/~jnz1568/getInfo.php?workbook=06_02.xlsx&amp;sheet=A0&amp;row=252&amp;col=17&amp;number=0.0001059&amp;sourceID=32","0.0001059")</f>
        <v>0.0001059</v>
      </c>
      <c r="R252" s="4" t="str">
        <f>HYPERLINK("http://141.218.60.56/~jnz1568/getInfo.php?workbook=06_02.xlsx&amp;sheet=A0&amp;row=252&amp;col=18&amp;number=&amp;sourceID=32","")</f>
        <v/>
      </c>
    </row>
    <row r="253" spans="1:18">
      <c r="A253" s="3">
        <v>6</v>
      </c>
      <c r="B253" s="3">
        <v>2</v>
      </c>
      <c r="C253" s="3">
        <v>25</v>
      </c>
      <c r="D253" s="3">
        <v>15</v>
      </c>
      <c r="E253" s="3">
        <f>((1/(INDEX(E0!J$4:J$52,C253,1)-INDEX(E0!J$4:J$52,D253,1))))*100000000</f>
        <v>0</v>
      </c>
      <c r="F253" s="4" t="str">
        <f>HYPERLINK("http://141.218.60.56/~jnz1568/getInfo.php?workbook=06_02.xlsx&amp;sheet=A0&amp;row=253&amp;col=6&amp;number=&amp;sourceID=27","")</f>
        <v/>
      </c>
      <c r="G253" s="4" t="str">
        <f>HYPERLINK("http://141.218.60.56/~jnz1568/getInfo.php?workbook=06_02.xlsx&amp;sheet=A0&amp;row=253&amp;col=7&amp;number=&amp;sourceID=34","")</f>
        <v/>
      </c>
      <c r="H253" s="4" t="str">
        <f>HYPERLINK("http://141.218.60.56/~jnz1568/getInfo.php?workbook=06_02.xlsx&amp;sheet=A0&amp;row=253&amp;col=8&amp;number=&amp;sourceID=34","")</f>
        <v/>
      </c>
      <c r="I253" s="4" t="str">
        <f>HYPERLINK("http://141.218.60.56/~jnz1568/getInfo.php?workbook=06_02.xlsx&amp;sheet=A0&amp;row=253&amp;col=9&amp;number=&amp;sourceID=34","")</f>
        <v/>
      </c>
      <c r="J253" s="4" t="str">
        <f>HYPERLINK("http://141.218.60.56/~jnz1568/getInfo.php?workbook=06_02.xlsx&amp;sheet=A0&amp;row=253&amp;col=10&amp;number=&amp;sourceID=34","")</f>
        <v/>
      </c>
      <c r="K253" s="4" t="str">
        <f>HYPERLINK("http://141.218.60.56/~jnz1568/getInfo.php?workbook=06_02.xlsx&amp;sheet=A0&amp;row=253&amp;col=11&amp;number=&amp;sourceID=30","")</f>
        <v/>
      </c>
      <c r="L253" s="4" t="str">
        <f>HYPERLINK("http://141.218.60.56/~jnz1568/getInfo.php?workbook=06_02.xlsx&amp;sheet=A0&amp;row=253&amp;col=12&amp;number=12750&amp;sourceID=30","12750")</f>
        <v>12750</v>
      </c>
      <c r="M253" s="4" t="str">
        <f>HYPERLINK("http://141.218.60.56/~jnz1568/getInfo.php?workbook=06_02.xlsx&amp;sheet=A0&amp;row=253&amp;col=13&amp;number=0.0005688&amp;sourceID=30","0.0005688")</f>
        <v>0.0005688</v>
      </c>
      <c r="N253" s="4" t="str">
        <f>HYPERLINK("http://141.218.60.56/~jnz1568/getInfo.php?workbook=06_02.xlsx&amp;sheet=A0&amp;row=253&amp;col=14&amp;number=&amp;sourceID=30","")</f>
        <v/>
      </c>
      <c r="O253" s="4" t="str">
        <f>HYPERLINK("http://141.218.60.56/~jnz1568/getInfo.php?workbook=06_02.xlsx&amp;sheet=A0&amp;row=253&amp;col=15&amp;number=&amp;sourceID=32","")</f>
        <v/>
      </c>
      <c r="P253" s="4" t="str">
        <f>HYPERLINK("http://141.218.60.56/~jnz1568/getInfo.php?workbook=06_02.xlsx&amp;sheet=A0&amp;row=253&amp;col=16&amp;number=12770&amp;sourceID=32","12770")</f>
        <v>12770</v>
      </c>
      <c r="Q253" s="4" t="str">
        <f>HYPERLINK("http://141.218.60.56/~jnz1568/getInfo.php?workbook=06_02.xlsx&amp;sheet=A0&amp;row=253&amp;col=17&amp;number=0.0005285&amp;sourceID=32","0.0005285")</f>
        <v>0.0005285</v>
      </c>
      <c r="R253" s="4" t="str">
        <f>HYPERLINK("http://141.218.60.56/~jnz1568/getInfo.php?workbook=06_02.xlsx&amp;sheet=A0&amp;row=253&amp;col=18&amp;number=&amp;sourceID=32","")</f>
        <v/>
      </c>
    </row>
    <row r="254" spans="1:18">
      <c r="A254" s="3">
        <v>6</v>
      </c>
      <c r="B254" s="3">
        <v>2</v>
      </c>
      <c r="C254" s="3">
        <v>25</v>
      </c>
      <c r="D254" s="3">
        <v>16</v>
      </c>
      <c r="E254" s="3">
        <f>((1/(INDEX(E0!J$4:J$52,C254,1)-INDEX(E0!J$4:J$52,D254,1))))*100000000</f>
        <v>0</v>
      </c>
      <c r="F254" s="4" t="str">
        <f>HYPERLINK("http://141.218.60.56/~jnz1568/getInfo.php?workbook=06_02.xlsx&amp;sheet=A0&amp;row=254&amp;col=6&amp;number=&amp;sourceID=27","")</f>
        <v/>
      </c>
      <c r="G254" s="4" t="str">
        <f>HYPERLINK("http://141.218.60.56/~jnz1568/getInfo.php?workbook=06_02.xlsx&amp;sheet=A0&amp;row=254&amp;col=7&amp;number=&amp;sourceID=34","")</f>
        <v/>
      </c>
      <c r="H254" s="4" t="str">
        <f>HYPERLINK("http://141.218.60.56/~jnz1568/getInfo.php?workbook=06_02.xlsx&amp;sheet=A0&amp;row=254&amp;col=8&amp;number=&amp;sourceID=34","")</f>
        <v/>
      </c>
      <c r="I254" s="4" t="str">
        <f>HYPERLINK("http://141.218.60.56/~jnz1568/getInfo.php?workbook=06_02.xlsx&amp;sheet=A0&amp;row=254&amp;col=9&amp;number=&amp;sourceID=34","")</f>
        <v/>
      </c>
      <c r="J254" s="4" t="str">
        <f>HYPERLINK("http://141.218.60.56/~jnz1568/getInfo.php?workbook=06_02.xlsx&amp;sheet=A0&amp;row=254&amp;col=10&amp;number=&amp;sourceID=34","")</f>
        <v/>
      </c>
      <c r="K254" s="4" t="str">
        <f>HYPERLINK("http://141.218.60.56/~jnz1568/getInfo.php?workbook=06_02.xlsx&amp;sheet=A0&amp;row=254&amp;col=11&amp;number=&amp;sourceID=30","")</f>
        <v/>
      </c>
      <c r="L254" s="4" t="str">
        <f>HYPERLINK("http://141.218.60.56/~jnz1568/getInfo.php?workbook=06_02.xlsx&amp;sheet=A0&amp;row=254&amp;col=12&amp;number=16.62&amp;sourceID=30","16.62")</f>
        <v>16.62</v>
      </c>
      <c r="M254" s="4" t="str">
        <f>HYPERLINK("http://141.218.60.56/~jnz1568/getInfo.php?workbook=06_02.xlsx&amp;sheet=A0&amp;row=254&amp;col=13&amp;number=4.11e-05&amp;sourceID=30","4.11e-05")</f>
        <v>4.11e-05</v>
      </c>
      <c r="N254" s="4" t="str">
        <f>HYPERLINK("http://141.218.60.56/~jnz1568/getInfo.php?workbook=06_02.xlsx&amp;sheet=A0&amp;row=254&amp;col=14&amp;number=&amp;sourceID=30","")</f>
        <v/>
      </c>
      <c r="O254" s="4" t="str">
        <f>HYPERLINK("http://141.218.60.56/~jnz1568/getInfo.php?workbook=06_02.xlsx&amp;sheet=A0&amp;row=254&amp;col=15&amp;number=&amp;sourceID=32","")</f>
        <v/>
      </c>
      <c r="P254" s="4" t="str">
        <f>HYPERLINK("http://141.218.60.56/~jnz1568/getInfo.php?workbook=06_02.xlsx&amp;sheet=A0&amp;row=254&amp;col=16&amp;number=22.68&amp;sourceID=32","22.68")</f>
        <v>22.68</v>
      </c>
      <c r="Q254" s="4" t="str">
        <f>HYPERLINK("http://141.218.60.56/~jnz1568/getInfo.php?workbook=06_02.xlsx&amp;sheet=A0&amp;row=254&amp;col=17&amp;number=4.432e-05&amp;sourceID=32","4.432e-05")</f>
        <v>4.432e-05</v>
      </c>
      <c r="R254" s="4" t="str">
        <f>HYPERLINK("http://141.218.60.56/~jnz1568/getInfo.php?workbook=06_02.xlsx&amp;sheet=A0&amp;row=254&amp;col=18&amp;number=&amp;sourceID=32","")</f>
        <v/>
      </c>
    </row>
    <row r="255" spans="1:18">
      <c r="A255" s="3">
        <v>6</v>
      </c>
      <c r="B255" s="3">
        <v>2</v>
      </c>
      <c r="C255" s="3">
        <v>25</v>
      </c>
      <c r="D255" s="3">
        <v>17</v>
      </c>
      <c r="E255" s="3">
        <f>((1/(INDEX(E0!J$4:J$52,C255,1)-INDEX(E0!J$4:J$52,D255,1))))*100000000</f>
        <v>0</v>
      </c>
      <c r="F255" s="4" t="str">
        <f>HYPERLINK("http://141.218.60.56/~jnz1568/getInfo.php?workbook=06_02.xlsx&amp;sheet=A0&amp;row=255&amp;col=6&amp;number=&amp;sourceID=27","")</f>
        <v/>
      </c>
      <c r="G255" s="4" t="str">
        <f>HYPERLINK("http://141.218.60.56/~jnz1568/getInfo.php?workbook=06_02.xlsx&amp;sheet=A0&amp;row=255&amp;col=7&amp;number=&amp;sourceID=34","")</f>
        <v/>
      </c>
      <c r="H255" s="4" t="str">
        <f>HYPERLINK("http://141.218.60.56/~jnz1568/getInfo.php?workbook=06_02.xlsx&amp;sheet=A0&amp;row=255&amp;col=8&amp;number=&amp;sourceID=34","")</f>
        <v/>
      </c>
      <c r="I255" s="4" t="str">
        <f>HYPERLINK("http://141.218.60.56/~jnz1568/getInfo.php?workbook=06_02.xlsx&amp;sheet=A0&amp;row=255&amp;col=9&amp;number=&amp;sourceID=34","")</f>
        <v/>
      </c>
      <c r="J255" s="4" t="str">
        <f>HYPERLINK("http://141.218.60.56/~jnz1568/getInfo.php?workbook=06_02.xlsx&amp;sheet=A0&amp;row=255&amp;col=10&amp;number=&amp;sourceID=34","")</f>
        <v/>
      </c>
      <c r="K255" s="4" t="str">
        <f>HYPERLINK("http://141.218.60.56/~jnz1568/getInfo.php?workbook=06_02.xlsx&amp;sheet=A0&amp;row=255&amp;col=11&amp;number=&amp;sourceID=30","")</f>
        <v/>
      </c>
      <c r="L255" s="4" t="str">
        <f>HYPERLINK("http://141.218.60.56/~jnz1568/getInfo.php?workbook=06_02.xlsx&amp;sheet=A0&amp;row=255&amp;col=12&amp;number=&amp;sourceID=30","")</f>
        <v/>
      </c>
      <c r="M255" s="4" t="str">
        <f>HYPERLINK("http://141.218.60.56/~jnz1568/getInfo.php?workbook=06_02.xlsx&amp;sheet=A0&amp;row=255&amp;col=13&amp;number=&amp;sourceID=30","")</f>
        <v/>
      </c>
      <c r="N255" s="4" t="str">
        <f>HYPERLINK("http://141.218.60.56/~jnz1568/getInfo.php?workbook=06_02.xlsx&amp;sheet=A0&amp;row=255&amp;col=14&amp;number=0.3369&amp;sourceID=30","0.3369")</f>
        <v>0.3369</v>
      </c>
      <c r="O255" s="4" t="str">
        <f>HYPERLINK("http://141.218.60.56/~jnz1568/getInfo.php?workbook=06_02.xlsx&amp;sheet=A0&amp;row=255&amp;col=15&amp;number=&amp;sourceID=32","")</f>
        <v/>
      </c>
      <c r="P255" s="4" t="str">
        <f>HYPERLINK("http://141.218.60.56/~jnz1568/getInfo.php?workbook=06_02.xlsx&amp;sheet=A0&amp;row=255&amp;col=16&amp;number=&amp;sourceID=32","")</f>
        <v/>
      </c>
      <c r="Q255" s="4" t="str">
        <f>HYPERLINK("http://141.218.60.56/~jnz1568/getInfo.php?workbook=06_02.xlsx&amp;sheet=A0&amp;row=255&amp;col=17&amp;number=&amp;sourceID=32","")</f>
        <v/>
      </c>
      <c r="R255" s="4" t="str">
        <f>HYPERLINK("http://141.218.60.56/~jnz1568/getInfo.php?workbook=06_02.xlsx&amp;sheet=A0&amp;row=255&amp;col=18&amp;number=0.338&amp;sourceID=32","0.338")</f>
        <v>0.338</v>
      </c>
    </row>
    <row r="256" spans="1:18">
      <c r="A256" s="3">
        <v>6</v>
      </c>
      <c r="B256" s="3">
        <v>2</v>
      </c>
      <c r="C256" s="3">
        <v>25</v>
      </c>
      <c r="D256" s="3">
        <v>18</v>
      </c>
      <c r="E256" s="3">
        <f>((1/(INDEX(E0!J$4:J$52,C256,1)-INDEX(E0!J$4:J$52,D256,1))))*100000000</f>
        <v>0</v>
      </c>
      <c r="F256" s="4" t="str">
        <f>HYPERLINK("http://141.218.60.56/~jnz1568/getInfo.php?workbook=06_02.xlsx&amp;sheet=A0&amp;row=256&amp;col=6&amp;number=&amp;sourceID=27","")</f>
        <v/>
      </c>
      <c r="G256" s="4" t="str">
        <f>HYPERLINK("http://141.218.60.56/~jnz1568/getInfo.php?workbook=06_02.xlsx&amp;sheet=A0&amp;row=256&amp;col=7&amp;number=&amp;sourceID=34","")</f>
        <v/>
      </c>
      <c r="H256" s="4" t="str">
        <f>HYPERLINK("http://141.218.60.56/~jnz1568/getInfo.php?workbook=06_02.xlsx&amp;sheet=A0&amp;row=256&amp;col=8&amp;number=&amp;sourceID=34","")</f>
        <v/>
      </c>
      <c r="I256" s="4" t="str">
        <f>HYPERLINK("http://141.218.60.56/~jnz1568/getInfo.php?workbook=06_02.xlsx&amp;sheet=A0&amp;row=256&amp;col=9&amp;number=&amp;sourceID=34","")</f>
        <v/>
      </c>
      <c r="J256" s="4" t="str">
        <f>HYPERLINK("http://141.218.60.56/~jnz1568/getInfo.php?workbook=06_02.xlsx&amp;sheet=A0&amp;row=256&amp;col=10&amp;number=&amp;sourceID=34","")</f>
        <v/>
      </c>
      <c r="K256" s="4" t="str">
        <f>HYPERLINK("http://141.218.60.56/~jnz1568/getInfo.php?workbook=06_02.xlsx&amp;sheet=A0&amp;row=256&amp;col=11&amp;number=&amp;sourceID=30","")</f>
        <v/>
      </c>
      <c r="L256" s="4" t="str">
        <f>HYPERLINK("http://141.218.60.56/~jnz1568/getInfo.php?workbook=06_02.xlsx&amp;sheet=A0&amp;row=256&amp;col=12&amp;number=0.1976&amp;sourceID=30","0.1976")</f>
        <v>0.1976</v>
      </c>
      <c r="M256" s="4" t="str">
        <f>HYPERLINK("http://141.218.60.56/~jnz1568/getInfo.php?workbook=06_02.xlsx&amp;sheet=A0&amp;row=256&amp;col=13&amp;number=&amp;sourceID=30","")</f>
        <v/>
      </c>
      <c r="N256" s="4" t="str">
        <f>HYPERLINK("http://141.218.60.56/~jnz1568/getInfo.php?workbook=06_02.xlsx&amp;sheet=A0&amp;row=256&amp;col=14&amp;number=&amp;sourceID=30","")</f>
        <v/>
      </c>
      <c r="O256" s="4" t="str">
        <f>HYPERLINK("http://141.218.60.56/~jnz1568/getInfo.php?workbook=06_02.xlsx&amp;sheet=A0&amp;row=256&amp;col=15&amp;number=&amp;sourceID=32","")</f>
        <v/>
      </c>
      <c r="P256" s="4" t="str">
        <f>HYPERLINK("http://141.218.60.56/~jnz1568/getInfo.php?workbook=06_02.xlsx&amp;sheet=A0&amp;row=256&amp;col=16&amp;number=0.204&amp;sourceID=32","0.204")</f>
        <v>0.204</v>
      </c>
      <c r="Q256" s="4" t="str">
        <f>HYPERLINK("http://141.218.60.56/~jnz1568/getInfo.php?workbook=06_02.xlsx&amp;sheet=A0&amp;row=256&amp;col=17&amp;number=&amp;sourceID=32","")</f>
        <v/>
      </c>
      <c r="R256" s="4" t="str">
        <f>HYPERLINK("http://141.218.60.56/~jnz1568/getInfo.php?workbook=06_02.xlsx&amp;sheet=A0&amp;row=256&amp;col=18&amp;number=&amp;sourceID=32","")</f>
        <v/>
      </c>
    </row>
    <row r="257" spans="1:18">
      <c r="A257" s="3">
        <v>6</v>
      </c>
      <c r="B257" s="3">
        <v>2</v>
      </c>
      <c r="C257" s="3">
        <v>25</v>
      </c>
      <c r="D257" s="3">
        <v>21</v>
      </c>
      <c r="E257" s="3">
        <f>((1/(INDEX(E0!J$4:J$52,C257,1)-INDEX(E0!J$4:J$52,D257,1))))*100000000</f>
        <v>0</v>
      </c>
      <c r="F257" s="4" t="str">
        <f>HYPERLINK("http://141.218.60.56/~jnz1568/getInfo.php?workbook=06_02.xlsx&amp;sheet=A0&amp;row=257&amp;col=6&amp;number=&amp;sourceID=27","")</f>
        <v/>
      </c>
      <c r="G257" s="4" t="str">
        <f>HYPERLINK("http://141.218.60.56/~jnz1568/getInfo.php?workbook=06_02.xlsx&amp;sheet=A0&amp;row=257&amp;col=7&amp;number=&amp;sourceID=34","")</f>
        <v/>
      </c>
      <c r="H257" s="4" t="str">
        <f>HYPERLINK("http://141.218.60.56/~jnz1568/getInfo.php?workbook=06_02.xlsx&amp;sheet=A0&amp;row=257&amp;col=8&amp;number=&amp;sourceID=34","")</f>
        <v/>
      </c>
      <c r="I257" s="4" t="str">
        <f>HYPERLINK("http://141.218.60.56/~jnz1568/getInfo.php?workbook=06_02.xlsx&amp;sheet=A0&amp;row=257&amp;col=9&amp;number=&amp;sourceID=34","")</f>
        <v/>
      </c>
      <c r="J257" s="4" t="str">
        <f>HYPERLINK("http://141.218.60.56/~jnz1568/getInfo.php?workbook=06_02.xlsx&amp;sheet=A0&amp;row=257&amp;col=10&amp;number=&amp;sourceID=34","")</f>
        <v/>
      </c>
      <c r="K257" s="4" t="str">
        <f>HYPERLINK("http://141.218.60.56/~jnz1568/getInfo.php?workbook=06_02.xlsx&amp;sheet=A0&amp;row=257&amp;col=11&amp;number=&amp;sourceID=30","")</f>
        <v/>
      </c>
      <c r="L257" s="4" t="str">
        <f>HYPERLINK("http://141.218.60.56/~jnz1568/getInfo.php?workbook=06_02.xlsx&amp;sheet=A0&amp;row=257&amp;col=12&amp;number=&amp;sourceID=30","")</f>
        <v/>
      </c>
      <c r="M257" s="4" t="str">
        <f>HYPERLINK("http://141.218.60.56/~jnz1568/getInfo.php?workbook=06_02.xlsx&amp;sheet=A0&amp;row=257&amp;col=13&amp;number=&amp;sourceID=30","")</f>
        <v/>
      </c>
      <c r="N257" s="4" t="str">
        <f>HYPERLINK("http://141.218.60.56/~jnz1568/getInfo.php?workbook=06_02.xlsx&amp;sheet=A0&amp;row=257&amp;col=14&amp;number=2.528e-10&amp;sourceID=30","2.528e-10")</f>
        <v>2.528e-10</v>
      </c>
      <c r="O257" s="4" t="str">
        <f>HYPERLINK("http://141.218.60.56/~jnz1568/getInfo.php?workbook=06_02.xlsx&amp;sheet=A0&amp;row=257&amp;col=15&amp;number=&amp;sourceID=32","")</f>
        <v/>
      </c>
      <c r="P257" s="4" t="str">
        <f>HYPERLINK("http://141.218.60.56/~jnz1568/getInfo.php?workbook=06_02.xlsx&amp;sheet=A0&amp;row=257&amp;col=16&amp;number=&amp;sourceID=32","")</f>
        <v/>
      </c>
      <c r="Q257" s="4" t="str">
        <f>HYPERLINK("http://141.218.60.56/~jnz1568/getInfo.php?workbook=06_02.xlsx&amp;sheet=A0&amp;row=257&amp;col=17&amp;number=&amp;sourceID=32","")</f>
        <v/>
      </c>
      <c r="R257" s="4" t="str">
        <f>HYPERLINK("http://141.218.60.56/~jnz1568/getInfo.php?workbook=06_02.xlsx&amp;sheet=A0&amp;row=257&amp;col=18&amp;number=3.127e-10&amp;sourceID=32","3.127e-10")</f>
        <v>3.127e-10</v>
      </c>
    </row>
    <row r="258" spans="1:18">
      <c r="A258" s="3">
        <v>6</v>
      </c>
      <c r="B258" s="3">
        <v>2</v>
      </c>
      <c r="C258" s="3">
        <v>25</v>
      </c>
      <c r="D258" s="3">
        <v>22</v>
      </c>
      <c r="E258" s="3">
        <f>((1/(INDEX(E0!J$4:J$52,C258,1)-INDEX(E0!J$4:J$52,D258,1))))*100000000</f>
        <v>0</v>
      </c>
      <c r="F258" s="4" t="str">
        <f>HYPERLINK("http://141.218.60.56/~jnz1568/getInfo.php?workbook=06_02.xlsx&amp;sheet=A0&amp;row=258&amp;col=6&amp;number=&amp;sourceID=27","")</f>
        <v/>
      </c>
      <c r="G258" s="4" t="str">
        <f>HYPERLINK("http://141.218.60.56/~jnz1568/getInfo.php?workbook=06_02.xlsx&amp;sheet=A0&amp;row=258&amp;col=7&amp;number=&amp;sourceID=34","")</f>
        <v/>
      </c>
      <c r="H258" s="4" t="str">
        <f>HYPERLINK("http://141.218.60.56/~jnz1568/getInfo.php?workbook=06_02.xlsx&amp;sheet=A0&amp;row=258&amp;col=8&amp;number=&amp;sourceID=34","")</f>
        <v/>
      </c>
      <c r="I258" s="4" t="str">
        <f>HYPERLINK("http://141.218.60.56/~jnz1568/getInfo.php?workbook=06_02.xlsx&amp;sheet=A0&amp;row=258&amp;col=9&amp;number=&amp;sourceID=34","")</f>
        <v/>
      </c>
      <c r="J258" s="4" t="str">
        <f>HYPERLINK("http://141.218.60.56/~jnz1568/getInfo.php?workbook=06_02.xlsx&amp;sheet=A0&amp;row=258&amp;col=10&amp;number=&amp;sourceID=34","")</f>
        <v/>
      </c>
      <c r="K258" s="4" t="str">
        <f>HYPERLINK("http://141.218.60.56/~jnz1568/getInfo.php?workbook=06_02.xlsx&amp;sheet=A0&amp;row=258&amp;col=11&amp;number=176600&amp;sourceID=30","176600")</f>
        <v>176600</v>
      </c>
      <c r="L258" s="4" t="str">
        <f>HYPERLINK("http://141.218.60.56/~jnz1568/getInfo.php?workbook=06_02.xlsx&amp;sheet=A0&amp;row=258&amp;col=12&amp;number=&amp;sourceID=30","")</f>
        <v/>
      </c>
      <c r="M258" s="4" t="str">
        <f>HYPERLINK("http://141.218.60.56/~jnz1568/getInfo.php?workbook=06_02.xlsx&amp;sheet=A0&amp;row=258&amp;col=13&amp;number=&amp;sourceID=30","")</f>
        <v/>
      </c>
      <c r="N258" s="4" t="str">
        <f>HYPERLINK("http://141.218.60.56/~jnz1568/getInfo.php?workbook=06_02.xlsx&amp;sheet=A0&amp;row=258&amp;col=14&amp;number=1.166e-08&amp;sourceID=30","1.166e-08")</f>
        <v>1.166e-08</v>
      </c>
      <c r="O258" s="4" t="str">
        <f>HYPERLINK("http://141.218.60.56/~jnz1568/getInfo.php?workbook=06_02.xlsx&amp;sheet=A0&amp;row=258&amp;col=15&amp;number=200000&amp;sourceID=32","200000")</f>
        <v>200000</v>
      </c>
      <c r="P258" s="4" t="str">
        <f>HYPERLINK("http://141.218.60.56/~jnz1568/getInfo.php?workbook=06_02.xlsx&amp;sheet=A0&amp;row=258&amp;col=16&amp;number=&amp;sourceID=32","")</f>
        <v/>
      </c>
      <c r="Q258" s="4" t="str">
        <f>HYPERLINK("http://141.218.60.56/~jnz1568/getInfo.php?workbook=06_02.xlsx&amp;sheet=A0&amp;row=258&amp;col=17&amp;number=&amp;sourceID=32","")</f>
        <v/>
      </c>
      <c r="R258" s="4" t="str">
        <f>HYPERLINK("http://141.218.60.56/~jnz1568/getInfo.php?workbook=06_02.xlsx&amp;sheet=A0&amp;row=258&amp;col=18&amp;number=1.438e-08&amp;sourceID=32","1.438e-08")</f>
        <v>1.438e-08</v>
      </c>
    </row>
    <row r="259" spans="1:18">
      <c r="A259" s="3">
        <v>6</v>
      </c>
      <c r="B259" s="3">
        <v>2</v>
      </c>
      <c r="C259" s="3">
        <v>25</v>
      </c>
      <c r="D259" s="3">
        <v>23</v>
      </c>
      <c r="E259" s="3">
        <f>((1/(INDEX(E0!J$4:J$52,C259,1)-INDEX(E0!J$4:J$52,D259,1))))*100000000</f>
        <v>0</v>
      </c>
      <c r="F259" s="4" t="str">
        <f>HYPERLINK("http://141.218.60.56/~jnz1568/getInfo.php?workbook=06_02.xlsx&amp;sheet=A0&amp;row=259&amp;col=6&amp;number=&amp;sourceID=27","")</f>
        <v/>
      </c>
      <c r="G259" s="4" t="str">
        <f>HYPERLINK("http://141.218.60.56/~jnz1568/getInfo.php?workbook=06_02.xlsx&amp;sheet=A0&amp;row=259&amp;col=7&amp;number=&amp;sourceID=34","")</f>
        <v/>
      </c>
      <c r="H259" s="4" t="str">
        <f>HYPERLINK("http://141.218.60.56/~jnz1568/getInfo.php?workbook=06_02.xlsx&amp;sheet=A0&amp;row=259&amp;col=8&amp;number=&amp;sourceID=34","")</f>
        <v/>
      </c>
      <c r="I259" s="4" t="str">
        <f>HYPERLINK("http://141.218.60.56/~jnz1568/getInfo.php?workbook=06_02.xlsx&amp;sheet=A0&amp;row=259&amp;col=9&amp;number=&amp;sourceID=34","")</f>
        <v/>
      </c>
      <c r="J259" s="4" t="str">
        <f>HYPERLINK("http://141.218.60.56/~jnz1568/getInfo.php?workbook=06_02.xlsx&amp;sheet=A0&amp;row=259&amp;col=10&amp;number=&amp;sourceID=34","")</f>
        <v/>
      </c>
      <c r="K259" s="4" t="str">
        <f>HYPERLINK("http://141.218.60.56/~jnz1568/getInfo.php?workbook=06_02.xlsx&amp;sheet=A0&amp;row=259&amp;col=11&amp;number=&amp;sourceID=30","")</f>
        <v/>
      </c>
      <c r="L259" s="4" t="str">
        <f>HYPERLINK("http://141.218.60.56/~jnz1568/getInfo.php?workbook=06_02.xlsx&amp;sheet=A0&amp;row=259&amp;col=12&amp;number=0&amp;sourceID=30","0")</f>
        <v>0</v>
      </c>
      <c r="M259" s="4" t="str">
        <f>HYPERLINK("http://141.218.60.56/~jnz1568/getInfo.php?workbook=06_02.xlsx&amp;sheet=A0&amp;row=259&amp;col=13&amp;number=&amp;sourceID=30","")</f>
        <v/>
      </c>
      <c r="N259" s="4" t="str">
        <f>HYPERLINK("http://141.218.60.56/~jnz1568/getInfo.php?workbook=06_02.xlsx&amp;sheet=A0&amp;row=259&amp;col=14&amp;number=&amp;sourceID=30","")</f>
        <v/>
      </c>
      <c r="O259" s="4" t="str">
        <f>HYPERLINK("http://141.218.60.56/~jnz1568/getInfo.php?workbook=06_02.xlsx&amp;sheet=A0&amp;row=259&amp;col=15&amp;number=&amp;sourceID=32","")</f>
        <v/>
      </c>
      <c r="P259" s="4" t="str">
        <f>HYPERLINK("http://141.218.60.56/~jnz1568/getInfo.php?workbook=06_02.xlsx&amp;sheet=A0&amp;row=259&amp;col=16&amp;number=&amp;sourceID=32","")</f>
        <v/>
      </c>
      <c r="Q259" s="4" t="str">
        <f>HYPERLINK("http://141.218.60.56/~jnz1568/getInfo.php?workbook=06_02.xlsx&amp;sheet=A0&amp;row=259&amp;col=17&amp;number=&amp;sourceID=32","")</f>
        <v/>
      </c>
      <c r="R259" s="4" t="str">
        <f>HYPERLINK("http://141.218.60.56/~jnz1568/getInfo.php?workbook=06_02.xlsx&amp;sheet=A0&amp;row=259&amp;col=18&amp;number=&amp;sourceID=32","")</f>
        <v/>
      </c>
    </row>
    <row r="260" spans="1:18">
      <c r="A260" s="3">
        <v>6</v>
      </c>
      <c r="B260" s="3">
        <v>2</v>
      </c>
      <c r="C260" s="3">
        <v>25</v>
      </c>
      <c r="D260" s="3">
        <v>24</v>
      </c>
      <c r="E260" s="3">
        <f>((1/(INDEX(E0!J$4:J$52,C260,1)-INDEX(E0!J$4:J$52,D260,1))))*100000000</f>
        <v>0</v>
      </c>
      <c r="F260" s="4" t="str">
        <f>HYPERLINK("http://141.218.60.56/~jnz1568/getInfo.php?workbook=06_02.xlsx&amp;sheet=A0&amp;row=260&amp;col=6&amp;number=&amp;sourceID=27","")</f>
        <v/>
      </c>
      <c r="G260" s="4" t="str">
        <f>HYPERLINK("http://141.218.60.56/~jnz1568/getInfo.php?workbook=06_02.xlsx&amp;sheet=A0&amp;row=260&amp;col=7&amp;number=&amp;sourceID=34","")</f>
        <v/>
      </c>
      <c r="H260" s="4" t="str">
        <f>HYPERLINK("http://141.218.60.56/~jnz1568/getInfo.php?workbook=06_02.xlsx&amp;sheet=A0&amp;row=260&amp;col=8&amp;number=&amp;sourceID=34","")</f>
        <v/>
      </c>
      <c r="I260" s="4" t="str">
        <f>HYPERLINK("http://141.218.60.56/~jnz1568/getInfo.php?workbook=06_02.xlsx&amp;sheet=A0&amp;row=260&amp;col=9&amp;number=&amp;sourceID=34","")</f>
        <v/>
      </c>
      <c r="J260" s="4" t="str">
        <f>HYPERLINK("http://141.218.60.56/~jnz1568/getInfo.php?workbook=06_02.xlsx&amp;sheet=A0&amp;row=260&amp;col=10&amp;number=&amp;sourceID=34","")</f>
        <v/>
      </c>
      <c r="K260" s="4" t="str">
        <f>HYPERLINK("http://141.218.60.56/~jnz1568/getInfo.php?workbook=06_02.xlsx&amp;sheet=A0&amp;row=260&amp;col=11&amp;number=&amp;sourceID=30","")</f>
        <v/>
      </c>
      <c r="L260" s="4" t="str">
        <f>HYPERLINK("http://141.218.60.56/~jnz1568/getInfo.php?workbook=06_02.xlsx&amp;sheet=A0&amp;row=260&amp;col=12&amp;number=0&amp;sourceID=30","0")</f>
        <v>0</v>
      </c>
      <c r="M260" s="4" t="str">
        <f>HYPERLINK("http://141.218.60.56/~jnz1568/getInfo.php?workbook=06_02.xlsx&amp;sheet=A0&amp;row=260&amp;col=13&amp;number=1.743e-09&amp;sourceID=30","1.743e-09")</f>
        <v>1.743e-09</v>
      </c>
      <c r="N260" s="4" t="str">
        <f>HYPERLINK("http://141.218.60.56/~jnz1568/getInfo.php?workbook=06_02.xlsx&amp;sheet=A0&amp;row=260&amp;col=14&amp;number=&amp;sourceID=30","")</f>
        <v/>
      </c>
      <c r="O260" s="4" t="str">
        <f>HYPERLINK("http://141.218.60.56/~jnz1568/getInfo.php?workbook=06_02.xlsx&amp;sheet=A0&amp;row=260&amp;col=15&amp;number=&amp;sourceID=32","")</f>
        <v/>
      </c>
      <c r="P260" s="4" t="str">
        <f>HYPERLINK("http://141.218.60.56/~jnz1568/getInfo.php?workbook=06_02.xlsx&amp;sheet=A0&amp;row=260&amp;col=16&amp;number=&amp;sourceID=32","")</f>
        <v/>
      </c>
      <c r="Q260" s="4" t="str">
        <f>HYPERLINK("http://141.218.60.56/~jnz1568/getInfo.php?workbook=06_02.xlsx&amp;sheet=A0&amp;row=260&amp;col=17&amp;number=&amp;sourceID=32","")</f>
        <v/>
      </c>
      <c r="R260" s="4" t="str">
        <f>HYPERLINK("http://141.218.60.56/~jnz1568/getInfo.php?workbook=06_02.xlsx&amp;sheet=A0&amp;row=260&amp;col=18&amp;number=&amp;sourceID=32","")</f>
        <v/>
      </c>
    </row>
    <row r="261" spans="1:18">
      <c r="A261" s="3">
        <v>6</v>
      </c>
      <c r="B261" s="3">
        <v>2</v>
      </c>
      <c r="C261" s="3">
        <v>26</v>
      </c>
      <c r="D261" s="3">
        <v>2</v>
      </c>
      <c r="E261" s="3">
        <f>((1/(INDEX(E0!J$4:J$52,C261,1)-INDEX(E0!J$4:J$52,D261,1))))*100000000</f>
        <v>0</v>
      </c>
      <c r="F261" s="4" t="str">
        <f>HYPERLINK("http://141.218.60.56/~jnz1568/getInfo.php?workbook=06_02.xlsx&amp;sheet=A0&amp;row=261&amp;col=6&amp;number=&amp;sourceID=27","")</f>
        <v/>
      </c>
      <c r="G261" s="4" t="str">
        <f>HYPERLINK("http://141.218.60.56/~jnz1568/getInfo.php?workbook=06_02.xlsx&amp;sheet=A0&amp;row=261&amp;col=7&amp;number=&amp;sourceID=34","")</f>
        <v/>
      </c>
      <c r="H261" s="4" t="str">
        <f>HYPERLINK("http://141.218.60.56/~jnz1568/getInfo.php?workbook=06_02.xlsx&amp;sheet=A0&amp;row=261&amp;col=8&amp;number=&amp;sourceID=34","")</f>
        <v/>
      </c>
      <c r="I261" s="4" t="str">
        <f>HYPERLINK("http://141.218.60.56/~jnz1568/getInfo.php?workbook=06_02.xlsx&amp;sheet=A0&amp;row=261&amp;col=9&amp;number=&amp;sourceID=34","")</f>
        <v/>
      </c>
      <c r="J261" s="4" t="str">
        <f>HYPERLINK("http://141.218.60.56/~jnz1568/getInfo.php?workbook=06_02.xlsx&amp;sheet=A0&amp;row=261&amp;col=10&amp;number=&amp;sourceID=34","")</f>
        <v/>
      </c>
      <c r="K261" s="4" t="str">
        <f>HYPERLINK("http://141.218.60.56/~jnz1568/getInfo.php?workbook=06_02.xlsx&amp;sheet=A0&amp;row=261&amp;col=11&amp;number=&amp;sourceID=30","")</f>
        <v/>
      </c>
      <c r="L261" s="4" t="str">
        <f>HYPERLINK("http://141.218.60.56/~jnz1568/getInfo.php?workbook=06_02.xlsx&amp;sheet=A0&amp;row=261&amp;col=12&amp;number=&amp;sourceID=30","")</f>
        <v/>
      </c>
      <c r="M261" s="4" t="str">
        <f>HYPERLINK("http://141.218.60.56/~jnz1568/getInfo.php?workbook=06_02.xlsx&amp;sheet=A0&amp;row=261&amp;col=13&amp;number=&amp;sourceID=30","")</f>
        <v/>
      </c>
      <c r="N261" s="4" t="str">
        <f>HYPERLINK("http://141.218.60.56/~jnz1568/getInfo.php?workbook=06_02.xlsx&amp;sheet=A0&amp;row=261&amp;col=14&amp;number=7.056e-09&amp;sourceID=30","7.056e-09")</f>
        <v>7.056e-09</v>
      </c>
      <c r="O261" s="4" t="str">
        <f>HYPERLINK("http://141.218.60.56/~jnz1568/getInfo.php?workbook=06_02.xlsx&amp;sheet=A0&amp;row=261&amp;col=15&amp;number=&amp;sourceID=32","")</f>
        <v/>
      </c>
      <c r="P261" s="4" t="str">
        <f>HYPERLINK("http://141.218.60.56/~jnz1568/getInfo.php?workbook=06_02.xlsx&amp;sheet=A0&amp;row=261&amp;col=16&amp;number=&amp;sourceID=32","")</f>
        <v/>
      </c>
      <c r="Q261" s="4" t="str">
        <f>HYPERLINK("http://141.218.60.56/~jnz1568/getInfo.php?workbook=06_02.xlsx&amp;sheet=A0&amp;row=261&amp;col=17&amp;number=&amp;sourceID=32","")</f>
        <v/>
      </c>
      <c r="R261" s="4" t="str">
        <f>HYPERLINK("http://141.218.60.56/~jnz1568/getInfo.php?workbook=06_02.xlsx&amp;sheet=A0&amp;row=261&amp;col=18&amp;number=5.411e-08&amp;sourceID=32","5.411e-08")</f>
        <v>5.411e-08</v>
      </c>
    </row>
    <row r="262" spans="1:18">
      <c r="A262" s="3">
        <v>6</v>
      </c>
      <c r="B262" s="3">
        <v>2</v>
      </c>
      <c r="C262" s="3">
        <v>26</v>
      </c>
      <c r="D262" s="3">
        <v>4</v>
      </c>
      <c r="E262" s="3">
        <f>((1/(INDEX(E0!J$4:J$52,C262,1)-INDEX(E0!J$4:J$52,D262,1))))*100000000</f>
        <v>0</v>
      </c>
      <c r="F262" s="4" t="str">
        <f>HYPERLINK("http://141.218.60.56/~jnz1568/getInfo.php?workbook=06_02.xlsx&amp;sheet=A0&amp;row=262&amp;col=6&amp;number=&amp;sourceID=27","")</f>
        <v/>
      </c>
      <c r="G262" s="4" t="str">
        <f>HYPERLINK("http://141.218.60.56/~jnz1568/getInfo.php?workbook=06_02.xlsx&amp;sheet=A0&amp;row=262&amp;col=7&amp;number=&amp;sourceID=34","")</f>
        <v/>
      </c>
      <c r="H262" s="4" t="str">
        <f>HYPERLINK("http://141.218.60.56/~jnz1568/getInfo.php?workbook=06_02.xlsx&amp;sheet=A0&amp;row=262&amp;col=8&amp;number=&amp;sourceID=34","")</f>
        <v/>
      </c>
      <c r="I262" s="4" t="str">
        <f>HYPERLINK("http://141.218.60.56/~jnz1568/getInfo.php?workbook=06_02.xlsx&amp;sheet=A0&amp;row=262&amp;col=9&amp;number=&amp;sourceID=34","")</f>
        <v/>
      </c>
      <c r="J262" s="4" t="str">
        <f>HYPERLINK("http://141.218.60.56/~jnz1568/getInfo.php?workbook=06_02.xlsx&amp;sheet=A0&amp;row=262&amp;col=10&amp;number=&amp;sourceID=34","")</f>
        <v/>
      </c>
      <c r="K262" s="4" t="str">
        <f>HYPERLINK("http://141.218.60.56/~jnz1568/getInfo.php?workbook=06_02.xlsx&amp;sheet=A0&amp;row=262&amp;col=11&amp;number=&amp;sourceID=30","")</f>
        <v/>
      </c>
      <c r="L262" s="4" t="str">
        <f>HYPERLINK("http://141.218.60.56/~jnz1568/getInfo.php?workbook=06_02.xlsx&amp;sheet=A0&amp;row=262&amp;col=12&amp;number=219000&amp;sourceID=30","219000")</f>
        <v>219000</v>
      </c>
      <c r="M262" s="4" t="str">
        <f>HYPERLINK("http://141.218.60.56/~jnz1568/getInfo.php?workbook=06_02.xlsx&amp;sheet=A0&amp;row=262&amp;col=13&amp;number=&amp;sourceID=30","")</f>
        <v/>
      </c>
      <c r="N262" s="4" t="str">
        <f>HYPERLINK("http://141.218.60.56/~jnz1568/getInfo.php?workbook=06_02.xlsx&amp;sheet=A0&amp;row=262&amp;col=14&amp;number=&amp;sourceID=30","")</f>
        <v/>
      </c>
      <c r="O262" s="4" t="str">
        <f>HYPERLINK("http://141.218.60.56/~jnz1568/getInfo.php?workbook=06_02.xlsx&amp;sheet=A0&amp;row=262&amp;col=15&amp;number=&amp;sourceID=32","")</f>
        <v/>
      </c>
      <c r="P262" s="4" t="str">
        <f>HYPERLINK("http://141.218.60.56/~jnz1568/getInfo.php?workbook=06_02.xlsx&amp;sheet=A0&amp;row=262&amp;col=16&amp;number=417200&amp;sourceID=32","417200")</f>
        <v>417200</v>
      </c>
      <c r="Q262" s="4" t="str">
        <f>HYPERLINK("http://141.218.60.56/~jnz1568/getInfo.php?workbook=06_02.xlsx&amp;sheet=A0&amp;row=262&amp;col=17&amp;number=&amp;sourceID=32","")</f>
        <v/>
      </c>
      <c r="R262" s="4" t="str">
        <f>HYPERLINK("http://141.218.60.56/~jnz1568/getInfo.php?workbook=06_02.xlsx&amp;sheet=A0&amp;row=262&amp;col=18&amp;number=&amp;sourceID=32","")</f>
        <v/>
      </c>
    </row>
    <row r="263" spans="1:18">
      <c r="A263" s="3">
        <v>6</v>
      </c>
      <c r="B263" s="3">
        <v>2</v>
      </c>
      <c r="C263" s="3">
        <v>26</v>
      </c>
      <c r="D263" s="3">
        <v>6</v>
      </c>
      <c r="E263" s="3">
        <f>((1/(INDEX(E0!J$4:J$52,C263,1)-INDEX(E0!J$4:J$52,D263,1))))*100000000</f>
        <v>0</v>
      </c>
      <c r="F263" s="4" t="str">
        <f>HYPERLINK("http://141.218.60.56/~jnz1568/getInfo.php?workbook=06_02.xlsx&amp;sheet=A0&amp;row=263&amp;col=6&amp;number=&amp;sourceID=27","")</f>
        <v/>
      </c>
      <c r="G263" s="4" t="str">
        <f>HYPERLINK("http://141.218.60.56/~jnz1568/getInfo.php?workbook=06_02.xlsx&amp;sheet=A0&amp;row=263&amp;col=7&amp;number=&amp;sourceID=34","")</f>
        <v/>
      </c>
      <c r="H263" s="4" t="str">
        <f>HYPERLINK("http://141.218.60.56/~jnz1568/getInfo.php?workbook=06_02.xlsx&amp;sheet=A0&amp;row=263&amp;col=8&amp;number=&amp;sourceID=34","")</f>
        <v/>
      </c>
      <c r="I263" s="4" t="str">
        <f>HYPERLINK("http://141.218.60.56/~jnz1568/getInfo.php?workbook=06_02.xlsx&amp;sheet=A0&amp;row=263&amp;col=9&amp;number=&amp;sourceID=34","")</f>
        <v/>
      </c>
      <c r="J263" s="4" t="str">
        <f>HYPERLINK("http://141.218.60.56/~jnz1568/getInfo.php?workbook=06_02.xlsx&amp;sheet=A0&amp;row=263&amp;col=10&amp;number=&amp;sourceID=34","")</f>
        <v/>
      </c>
      <c r="K263" s="4" t="str">
        <f>HYPERLINK("http://141.218.60.56/~jnz1568/getInfo.php?workbook=06_02.xlsx&amp;sheet=A0&amp;row=263&amp;col=11&amp;number=&amp;sourceID=30","")</f>
        <v/>
      </c>
      <c r="L263" s="4" t="str">
        <f>HYPERLINK("http://141.218.60.56/~jnz1568/getInfo.php?workbook=06_02.xlsx&amp;sheet=A0&amp;row=263&amp;col=12&amp;number=111400&amp;sourceID=30","111400")</f>
        <v>111400</v>
      </c>
      <c r="M263" s="4" t="str">
        <f>HYPERLINK("http://141.218.60.56/~jnz1568/getInfo.php?workbook=06_02.xlsx&amp;sheet=A0&amp;row=263&amp;col=13&amp;number=1.32e-05&amp;sourceID=30","1.32e-05")</f>
        <v>1.32e-05</v>
      </c>
      <c r="N263" s="4" t="str">
        <f>HYPERLINK("http://141.218.60.56/~jnz1568/getInfo.php?workbook=06_02.xlsx&amp;sheet=A0&amp;row=263&amp;col=14&amp;number=&amp;sourceID=30","")</f>
        <v/>
      </c>
      <c r="O263" s="4" t="str">
        <f>HYPERLINK("http://141.218.60.56/~jnz1568/getInfo.php?workbook=06_02.xlsx&amp;sheet=A0&amp;row=263&amp;col=15&amp;number=&amp;sourceID=32","")</f>
        <v/>
      </c>
      <c r="P263" s="4" t="str">
        <f>HYPERLINK("http://141.218.60.56/~jnz1568/getInfo.php?workbook=06_02.xlsx&amp;sheet=A0&amp;row=263&amp;col=16&amp;number=206600&amp;sourceID=32","206600")</f>
        <v>206600</v>
      </c>
      <c r="Q263" s="4" t="str">
        <f>HYPERLINK("http://141.218.60.56/~jnz1568/getInfo.php?workbook=06_02.xlsx&amp;sheet=A0&amp;row=263&amp;col=17&amp;number=0.0005628&amp;sourceID=32","0.0005628")</f>
        <v>0.0005628</v>
      </c>
      <c r="R263" s="4" t="str">
        <f>HYPERLINK("http://141.218.60.56/~jnz1568/getInfo.php?workbook=06_02.xlsx&amp;sheet=A0&amp;row=263&amp;col=18&amp;number=&amp;sourceID=32","")</f>
        <v/>
      </c>
    </row>
    <row r="264" spans="1:18">
      <c r="A264" s="3">
        <v>6</v>
      </c>
      <c r="B264" s="3">
        <v>2</v>
      </c>
      <c r="C264" s="3">
        <v>26</v>
      </c>
      <c r="D264" s="3">
        <v>7</v>
      </c>
      <c r="E264" s="3">
        <f>((1/(INDEX(E0!J$4:J$52,C264,1)-INDEX(E0!J$4:J$52,D264,1))))*100000000</f>
        <v>0</v>
      </c>
      <c r="F264" s="4" t="str">
        <f>HYPERLINK("http://141.218.60.56/~jnz1568/getInfo.php?workbook=06_02.xlsx&amp;sheet=A0&amp;row=264&amp;col=6&amp;number=&amp;sourceID=27","")</f>
        <v/>
      </c>
      <c r="G264" s="4" t="str">
        <f>HYPERLINK("http://141.218.60.56/~jnz1568/getInfo.php?workbook=06_02.xlsx&amp;sheet=A0&amp;row=264&amp;col=7&amp;number=&amp;sourceID=34","")</f>
        <v/>
      </c>
      <c r="H264" s="4" t="str">
        <f>HYPERLINK("http://141.218.60.56/~jnz1568/getInfo.php?workbook=06_02.xlsx&amp;sheet=A0&amp;row=264&amp;col=8&amp;number=&amp;sourceID=34","")</f>
        <v/>
      </c>
      <c r="I264" s="4" t="str">
        <f>HYPERLINK("http://141.218.60.56/~jnz1568/getInfo.php?workbook=06_02.xlsx&amp;sheet=A0&amp;row=264&amp;col=9&amp;number=&amp;sourceID=34","")</f>
        <v/>
      </c>
      <c r="J264" s="4" t="str">
        <f>HYPERLINK("http://141.218.60.56/~jnz1568/getInfo.php?workbook=06_02.xlsx&amp;sheet=A0&amp;row=264&amp;col=10&amp;number=&amp;sourceID=34","")</f>
        <v/>
      </c>
      <c r="K264" s="4" t="str">
        <f>HYPERLINK("http://141.218.60.56/~jnz1568/getInfo.php?workbook=06_02.xlsx&amp;sheet=A0&amp;row=264&amp;col=11&amp;number=&amp;sourceID=30","")</f>
        <v/>
      </c>
      <c r="L264" s="4" t="str">
        <f>HYPERLINK("http://141.218.60.56/~jnz1568/getInfo.php?workbook=06_02.xlsx&amp;sheet=A0&amp;row=264&amp;col=12&amp;number=615900&amp;sourceID=30","615900")</f>
        <v>615900</v>
      </c>
      <c r="M264" s="4" t="str">
        <f>HYPERLINK("http://141.218.60.56/~jnz1568/getInfo.php?workbook=06_02.xlsx&amp;sheet=A0&amp;row=264&amp;col=13&amp;number=&amp;sourceID=30","")</f>
        <v/>
      </c>
      <c r="N264" s="4" t="str">
        <f>HYPERLINK("http://141.218.60.56/~jnz1568/getInfo.php?workbook=06_02.xlsx&amp;sheet=A0&amp;row=264&amp;col=14&amp;number=&amp;sourceID=30","")</f>
        <v/>
      </c>
      <c r="O264" s="4" t="str">
        <f>HYPERLINK("http://141.218.60.56/~jnz1568/getInfo.php?workbook=06_02.xlsx&amp;sheet=A0&amp;row=264&amp;col=15&amp;number=&amp;sourceID=32","")</f>
        <v/>
      </c>
      <c r="P264" s="4" t="str">
        <f>HYPERLINK("http://141.218.60.56/~jnz1568/getInfo.php?workbook=06_02.xlsx&amp;sheet=A0&amp;row=264&amp;col=16&amp;number=343800&amp;sourceID=32","343800")</f>
        <v>343800</v>
      </c>
      <c r="Q264" s="4" t="str">
        <f>HYPERLINK("http://141.218.60.56/~jnz1568/getInfo.php?workbook=06_02.xlsx&amp;sheet=A0&amp;row=264&amp;col=17&amp;number=&amp;sourceID=32","")</f>
        <v/>
      </c>
      <c r="R264" s="4" t="str">
        <f>HYPERLINK("http://141.218.60.56/~jnz1568/getInfo.php?workbook=06_02.xlsx&amp;sheet=A0&amp;row=264&amp;col=18&amp;number=&amp;sourceID=32","")</f>
        <v/>
      </c>
    </row>
    <row r="265" spans="1:18">
      <c r="A265" s="3">
        <v>6</v>
      </c>
      <c r="B265" s="3">
        <v>2</v>
      </c>
      <c r="C265" s="3">
        <v>26</v>
      </c>
      <c r="D265" s="3">
        <v>8</v>
      </c>
      <c r="E265" s="3">
        <f>((1/(INDEX(E0!J$4:J$52,C265,1)-INDEX(E0!J$4:J$52,D265,1))))*100000000</f>
        <v>0</v>
      </c>
      <c r="F265" s="4" t="str">
        <f>HYPERLINK("http://141.218.60.56/~jnz1568/getInfo.php?workbook=06_02.xlsx&amp;sheet=A0&amp;row=265&amp;col=6&amp;number=&amp;sourceID=27","")</f>
        <v/>
      </c>
      <c r="G265" s="4" t="str">
        <f>HYPERLINK("http://141.218.60.56/~jnz1568/getInfo.php?workbook=06_02.xlsx&amp;sheet=A0&amp;row=265&amp;col=7&amp;number=&amp;sourceID=34","")</f>
        <v/>
      </c>
      <c r="H265" s="4" t="str">
        <f>HYPERLINK("http://141.218.60.56/~jnz1568/getInfo.php?workbook=06_02.xlsx&amp;sheet=A0&amp;row=265&amp;col=8&amp;number=&amp;sourceID=34","")</f>
        <v/>
      </c>
      <c r="I265" s="4" t="str">
        <f>HYPERLINK("http://141.218.60.56/~jnz1568/getInfo.php?workbook=06_02.xlsx&amp;sheet=A0&amp;row=265&amp;col=9&amp;number=&amp;sourceID=34","")</f>
        <v/>
      </c>
      <c r="J265" s="4" t="str">
        <f>HYPERLINK("http://141.218.60.56/~jnz1568/getInfo.php?workbook=06_02.xlsx&amp;sheet=A0&amp;row=265&amp;col=10&amp;number=&amp;sourceID=34","")</f>
        <v/>
      </c>
      <c r="K265" s="4" t="str">
        <f>HYPERLINK("http://141.218.60.56/~jnz1568/getInfo.php?workbook=06_02.xlsx&amp;sheet=A0&amp;row=265&amp;col=11&amp;number=&amp;sourceID=30","")</f>
        <v/>
      </c>
      <c r="L265" s="4" t="str">
        <f>HYPERLINK("http://141.218.60.56/~jnz1568/getInfo.php?workbook=06_02.xlsx&amp;sheet=A0&amp;row=265&amp;col=12&amp;number=&amp;sourceID=30","")</f>
        <v/>
      </c>
      <c r="M265" s="4" t="str">
        <f>HYPERLINK("http://141.218.60.56/~jnz1568/getInfo.php?workbook=06_02.xlsx&amp;sheet=A0&amp;row=265&amp;col=13&amp;number=&amp;sourceID=30","")</f>
        <v/>
      </c>
      <c r="N265" s="4" t="str">
        <f>HYPERLINK("http://141.218.60.56/~jnz1568/getInfo.php?workbook=06_02.xlsx&amp;sheet=A0&amp;row=265&amp;col=14&amp;number=2.889e-09&amp;sourceID=30","2.889e-09")</f>
        <v>2.889e-09</v>
      </c>
      <c r="O265" s="4" t="str">
        <f>HYPERLINK("http://141.218.60.56/~jnz1568/getInfo.php?workbook=06_02.xlsx&amp;sheet=A0&amp;row=265&amp;col=15&amp;number=&amp;sourceID=32","")</f>
        <v/>
      </c>
      <c r="P265" s="4" t="str">
        <f>HYPERLINK("http://141.218.60.56/~jnz1568/getInfo.php?workbook=06_02.xlsx&amp;sheet=A0&amp;row=265&amp;col=16&amp;number=&amp;sourceID=32","")</f>
        <v/>
      </c>
      <c r="Q265" s="4" t="str">
        <f>HYPERLINK("http://141.218.60.56/~jnz1568/getInfo.php?workbook=06_02.xlsx&amp;sheet=A0&amp;row=265&amp;col=17&amp;number=&amp;sourceID=32","")</f>
        <v/>
      </c>
      <c r="R265" s="4" t="str">
        <f>HYPERLINK("http://141.218.60.56/~jnz1568/getInfo.php?workbook=06_02.xlsx&amp;sheet=A0&amp;row=265&amp;col=18&amp;number=4.05e-12&amp;sourceID=32","4.05e-12")</f>
        <v>4.05e-12</v>
      </c>
    </row>
    <row r="266" spans="1:18">
      <c r="A266" s="3">
        <v>6</v>
      </c>
      <c r="B266" s="3">
        <v>2</v>
      </c>
      <c r="C266" s="3">
        <v>26</v>
      </c>
      <c r="D266" s="3">
        <v>10</v>
      </c>
      <c r="E266" s="3">
        <f>((1/(INDEX(E0!J$4:J$52,C266,1)-INDEX(E0!J$4:J$52,D266,1))))*100000000</f>
        <v>0</v>
      </c>
      <c r="F266" s="4" t="str">
        <f>HYPERLINK("http://141.218.60.56/~jnz1568/getInfo.php?workbook=06_02.xlsx&amp;sheet=A0&amp;row=266&amp;col=6&amp;number=&amp;sourceID=27","")</f>
        <v/>
      </c>
      <c r="G266" s="4" t="str">
        <f>HYPERLINK("http://141.218.60.56/~jnz1568/getInfo.php?workbook=06_02.xlsx&amp;sheet=A0&amp;row=266&amp;col=7&amp;number=&amp;sourceID=34","")</f>
        <v/>
      </c>
      <c r="H266" s="4" t="str">
        <f>HYPERLINK("http://141.218.60.56/~jnz1568/getInfo.php?workbook=06_02.xlsx&amp;sheet=A0&amp;row=266&amp;col=8&amp;number=&amp;sourceID=34","")</f>
        <v/>
      </c>
      <c r="I266" s="4" t="str">
        <f>HYPERLINK("http://141.218.60.56/~jnz1568/getInfo.php?workbook=06_02.xlsx&amp;sheet=A0&amp;row=266&amp;col=9&amp;number=&amp;sourceID=34","")</f>
        <v/>
      </c>
      <c r="J266" s="4" t="str">
        <f>HYPERLINK("http://141.218.60.56/~jnz1568/getInfo.php?workbook=06_02.xlsx&amp;sheet=A0&amp;row=266&amp;col=10&amp;number=&amp;sourceID=34","")</f>
        <v/>
      </c>
      <c r="K266" s="4" t="str">
        <f>HYPERLINK("http://141.218.60.56/~jnz1568/getInfo.php?workbook=06_02.xlsx&amp;sheet=A0&amp;row=266&amp;col=11&amp;number=&amp;sourceID=30","")</f>
        <v/>
      </c>
      <c r="L266" s="4" t="str">
        <f>HYPERLINK("http://141.218.60.56/~jnz1568/getInfo.php?workbook=06_02.xlsx&amp;sheet=A0&amp;row=266&amp;col=12&amp;number=23180&amp;sourceID=30","23180")</f>
        <v>23180</v>
      </c>
      <c r="M266" s="4" t="str">
        <f>HYPERLINK("http://141.218.60.56/~jnz1568/getInfo.php?workbook=06_02.xlsx&amp;sheet=A0&amp;row=266&amp;col=13&amp;number=&amp;sourceID=30","")</f>
        <v/>
      </c>
      <c r="N266" s="4" t="str">
        <f>HYPERLINK("http://141.218.60.56/~jnz1568/getInfo.php?workbook=06_02.xlsx&amp;sheet=A0&amp;row=266&amp;col=14&amp;number=&amp;sourceID=30","")</f>
        <v/>
      </c>
      <c r="O266" s="4" t="str">
        <f>HYPERLINK("http://141.218.60.56/~jnz1568/getInfo.php?workbook=06_02.xlsx&amp;sheet=A0&amp;row=266&amp;col=15&amp;number=&amp;sourceID=32","")</f>
        <v/>
      </c>
      <c r="P266" s="4" t="str">
        <f>HYPERLINK("http://141.218.60.56/~jnz1568/getInfo.php?workbook=06_02.xlsx&amp;sheet=A0&amp;row=266&amp;col=16&amp;number=45120&amp;sourceID=32","45120")</f>
        <v>45120</v>
      </c>
      <c r="Q266" s="4" t="str">
        <f>HYPERLINK("http://141.218.60.56/~jnz1568/getInfo.php?workbook=06_02.xlsx&amp;sheet=A0&amp;row=266&amp;col=17&amp;number=&amp;sourceID=32","")</f>
        <v/>
      </c>
      <c r="R266" s="4" t="str">
        <f>HYPERLINK("http://141.218.60.56/~jnz1568/getInfo.php?workbook=06_02.xlsx&amp;sheet=A0&amp;row=266&amp;col=18&amp;number=&amp;sourceID=32","")</f>
        <v/>
      </c>
    </row>
    <row r="267" spans="1:18">
      <c r="A267" s="3">
        <v>6</v>
      </c>
      <c r="B267" s="3">
        <v>2</v>
      </c>
      <c r="C267" s="3">
        <v>26</v>
      </c>
      <c r="D267" s="3">
        <v>12</v>
      </c>
      <c r="E267" s="3">
        <f>((1/(INDEX(E0!J$4:J$52,C267,1)-INDEX(E0!J$4:J$52,D267,1))))*100000000</f>
        <v>0</v>
      </c>
      <c r="F267" s="4" t="str">
        <f>HYPERLINK("http://141.218.60.56/~jnz1568/getInfo.php?workbook=06_02.xlsx&amp;sheet=A0&amp;row=267&amp;col=6&amp;number=&amp;sourceID=27","")</f>
        <v/>
      </c>
      <c r="G267" s="4" t="str">
        <f>HYPERLINK("http://141.218.60.56/~jnz1568/getInfo.php?workbook=06_02.xlsx&amp;sheet=A0&amp;row=267&amp;col=7&amp;number=&amp;sourceID=34","")</f>
        <v/>
      </c>
      <c r="H267" s="4" t="str">
        <f>HYPERLINK("http://141.218.60.56/~jnz1568/getInfo.php?workbook=06_02.xlsx&amp;sheet=A0&amp;row=267&amp;col=8&amp;number=&amp;sourceID=34","")</f>
        <v/>
      </c>
      <c r="I267" s="4" t="str">
        <f>HYPERLINK("http://141.218.60.56/~jnz1568/getInfo.php?workbook=06_02.xlsx&amp;sheet=A0&amp;row=267&amp;col=9&amp;number=&amp;sourceID=34","")</f>
        <v/>
      </c>
      <c r="J267" s="4" t="str">
        <f>HYPERLINK("http://141.218.60.56/~jnz1568/getInfo.php?workbook=06_02.xlsx&amp;sheet=A0&amp;row=267&amp;col=10&amp;number=&amp;sourceID=34","")</f>
        <v/>
      </c>
      <c r="K267" s="4" t="str">
        <f>HYPERLINK("http://141.218.60.56/~jnz1568/getInfo.php?workbook=06_02.xlsx&amp;sheet=A0&amp;row=267&amp;col=11&amp;number=&amp;sourceID=30","")</f>
        <v/>
      </c>
      <c r="L267" s="4" t="str">
        <f>HYPERLINK("http://141.218.60.56/~jnz1568/getInfo.php?workbook=06_02.xlsx&amp;sheet=A0&amp;row=267&amp;col=12&amp;number=11790&amp;sourceID=30","11790")</f>
        <v>11790</v>
      </c>
      <c r="M267" s="4" t="str">
        <f>HYPERLINK("http://141.218.60.56/~jnz1568/getInfo.php?workbook=06_02.xlsx&amp;sheet=A0&amp;row=267&amp;col=13&amp;number=4.724e-07&amp;sourceID=30","4.724e-07")</f>
        <v>4.724e-07</v>
      </c>
      <c r="N267" s="4" t="str">
        <f>HYPERLINK("http://141.218.60.56/~jnz1568/getInfo.php?workbook=06_02.xlsx&amp;sheet=A0&amp;row=267&amp;col=14&amp;number=&amp;sourceID=30","")</f>
        <v/>
      </c>
      <c r="O267" s="4" t="str">
        <f>HYPERLINK("http://141.218.60.56/~jnz1568/getInfo.php?workbook=06_02.xlsx&amp;sheet=A0&amp;row=267&amp;col=15&amp;number=&amp;sourceID=32","")</f>
        <v/>
      </c>
      <c r="P267" s="4" t="str">
        <f>HYPERLINK("http://141.218.60.56/~jnz1568/getInfo.php?workbook=06_02.xlsx&amp;sheet=A0&amp;row=267&amp;col=16&amp;number=22320&amp;sourceID=32","22320")</f>
        <v>22320</v>
      </c>
      <c r="Q267" s="4" t="str">
        <f>HYPERLINK("http://141.218.60.56/~jnz1568/getInfo.php?workbook=06_02.xlsx&amp;sheet=A0&amp;row=267&amp;col=17&amp;number=2.458e-05&amp;sourceID=32","2.458e-05")</f>
        <v>2.458e-05</v>
      </c>
      <c r="R267" s="4" t="str">
        <f>HYPERLINK("http://141.218.60.56/~jnz1568/getInfo.php?workbook=06_02.xlsx&amp;sheet=A0&amp;row=267&amp;col=18&amp;number=&amp;sourceID=32","")</f>
        <v/>
      </c>
    </row>
    <row r="268" spans="1:18">
      <c r="A268" s="3">
        <v>6</v>
      </c>
      <c r="B268" s="3">
        <v>2</v>
      </c>
      <c r="C268" s="3">
        <v>26</v>
      </c>
      <c r="D268" s="3">
        <v>13</v>
      </c>
      <c r="E268" s="3">
        <f>((1/(INDEX(E0!J$4:J$52,C268,1)-INDEX(E0!J$4:J$52,D268,1))))*100000000</f>
        <v>0</v>
      </c>
      <c r="F268" s="4" t="str">
        <f>HYPERLINK("http://141.218.60.56/~jnz1568/getInfo.php?workbook=06_02.xlsx&amp;sheet=A0&amp;row=268&amp;col=6&amp;number=&amp;sourceID=27","")</f>
        <v/>
      </c>
      <c r="G268" s="4" t="str">
        <f>HYPERLINK("http://141.218.60.56/~jnz1568/getInfo.php?workbook=06_02.xlsx&amp;sheet=A0&amp;row=268&amp;col=7&amp;number=&amp;sourceID=34","")</f>
        <v/>
      </c>
      <c r="H268" s="4" t="str">
        <f>HYPERLINK("http://141.218.60.56/~jnz1568/getInfo.php?workbook=06_02.xlsx&amp;sheet=A0&amp;row=268&amp;col=8&amp;number=&amp;sourceID=34","")</f>
        <v/>
      </c>
      <c r="I268" s="4" t="str">
        <f>HYPERLINK("http://141.218.60.56/~jnz1568/getInfo.php?workbook=06_02.xlsx&amp;sheet=A0&amp;row=268&amp;col=9&amp;number=&amp;sourceID=34","")</f>
        <v/>
      </c>
      <c r="J268" s="4" t="str">
        <f>HYPERLINK("http://141.218.60.56/~jnz1568/getInfo.php?workbook=06_02.xlsx&amp;sheet=A0&amp;row=268&amp;col=10&amp;number=&amp;sourceID=34","")</f>
        <v/>
      </c>
      <c r="K268" s="4" t="str">
        <f>HYPERLINK("http://141.218.60.56/~jnz1568/getInfo.php?workbook=06_02.xlsx&amp;sheet=A0&amp;row=268&amp;col=11&amp;number=&amp;sourceID=30","")</f>
        <v/>
      </c>
      <c r="L268" s="4" t="str">
        <f>HYPERLINK("http://141.218.60.56/~jnz1568/getInfo.php?workbook=06_02.xlsx&amp;sheet=A0&amp;row=268&amp;col=12&amp;number=&amp;sourceID=30","")</f>
        <v/>
      </c>
      <c r="M268" s="4" t="str">
        <f>HYPERLINK("http://141.218.60.56/~jnz1568/getInfo.php?workbook=06_02.xlsx&amp;sheet=A0&amp;row=268&amp;col=13&amp;number=&amp;sourceID=30","")</f>
        <v/>
      </c>
      <c r="N268" s="4" t="str">
        <f>HYPERLINK("http://141.218.60.56/~jnz1568/getInfo.php?workbook=06_02.xlsx&amp;sheet=A0&amp;row=268&amp;col=14&amp;number=0.4384&amp;sourceID=30","0.4384")</f>
        <v>0.4384</v>
      </c>
      <c r="O268" s="4" t="str">
        <f>HYPERLINK("http://141.218.60.56/~jnz1568/getInfo.php?workbook=06_02.xlsx&amp;sheet=A0&amp;row=268&amp;col=15&amp;number=&amp;sourceID=32","")</f>
        <v/>
      </c>
      <c r="P268" s="4" t="str">
        <f>HYPERLINK("http://141.218.60.56/~jnz1568/getInfo.php?workbook=06_02.xlsx&amp;sheet=A0&amp;row=268&amp;col=16&amp;number=&amp;sourceID=32","")</f>
        <v/>
      </c>
      <c r="Q268" s="4" t="str">
        <f>HYPERLINK("http://141.218.60.56/~jnz1568/getInfo.php?workbook=06_02.xlsx&amp;sheet=A0&amp;row=268&amp;col=17&amp;number=&amp;sourceID=32","")</f>
        <v/>
      </c>
      <c r="R268" s="4" t="str">
        <f>HYPERLINK("http://141.218.60.56/~jnz1568/getInfo.php?workbook=06_02.xlsx&amp;sheet=A0&amp;row=268&amp;col=18&amp;number=0.03509&amp;sourceID=32","0.03509")</f>
        <v>0.03509</v>
      </c>
    </row>
    <row r="269" spans="1:18">
      <c r="A269" s="3">
        <v>6</v>
      </c>
      <c r="B269" s="3">
        <v>2</v>
      </c>
      <c r="C269" s="3">
        <v>26</v>
      </c>
      <c r="D269" s="3">
        <v>14</v>
      </c>
      <c r="E269" s="3">
        <f>((1/(INDEX(E0!J$4:J$52,C269,1)-INDEX(E0!J$4:J$52,D269,1))))*100000000</f>
        <v>0</v>
      </c>
      <c r="F269" s="4" t="str">
        <f>HYPERLINK("http://141.218.60.56/~jnz1568/getInfo.php?workbook=06_02.xlsx&amp;sheet=A0&amp;row=269&amp;col=6&amp;number=&amp;sourceID=27","")</f>
        <v/>
      </c>
      <c r="G269" s="4" t="str">
        <f>HYPERLINK("http://141.218.60.56/~jnz1568/getInfo.php?workbook=06_02.xlsx&amp;sheet=A0&amp;row=269&amp;col=7&amp;number=&amp;sourceID=34","")</f>
        <v/>
      </c>
      <c r="H269" s="4" t="str">
        <f>HYPERLINK("http://141.218.60.56/~jnz1568/getInfo.php?workbook=06_02.xlsx&amp;sheet=A0&amp;row=269&amp;col=8&amp;number=&amp;sourceID=34","")</f>
        <v/>
      </c>
      <c r="I269" s="4" t="str">
        <f>HYPERLINK("http://141.218.60.56/~jnz1568/getInfo.php?workbook=06_02.xlsx&amp;sheet=A0&amp;row=269&amp;col=9&amp;number=&amp;sourceID=34","")</f>
        <v/>
      </c>
      <c r="J269" s="4" t="str">
        <f>HYPERLINK("http://141.218.60.56/~jnz1568/getInfo.php?workbook=06_02.xlsx&amp;sheet=A0&amp;row=269&amp;col=10&amp;number=&amp;sourceID=34","")</f>
        <v/>
      </c>
      <c r="K269" s="4" t="str">
        <f>HYPERLINK("http://141.218.60.56/~jnz1568/getInfo.php?workbook=06_02.xlsx&amp;sheet=A0&amp;row=269&amp;col=11&amp;number=2195000000&amp;sourceID=30","2195000000")</f>
        <v>2195000000</v>
      </c>
      <c r="L269" s="4" t="str">
        <f>HYPERLINK("http://141.218.60.56/~jnz1568/getInfo.php?workbook=06_02.xlsx&amp;sheet=A0&amp;row=269&amp;col=12&amp;number=&amp;sourceID=30","")</f>
        <v/>
      </c>
      <c r="M269" s="4" t="str">
        <f>HYPERLINK("http://141.218.60.56/~jnz1568/getInfo.php?workbook=06_02.xlsx&amp;sheet=A0&amp;row=269&amp;col=13&amp;number=&amp;sourceID=30","")</f>
        <v/>
      </c>
      <c r="N269" s="4" t="str">
        <f>HYPERLINK("http://141.218.60.56/~jnz1568/getInfo.php?workbook=06_02.xlsx&amp;sheet=A0&amp;row=269&amp;col=14&amp;number=1.346&amp;sourceID=30","1.346")</f>
        <v>1.346</v>
      </c>
      <c r="O269" s="4" t="str">
        <f>HYPERLINK("http://141.218.60.56/~jnz1568/getInfo.php?workbook=06_02.xlsx&amp;sheet=A0&amp;row=269&amp;col=15&amp;number=5411000000&amp;sourceID=32","5411000000")</f>
        <v>5411000000</v>
      </c>
      <c r="P269" s="4" t="str">
        <f>HYPERLINK("http://141.218.60.56/~jnz1568/getInfo.php?workbook=06_02.xlsx&amp;sheet=A0&amp;row=269&amp;col=16&amp;number=&amp;sourceID=32","")</f>
        <v/>
      </c>
      <c r="Q269" s="4" t="str">
        <f>HYPERLINK("http://141.218.60.56/~jnz1568/getInfo.php?workbook=06_02.xlsx&amp;sheet=A0&amp;row=269&amp;col=17&amp;number=&amp;sourceID=32","")</f>
        <v/>
      </c>
      <c r="R269" s="4" t="str">
        <f>HYPERLINK("http://141.218.60.56/~jnz1568/getInfo.php?workbook=06_02.xlsx&amp;sheet=A0&amp;row=269&amp;col=18&amp;number=0.2978&amp;sourceID=32","0.2978")</f>
        <v>0.2978</v>
      </c>
    </row>
    <row r="270" spans="1:18">
      <c r="A270" s="3">
        <v>6</v>
      </c>
      <c r="B270" s="3">
        <v>2</v>
      </c>
      <c r="C270" s="3">
        <v>26</v>
      </c>
      <c r="D270" s="3">
        <v>15</v>
      </c>
      <c r="E270" s="3">
        <f>((1/(INDEX(E0!J$4:J$52,C270,1)-INDEX(E0!J$4:J$52,D270,1))))*100000000</f>
        <v>0</v>
      </c>
      <c r="F270" s="4" t="str">
        <f>HYPERLINK("http://141.218.60.56/~jnz1568/getInfo.php?workbook=06_02.xlsx&amp;sheet=A0&amp;row=270&amp;col=6&amp;number=&amp;sourceID=27","")</f>
        <v/>
      </c>
      <c r="G270" s="4" t="str">
        <f>HYPERLINK("http://141.218.60.56/~jnz1568/getInfo.php?workbook=06_02.xlsx&amp;sheet=A0&amp;row=270&amp;col=7&amp;number=&amp;sourceID=34","")</f>
        <v/>
      </c>
      <c r="H270" s="4" t="str">
        <f>HYPERLINK("http://141.218.60.56/~jnz1568/getInfo.php?workbook=06_02.xlsx&amp;sheet=A0&amp;row=270&amp;col=8&amp;number=&amp;sourceID=34","")</f>
        <v/>
      </c>
      <c r="I270" s="4" t="str">
        <f>HYPERLINK("http://141.218.60.56/~jnz1568/getInfo.php?workbook=06_02.xlsx&amp;sheet=A0&amp;row=270&amp;col=9&amp;number=&amp;sourceID=34","")</f>
        <v/>
      </c>
      <c r="J270" s="4" t="str">
        <f>HYPERLINK("http://141.218.60.56/~jnz1568/getInfo.php?workbook=06_02.xlsx&amp;sheet=A0&amp;row=270&amp;col=10&amp;number=&amp;sourceID=34","")</f>
        <v/>
      </c>
      <c r="K270" s="4" t="str">
        <f>HYPERLINK("http://141.218.60.56/~jnz1568/getInfo.php?workbook=06_02.xlsx&amp;sheet=A0&amp;row=270&amp;col=11&amp;number=327000000&amp;sourceID=30","327000000")</f>
        <v>327000000</v>
      </c>
      <c r="L270" s="4" t="str">
        <f>HYPERLINK("http://141.218.60.56/~jnz1568/getInfo.php?workbook=06_02.xlsx&amp;sheet=A0&amp;row=270&amp;col=12&amp;number=&amp;sourceID=30","")</f>
        <v/>
      </c>
      <c r="M270" s="4" t="str">
        <f>HYPERLINK("http://141.218.60.56/~jnz1568/getInfo.php?workbook=06_02.xlsx&amp;sheet=A0&amp;row=270&amp;col=13&amp;number=&amp;sourceID=30","")</f>
        <v/>
      </c>
      <c r="N270" s="4" t="str">
        <f>HYPERLINK("http://141.218.60.56/~jnz1568/getInfo.php?workbook=06_02.xlsx&amp;sheet=A0&amp;row=270&amp;col=14&amp;number=0.472&amp;sourceID=30","0.472")</f>
        <v>0.472</v>
      </c>
      <c r="O270" s="4" t="str">
        <f>HYPERLINK("http://141.218.60.56/~jnz1568/getInfo.php?workbook=06_02.xlsx&amp;sheet=A0&amp;row=270&amp;col=15&amp;number=613500000&amp;sourceID=32","613500000")</f>
        <v>613500000</v>
      </c>
      <c r="P270" s="4" t="str">
        <f>HYPERLINK("http://141.218.60.56/~jnz1568/getInfo.php?workbook=06_02.xlsx&amp;sheet=A0&amp;row=270&amp;col=16&amp;number=&amp;sourceID=32","")</f>
        <v/>
      </c>
      <c r="Q270" s="4" t="str">
        <f>HYPERLINK("http://141.218.60.56/~jnz1568/getInfo.php?workbook=06_02.xlsx&amp;sheet=A0&amp;row=270&amp;col=17&amp;number=&amp;sourceID=32","")</f>
        <v/>
      </c>
      <c r="R270" s="4" t="str">
        <f>HYPERLINK("http://141.218.60.56/~jnz1568/getInfo.php?workbook=06_02.xlsx&amp;sheet=A0&amp;row=270&amp;col=18&amp;number=0.002306&amp;sourceID=32","0.002306")</f>
        <v>0.002306</v>
      </c>
    </row>
    <row r="271" spans="1:18">
      <c r="A271" s="3">
        <v>6</v>
      </c>
      <c r="B271" s="3">
        <v>2</v>
      </c>
      <c r="C271" s="3">
        <v>26</v>
      </c>
      <c r="D271" s="3">
        <v>16</v>
      </c>
      <c r="E271" s="3">
        <f>((1/(INDEX(E0!J$4:J$52,C271,1)-INDEX(E0!J$4:J$52,D271,1))))*100000000</f>
        <v>0</v>
      </c>
      <c r="F271" s="4" t="str">
        <f>HYPERLINK("http://141.218.60.56/~jnz1568/getInfo.php?workbook=06_02.xlsx&amp;sheet=A0&amp;row=271&amp;col=6&amp;number=&amp;sourceID=27","")</f>
        <v/>
      </c>
      <c r="G271" s="4" t="str">
        <f>HYPERLINK("http://141.218.60.56/~jnz1568/getInfo.php?workbook=06_02.xlsx&amp;sheet=A0&amp;row=271&amp;col=7&amp;number=&amp;sourceID=34","")</f>
        <v/>
      </c>
      <c r="H271" s="4" t="str">
        <f>HYPERLINK("http://141.218.60.56/~jnz1568/getInfo.php?workbook=06_02.xlsx&amp;sheet=A0&amp;row=271&amp;col=8&amp;number=&amp;sourceID=34","")</f>
        <v/>
      </c>
      <c r="I271" s="4" t="str">
        <f>HYPERLINK("http://141.218.60.56/~jnz1568/getInfo.php?workbook=06_02.xlsx&amp;sheet=A0&amp;row=271&amp;col=9&amp;number=&amp;sourceID=34","")</f>
        <v/>
      </c>
      <c r="J271" s="4" t="str">
        <f>HYPERLINK("http://141.218.60.56/~jnz1568/getInfo.php?workbook=06_02.xlsx&amp;sheet=A0&amp;row=271&amp;col=10&amp;number=&amp;sourceID=34","")</f>
        <v/>
      </c>
      <c r="K271" s="4" t="str">
        <f>HYPERLINK("http://141.218.60.56/~jnz1568/getInfo.php?workbook=06_02.xlsx&amp;sheet=A0&amp;row=271&amp;col=11&amp;number=6101000000&amp;sourceID=30","6101000000")</f>
        <v>6101000000</v>
      </c>
      <c r="L271" s="4" t="str">
        <f>HYPERLINK("http://141.218.60.56/~jnz1568/getInfo.php?workbook=06_02.xlsx&amp;sheet=A0&amp;row=271&amp;col=12&amp;number=&amp;sourceID=30","")</f>
        <v/>
      </c>
      <c r="M271" s="4" t="str">
        <f>HYPERLINK("http://141.218.60.56/~jnz1568/getInfo.php?workbook=06_02.xlsx&amp;sheet=A0&amp;row=271&amp;col=13&amp;number=&amp;sourceID=30","")</f>
        <v/>
      </c>
      <c r="N271" s="4" t="str">
        <f>HYPERLINK("http://141.218.60.56/~jnz1568/getInfo.php?workbook=06_02.xlsx&amp;sheet=A0&amp;row=271&amp;col=14&amp;number=1.522&amp;sourceID=30","1.522")</f>
        <v>1.522</v>
      </c>
      <c r="O271" s="4" t="str">
        <f>HYPERLINK("http://141.218.60.56/~jnz1568/getInfo.php?workbook=06_02.xlsx&amp;sheet=A0&amp;row=271&amp;col=15&amp;number=2607000000&amp;sourceID=32","2607000000")</f>
        <v>2607000000</v>
      </c>
      <c r="P271" s="4" t="str">
        <f>HYPERLINK("http://141.218.60.56/~jnz1568/getInfo.php?workbook=06_02.xlsx&amp;sheet=A0&amp;row=271&amp;col=16&amp;number=&amp;sourceID=32","")</f>
        <v/>
      </c>
      <c r="Q271" s="4" t="str">
        <f>HYPERLINK("http://141.218.60.56/~jnz1568/getInfo.php?workbook=06_02.xlsx&amp;sheet=A0&amp;row=271&amp;col=17&amp;number=&amp;sourceID=32","")</f>
        <v/>
      </c>
      <c r="R271" s="4" t="str">
        <f>HYPERLINK("http://141.218.60.56/~jnz1568/getInfo.php?workbook=06_02.xlsx&amp;sheet=A0&amp;row=271&amp;col=18&amp;number=0.05946&amp;sourceID=32","0.05946")</f>
        <v>0.05946</v>
      </c>
    </row>
    <row r="272" spans="1:18">
      <c r="A272" s="3">
        <v>6</v>
      </c>
      <c r="B272" s="3">
        <v>2</v>
      </c>
      <c r="C272" s="3">
        <v>26</v>
      </c>
      <c r="D272" s="3">
        <v>17</v>
      </c>
      <c r="E272" s="3">
        <f>((1/(INDEX(E0!J$4:J$52,C272,1)-INDEX(E0!J$4:J$52,D272,1))))*100000000</f>
        <v>0</v>
      </c>
      <c r="F272" s="4" t="str">
        <f>HYPERLINK("http://141.218.60.56/~jnz1568/getInfo.php?workbook=06_02.xlsx&amp;sheet=A0&amp;row=272&amp;col=6&amp;number=&amp;sourceID=27","")</f>
        <v/>
      </c>
      <c r="G272" s="4" t="str">
        <f>HYPERLINK("http://141.218.60.56/~jnz1568/getInfo.php?workbook=06_02.xlsx&amp;sheet=A0&amp;row=272&amp;col=7&amp;number=&amp;sourceID=34","")</f>
        <v/>
      </c>
      <c r="H272" s="4" t="str">
        <f>HYPERLINK("http://141.218.60.56/~jnz1568/getInfo.php?workbook=06_02.xlsx&amp;sheet=A0&amp;row=272&amp;col=8&amp;number=&amp;sourceID=34","")</f>
        <v/>
      </c>
      <c r="I272" s="4" t="str">
        <f>HYPERLINK("http://141.218.60.56/~jnz1568/getInfo.php?workbook=06_02.xlsx&amp;sheet=A0&amp;row=272&amp;col=9&amp;number=&amp;sourceID=34","")</f>
        <v/>
      </c>
      <c r="J272" s="4" t="str">
        <f>HYPERLINK("http://141.218.60.56/~jnz1568/getInfo.php?workbook=06_02.xlsx&amp;sheet=A0&amp;row=272&amp;col=10&amp;number=&amp;sourceID=34","")</f>
        <v/>
      </c>
      <c r="K272" s="4" t="str">
        <f>HYPERLINK("http://141.218.60.56/~jnz1568/getInfo.php?workbook=06_02.xlsx&amp;sheet=A0&amp;row=272&amp;col=11&amp;number=&amp;sourceID=30","")</f>
        <v/>
      </c>
      <c r="L272" s="4" t="str">
        <f>HYPERLINK("http://141.218.60.56/~jnz1568/getInfo.php?workbook=06_02.xlsx&amp;sheet=A0&amp;row=272&amp;col=12&amp;number=56390&amp;sourceID=30","56390")</f>
        <v>56390</v>
      </c>
      <c r="M272" s="4" t="str">
        <f>HYPERLINK("http://141.218.60.56/~jnz1568/getInfo.php?workbook=06_02.xlsx&amp;sheet=A0&amp;row=272&amp;col=13&amp;number=&amp;sourceID=30","")</f>
        <v/>
      </c>
      <c r="N272" s="4" t="str">
        <f>HYPERLINK("http://141.218.60.56/~jnz1568/getInfo.php?workbook=06_02.xlsx&amp;sheet=A0&amp;row=272&amp;col=14&amp;number=&amp;sourceID=30","")</f>
        <v/>
      </c>
      <c r="O272" s="4" t="str">
        <f>HYPERLINK("http://141.218.60.56/~jnz1568/getInfo.php?workbook=06_02.xlsx&amp;sheet=A0&amp;row=272&amp;col=15&amp;number=&amp;sourceID=32","")</f>
        <v/>
      </c>
      <c r="P272" s="4" t="str">
        <f>HYPERLINK("http://141.218.60.56/~jnz1568/getInfo.php?workbook=06_02.xlsx&amp;sheet=A0&amp;row=272&amp;col=16&amp;number=30770&amp;sourceID=32","30770")</f>
        <v>30770</v>
      </c>
      <c r="Q272" s="4" t="str">
        <f>HYPERLINK("http://141.218.60.56/~jnz1568/getInfo.php?workbook=06_02.xlsx&amp;sheet=A0&amp;row=272&amp;col=17&amp;number=&amp;sourceID=32","")</f>
        <v/>
      </c>
      <c r="R272" s="4" t="str">
        <f>HYPERLINK("http://141.218.60.56/~jnz1568/getInfo.php?workbook=06_02.xlsx&amp;sheet=A0&amp;row=272&amp;col=18&amp;number=&amp;sourceID=32","")</f>
        <v/>
      </c>
    </row>
    <row r="273" spans="1:18">
      <c r="A273" s="3">
        <v>6</v>
      </c>
      <c r="B273" s="3">
        <v>2</v>
      </c>
      <c r="C273" s="3">
        <v>26</v>
      </c>
      <c r="D273" s="3">
        <v>18</v>
      </c>
      <c r="E273" s="3">
        <f>((1/(INDEX(E0!J$4:J$52,C273,1)-INDEX(E0!J$4:J$52,D273,1))))*100000000</f>
        <v>0</v>
      </c>
      <c r="F273" s="4" t="str">
        <f>HYPERLINK("http://141.218.60.56/~jnz1568/getInfo.php?workbook=06_02.xlsx&amp;sheet=A0&amp;row=273&amp;col=6&amp;number=&amp;sourceID=27","")</f>
        <v/>
      </c>
      <c r="G273" s="4" t="str">
        <f>HYPERLINK("http://141.218.60.56/~jnz1568/getInfo.php?workbook=06_02.xlsx&amp;sheet=A0&amp;row=273&amp;col=7&amp;number=&amp;sourceID=34","")</f>
        <v/>
      </c>
      <c r="H273" s="4" t="str">
        <f>HYPERLINK("http://141.218.60.56/~jnz1568/getInfo.php?workbook=06_02.xlsx&amp;sheet=A0&amp;row=273&amp;col=8&amp;number=&amp;sourceID=34","")</f>
        <v/>
      </c>
      <c r="I273" s="4" t="str">
        <f>HYPERLINK("http://141.218.60.56/~jnz1568/getInfo.php?workbook=06_02.xlsx&amp;sheet=A0&amp;row=273&amp;col=9&amp;number=&amp;sourceID=34","")</f>
        <v/>
      </c>
      <c r="J273" s="4" t="str">
        <f>HYPERLINK("http://141.218.60.56/~jnz1568/getInfo.php?workbook=06_02.xlsx&amp;sheet=A0&amp;row=273&amp;col=10&amp;number=&amp;sourceID=34","")</f>
        <v/>
      </c>
      <c r="K273" s="4" t="str">
        <f>HYPERLINK("http://141.218.60.56/~jnz1568/getInfo.php?workbook=06_02.xlsx&amp;sheet=A0&amp;row=273&amp;col=11&amp;number=&amp;sourceID=30","")</f>
        <v/>
      </c>
      <c r="L273" s="4" t="str">
        <f>HYPERLINK("http://141.218.60.56/~jnz1568/getInfo.php?workbook=06_02.xlsx&amp;sheet=A0&amp;row=273&amp;col=12&amp;number=&amp;sourceID=30","")</f>
        <v/>
      </c>
      <c r="M273" s="4" t="str">
        <f>HYPERLINK("http://141.218.60.56/~jnz1568/getInfo.php?workbook=06_02.xlsx&amp;sheet=A0&amp;row=273&amp;col=13&amp;number=&amp;sourceID=30","")</f>
        <v/>
      </c>
      <c r="N273" s="4" t="str">
        <f>HYPERLINK("http://141.218.60.56/~jnz1568/getInfo.php?workbook=06_02.xlsx&amp;sheet=A0&amp;row=273&amp;col=14&amp;number=4e-15&amp;sourceID=30","4e-15")</f>
        <v>4e-15</v>
      </c>
      <c r="O273" s="4" t="str">
        <f>HYPERLINK("http://141.218.60.56/~jnz1568/getInfo.php?workbook=06_02.xlsx&amp;sheet=A0&amp;row=273&amp;col=15&amp;number=&amp;sourceID=32","")</f>
        <v/>
      </c>
      <c r="P273" s="4" t="str">
        <f>HYPERLINK("http://141.218.60.56/~jnz1568/getInfo.php?workbook=06_02.xlsx&amp;sheet=A0&amp;row=273&amp;col=16&amp;number=&amp;sourceID=32","")</f>
        <v/>
      </c>
      <c r="Q273" s="4" t="str">
        <f>HYPERLINK("http://141.218.60.56/~jnz1568/getInfo.php?workbook=06_02.xlsx&amp;sheet=A0&amp;row=273&amp;col=17&amp;number=&amp;sourceID=32","")</f>
        <v/>
      </c>
      <c r="R273" s="4" t="str">
        <f>HYPERLINK("http://141.218.60.56/~jnz1568/getInfo.php?workbook=06_02.xlsx&amp;sheet=A0&amp;row=273&amp;col=18&amp;number=0&amp;sourceID=32","0")</f>
        <v>0</v>
      </c>
    </row>
    <row r="274" spans="1:18">
      <c r="A274" s="3">
        <v>6</v>
      </c>
      <c r="B274" s="3">
        <v>2</v>
      </c>
      <c r="C274" s="3">
        <v>26</v>
      </c>
      <c r="D274" s="3">
        <v>21</v>
      </c>
      <c r="E274" s="3">
        <f>((1/(INDEX(E0!J$4:J$52,C274,1)-INDEX(E0!J$4:J$52,D274,1))))*100000000</f>
        <v>0</v>
      </c>
      <c r="F274" s="4" t="str">
        <f>HYPERLINK("http://141.218.60.56/~jnz1568/getInfo.php?workbook=06_02.xlsx&amp;sheet=A0&amp;row=274&amp;col=6&amp;number=&amp;sourceID=27","")</f>
        <v/>
      </c>
      <c r="G274" s="4" t="str">
        <f>HYPERLINK("http://141.218.60.56/~jnz1568/getInfo.php?workbook=06_02.xlsx&amp;sheet=A0&amp;row=274&amp;col=7&amp;number=&amp;sourceID=34","")</f>
        <v/>
      </c>
      <c r="H274" s="4" t="str">
        <f>HYPERLINK("http://141.218.60.56/~jnz1568/getInfo.php?workbook=06_02.xlsx&amp;sheet=A0&amp;row=274&amp;col=8&amp;number=&amp;sourceID=34","")</f>
        <v/>
      </c>
      <c r="I274" s="4" t="str">
        <f>HYPERLINK("http://141.218.60.56/~jnz1568/getInfo.php?workbook=06_02.xlsx&amp;sheet=A0&amp;row=274&amp;col=9&amp;number=&amp;sourceID=34","")</f>
        <v/>
      </c>
      <c r="J274" s="4" t="str">
        <f>HYPERLINK("http://141.218.60.56/~jnz1568/getInfo.php?workbook=06_02.xlsx&amp;sheet=A0&amp;row=274&amp;col=10&amp;number=&amp;sourceID=34","")</f>
        <v/>
      </c>
      <c r="K274" s="4" t="str">
        <f>HYPERLINK("http://141.218.60.56/~jnz1568/getInfo.php?workbook=06_02.xlsx&amp;sheet=A0&amp;row=274&amp;col=11&amp;number=&amp;sourceID=30","")</f>
        <v/>
      </c>
      <c r="L274" s="4" t="str">
        <f>HYPERLINK("http://141.218.60.56/~jnz1568/getInfo.php?workbook=06_02.xlsx&amp;sheet=A0&amp;row=274&amp;col=12&amp;number=0.0001222&amp;sourceID=30","0.0001222")</f>
        <v>0.0001222</v>
      </c>
      <c r="M274" s="4" t="str">
        <f>HYPERLINK("http://141.218.60.56/~jnz1568/getInfo.php?workbook=06_02.xlsx&amp;sheet=A0&amp;row=274&amp;col=13&amp;number=&amp;sourceID=30","")</f>
        <v/>
      </c>
      <c r="N274" s="4" t="str">
        <f>HYPERLINK("http://141.218.60.56/~jnz1568/getInfo.php?workbook=06_02.xlsx&amp;sheet=A0&amp;row=274&amp;col=14&amp;number=&amp;sourceID=30","")</f>
        <v/>
      </c>
      <c r="O274" s="4" t="str">
        <f>HYPERLINK("http://141.218.60.56/~jnz1568/getInfo.php?workbook=06_02.xlsx&amp;sheet=A0&amp;row=274&amp;col=15&amp;number=&amp;sourceID=32","")</f>
        <v/>
      </c>
      <c r="P274" s="4" t="str">
        <f>HYPERLINK("http://141.218.60.56/~jnz1568/getInfo.php?workbook=06_02.xlsx&amp;sheet=A0&amp;row=274&amp;col=16&amp;number=0.0003&amp;sourceID=32","0.0003")</f>
        <v>0.0003</v>
      </c>
      <c r="Q274" s="4" t="str">
        <f>HYPERLINK("http://141.218.60.56/~jnz1568/getInfo.php?workbook=06_02.xlsx&amp;sheet=A0&amp;row=274&amp;col=17&amp;number=&amp;sourceID=32","")</f>
        <v/>
      </c>
      <c r="R274" s="4" t="str">
        <f>HYPERLINK("http://141.218.60.56/~jnz1568/getInfo.php?workbook=06_02.xlsx&amp;sheet=A0&amp;row=274&amp;col=18&amp;number=&amp;sourceID=32","")</f>
        <v/>
      </c>
    </row>
    <row r="275" spans="1:18">
      <c r="A275" s="3">
        <v>6</v>
      </c>
      <c r="B275" s="3">
        <v>2</v>
      </c>
      <c r="C275" s="3">
        <v>26</v>
      </c>
      <c r="D275" s="3">
        <v>22</v>
      </c>
      <c r="E275" s="3">
        <f>((1/(INDEX(E0!J$4:J$52,C275,1)-INDEX(E0!J$4:J$52,D275,1))))*100000000</f>
        <v>0</v>
      </c>
      <c r="F275" s="4" t="str">
        <f>HYPERLINK("http://141.218.60.56/~jnz1568/getInfo.php?workbook=06_02.xlsx&amp;sheet=A0&amp;row=275&amp;col=6&amp;number=&amp;sourceID=27","")</f>
        <v/>
      </c>
      <c r="G275" s="4" t="str">
        <f>HYPERLINK("http://141.218.60.56/~jnz1568/getInfo.php?workbook=06_02.xlsx&amp;sheet=A0&amp;row=275&amp;col=7&amp;number=&amp;sourceID=34","")</f>
        <v/>
      </c>
      <c r="H275" s="4" t="str">
        <f>HYPERLINK("http://141.218.60.56/~jnz1568/getInfo.php?workbook=06_02.xlsx&amp;sheet=A0&amp;row=275&amp;col=8&amp;number=&amp;sourceID=34","")</f>
        <v/>
      </c>
      <c r="I275" s="4" t="str">
        <f>HYPERLINK("http://141.218.60.56/~jnz1568/getInfo.php?workbook=06_02.xlsx&amp;sheet=A0&amp;row=275&amp;col=9&amp;number=&amp;sourceID=34","")</f>
        <v/>
      </c>
      <c r="J275" s="4" t="str">
        <f>HYPERLINK("http://141.218.60.56/~jnz1568/getInfo.php?workbook=06_02.xlsx&amp;sheet=A0&amp;row=275&amp;col=10&amp;number=&amp;sourceID=34","")</f>
        <v/>
      </c>
      <c r="K275" s="4" t="str">
        <f>HYPERLINK("http://141.218.60.56/~jnz1568/getInfo.php?workbook=06_02.xlsx&amp;sheet=A0&amp;row=275&amp;col=11&amp;number=&amp;sourceID=30","")</f>
        <v/>
      </c>
      <c r="L275" s="4" t="str">
        <f>HYPERLINK("http://141.218.60.56/~jnz1568/getInfo.php?workbook=06_02.xlsx&amp;sheet=A0&amp;row=275&amp;col=12&amp;number=6.011e-05&amp;sourceID=30","6.011e-05")</f>
        <v>6.011e-05</v>
      </c>
      <c r="M275" s="4" t="str">
        <f>HYPERLINK("http://141.218.60.56/~jnz1568/getInfo.php?workbook=06_02.xlsx&amp;sheet=A0&amp;row=275&amp;col=13&amp;number=3.231e-11&amp;sourceID=30","3.231e-11")</f>
        <v>3.231e-11</v>
      </c>
      <c r="N275" s="4" t="str">
        <f>HYPERLINK("http://141.218.60.56/~jnz1568/getInfo.php?workbook=06_02.xlsx&amp;sheet=A0&amp;row=275&amp;col=14&amp;number=&amp;sourceID=30","")</f>
        <v/>
      </c>
      <c r="O275" s="4" t="str">
        <f>HYPERLINK("http://141.218.60.56/~jnz1568/getInfo.php?workbook=06_02.xlsx&amp;sheet=A0&amp;row=275&amp;col=15&amp;number=&amp;sourceID=32","")</f>
        <v/>
      </c>
      <c r="P275" s="4" t="str">
        <f>HYPERLINK("http://141.218.60.56/~jnz1568/getInfo.php?workbook=06_02.xlsx&amp;sheet=A0&amp;row=275&amp;col=16&amp;number=0.0001433&amp;sourceID=32","0.0001433")</f>
        <v>0.0001433</v>
      </c>
      <c r="Q275" s="4" t="str">
        <f>HYPERLINK("http://141.218.60.56/~jnz1568/getInfo.php?workbook=06_02.xlsx&amp;sheet=A0&amp;row=275&amp;col=17&amp;number=1.349e-10&amp;sourceID=32","1.349e-10")</f>
        <v>1.349e-10</v>
      </c>
      <c r="R275" s="4" t="str">
        <f>HYPERLINK("http://141.218.60.56/~jnz1568/getInfo.php?workbook=06_02.xlsx&amp;sheet=A0&amp;row=275&amp;col=18&amp;number=&amp;sourceID=32","")</f>
        <v/>
      </c>
    </row>
    <row r="276" spans="1:18">
      <c r="A276" s="3">
        <v>6</v>
      </c>
      <c r="B276" s="3">
        <v>2</v>
      </c>
      <c r="C276" s="3">
        <v>26</v>
      </c>
      <c r="D276" s="3">
        <v>23</v>
      </c>
      <c r="E276" s="3">
        <f>((1/(INDEX(E0!J$4:J$52,C276,1)-INDEX(E0!J$4:J$52,D276,1))))*100000000</f>
        <v>0</v>
      </c>
      <c r="F276" s="4" t="str">
        <f>HYPERLINK("http://141.218.60.56/~jnz1568/getInfo.php?workbook=06_02.xlsx&amp;sheet=A0&amp;row=276&amp;col=6&amp;number=&amp;sourceID=27","")</f>
        <v/>
      </c>
      <c r="G276" s="4" t="str">
        <f>HYPERLINK("http://141.218.60.56/~jnz1568/getInfo.php?workbook=06_02.xlsx&amp;sheet=A0&amp;row=276&amp;col=7&amp;number=&amp;sourceID=34","")</f>
        <v/>
      </c>
      <c r="H276" s="4" t="str">
        <f>HYPERLINK("http://141.218.60.56/~jnz1568/getInfo.php?workbook=06_02.xlsx&amp;sheet=A0&amp;row=276&amp;col=8&amp;number=&amp;sourceID=34","")</f>
        <v/>
      </c>
      <c r="I276" s="4" t="str">
        <f>HYPERLINK("http://141.218.60.56/~jnz1568/getInfo.php?workbook=06_02.xlsx&amp;sheet=A0&amp;row=276&amp;col=9&amp;number=&amp;sourceID=34","")</f>
        <v/>
      </c>
      <c r="J276" s="4" t="str">
        <f>HYPERLINK("http://141.218.60.56/~jnz1568/getInfo.php?workbook=06_02.xlsx&amp;sheet=A0&amp;row=276&amp;col=10&amp;number=&amp;sourceID=34","")</f>
        <v/>
      </c>
      <c r="K276" s="4" t="str">
        <f>HYPERLINK("http://141.218.60.56/~jnz1568/getInfo.php?workbook=06_02.xlsx&amp;sheet=A0&amp;row=276&amp;col=11&amp;number=&amp;sourceID=30","")</f>
        <v/>
      </c>
      <c r="L276" s="4" t="str">
        <f>HYPERLINK("http://141.218.60.56/~jnz1568/getInfo.php?workbook=06_02.xlsx&amp;sheet=A0&amp;row=276&amp;col=12&amp;number=&amp;sourceID=30","")</f>
        <v/>
      </c>
      <c r="M276" s="4" t="str">
        <f>HYPERLINK("http://141.218.60.56/~jnz1568/getInfo.php?workbook=06_02.xlsx&amp;sheet=A0&amp;row=276&amp;col=13&amp;number=&amp;sourceID=30","")</f>
        <v/>
      </c>
      <c r="N276" s="4" t="str">
        <f>HYPERLINK("http://141.218.60.56/~jnz1568/getInfo.php?workbook=06_02.xlsx&amp;sheet=A0&amp;row=276&amp;col=14&amp;number=0&amp;sourceID=30","0")</f>
        <v>0</v>
      </c>
      <c r="O276" s="4" t="str">
        <f>HYPERLINK("http://141.218.60.56/~jnz1568/getInfo.php?workbook=06_02.xlsx&amp;sheet=A0&amp;row=276&amp;col=15&amp;number=&amp;sourceID=32","")</f>
        <v/>
      </c>
      <c r="P276" s="4" t="str">
        <f>HYPERLINK("http://141.218.60.56/~jnz1568/getInfo.php?workbook=06_02.xlsx&amp;sheet=A0&amp;row=276&amp;col=16&amp;number=&amp;sourceID=32","")</f>
        <v/>
      </c>
      <c r="Q276" s="4" t="str">
        <f>HYPERLINK("http://141.218.60.56/~jnz1568/getInfo.php?workbook=06_02.xlsx&amp;sheet=A0&amp;row=276&amp;col=17&amp;number=&amp;sourceID=32","")</f>
        <v/>
      </c>
      <c r="R276" s="4" t="str">
        <f>HYPERLINK("http://141.218.60.56/~jnz1568/getInfo.php?workbook=06_02.xlsx&amp;sheet=A0&amp;row=276&amp;col=18&amp;number=0&amp;sourceID=32","0")</f>
        <v>0</v>
      </c>
    </row>
    <row r="277" spans="1:18">
      <c r="A277" s="3">
        <v>6</v>
      </c>
      <c r="B277" s="3">
        <v>2</v>
      </c>
      <c r="C277" s="3">
        <v>26</v>
      </c>
      <c r="D277" s="3">
        <v>24</v>
      </c>
      <c r="E277" s="3">
        <f>((1/(INDEX(E0!J$4:J$52,C277,1)-INDEX(E0!J$4:J$52,D277,1))))*100000000</f>
        <v>0</v>
      </c>
      <c r="F277" s="4" t="str">
        <f>HYPERLINK("http://141.218.60.56/~jnz1568/getInfo.php?workbook=06_02.xlsx&amp;sheet=A0&amp;row=277&amp;col=6&amp;number=&amp;sourceID=27","")</f>
        <v/>
      </c>
      <c r="G277" s="4" t="str">
        <f>HYPERLINK("http://141.218.60.56/~jnz1568/getInfo.php?workbook=06_02.xlsx&amp;sheet=A0&amp;row=277&amp;col=7&amp;number=&amp;sourceID=34","")</f>
        <v/>
      </c>
      <c r="H277" s="4" t="str">
        <f>HYPERLINK("http://141.218.60.56/~jnz1568/getInfo.php?workbook=06_02.xlsx&amp;sheet=A0&amp;row=277&amp;col=8&amp;number=&amp;sourceID=34","")</f>
        <v/>
      </c>
      <c r="I277" s="4" t="str">
        <f>HYPERLINK("http://141.218.60.56/~jnz1568/getInfo.php?workbook=06_02.xlsx&amp;sheet=A0&amp;row=277&amp;col=9&amp;number=&amp;sourceID=34","")</f>
        <v/>
      </c>
      <c r="J277" s="4" t="str">
        <f>HYPERLINK("http://141.218.60.56/~jnz1568/getInfo.php?workbook=06_02.xlsx&amp;sheet=A0&amp;row=277&amp;col=10&amp;number=&amp;sourceID=34","")</f>
        <v/>
      </c>
      <c r="K277" s="4" t="str">
        <f>HYPERLINK("http://141.218.60.56/~jnz1568/getInfo.php?workbook=06_02.xlsx&amp;sheet=A0&amp;row=277&amp;col=11&amp;number=3.177&amp;sourceID=30","3.177")</f>
        <v>3.177</v>
      </c>
      <c r="L277" s="4" t="str">
        <f>HYPERLINK("http://141.218.60.56/~jnz1568/getInfo.php?workbook=06_02.xlsx&amp;sheet=A0&amp;row=277&amp;col=12&amp;number=&amp;sourceID=30","")</f>
        <v/>
      </c>
      <c r="M277" s="4" t="str">
        <f>HYPERLINK("http://141.218.60.56/~jnz1568/getInfo.php?workbook=06_02.xlsx&amp;sheet=A0&amp;row=277&amp;col=13&amp;number=&amp;sourceID=30","")</f>
        <v/>
      </c>
      <c r="N277" s="4" t="str">
        <f>HYPERLINK("http://141.218.60.56/~jnz1568/getInfo.php?workbook=06_02.xlsx&amp;sheet=A0&amp;row=277&amp;col=14&amp;number=1e-15&amp;sourceID=30","1e-15")</f>
        <v>1e-15</v>
      </c>
      <c r="O277" s="4" t="str">
        <f>HYPERLINK("http://141.218.60.56/~jnz1568/getInfo.php?workbook=06_02.xlsx&amp;sheet=A0&amp;row=277&amp;col=15&amp;number=12.09&amp;sourceID=32","12.09")</f>
        <v>12.09</v>
      </c>
      <c r="P277" s="4" t="str">
        <f>HYPERLINK("http://141.218.60.56/~jnz1568/getInfo.php?workbook=06_02.xlsx&amp;sheet=A0&amp;row=277&amp;col=16&amp;number=&amp;sourceID=32","")</f>
        <v/>
      </c>
      <c r="Q277" s="4" t="str">
        <f>HYPERLINK("http://141.218.60.56/~jnz1568/getInfo.php?workbook=06_02.xlsx&amp;sheet=A0&amp;row=277&amp;col=17&amp;number=&amp;sourceID=32","")</f>
        <v/>
      </c>
      <c r="R277" s="4" t="str">
        <f>HYPERLINK("http://141.218.60.56/~jnz1568/getInfo.php?workbook=06_02.xlsx&amp;sheet=A0&amp;row=277&amp;col=18&amp;number=1e-15&amp;sourceID=32","1e-15")</f>
        <v>1e-15</v>
      </c>
    </row>
    <row r="278" spans="1:18">
      <c r="A278" s="3">
        <v>6</v>
      </c>
      <c r="B278" s="3">
        <v>2</v>
      </c>
      <c r="C278" s="3">
        <v>26</v>
      </c>
      <c r="D278" s="3">
        <v>25</v>
      </c>
      <c r="E278" s="3">
        <f>((1/(INDEX(E0!J$4:J$52,C278,1)-INDEX(E0!J$4:J$52,D278,1))))*100000000</f>
        <v>0</v>
      </c>
      <c r="F278" s="4" t="str">
        <f>HYPERLINK("http://141.218.60.56/~jnz1568/getInfo.php?workbook=06_02.xlsx&amp;sheet=A0&amp;row=278&amp;col=6&amp;number=&amp;sourceID=27","")</f>
        <v/>
      </c>
      <c r="G278" s="4" t="str">
        <f>HYPERLINK("http://141.218.60.56/~jnz1568/getInfo.php?workbook=06_02.xlsx&amp;sheet=A0&amp;row=278&amp;col=7&amp;number=&amp;sourceID=34","")</f>
        <v/>
      </c>
      <c r="H278" s="4" t="str">
        <f>HYPERLINK("http://141.218.60.56/~jnz1568/getInfo.php?workbook=06_02.xlsx&amp;sheet=A0&amp;row=278&amp;col=8&amp;number=&amp;sourceID=34","")</f>
        <v/>
      </c>
      <c r="I278" s="4" t="str">
        <f>HYPERLINK("http://141.218.60.56/~jnz1568/getInfo.php?workbook=06_02.xlsx&amp;sheet=A0&amp;row=278&amp;col=9&amp;number=&amp;sourceID=34","")</f>
        <v/>
      </c>
      <c r="J278" s="4" t="str">
        <f>HYPERLINK("http://141.218.60.56/~jnz1568/getInfo.php?workbook=06_02.xlsx&amp;sheet=A0&amp;row=278&amp;col=10&amp;number=&amp;sourceID=34","")</f>
        <v/>
      </c>
      <c r="K278" s="4" t="str">
        <f>HYPERLINK("http://141.218.60.56/~jnz1568/getInfo.php?workbook=06_02.xlsx&amp;sheet=A0&amp;row=278&amp;col=11&amp;number=0.3996&amp;sourceID=30","0.3996")</f>
        <v>0.3996</v>
      </c>
      <c r="L278" s="4" t="str">
        <f>HYPERLINK("http://141.218.60.56/~jnz1568/getInfo.php?workbook=06_02.xlsx&amp;sheet=A0&amp;row=278&amp;col=12&amp;number=&amp;sourceID=30","")</f>
        <v/>
      </c>
      <c r="M278" s="4" t="str">
        <f>HYPERLINK("http://141.218.60.56/~jnz1568/getInfo.php?workbook=06_02.xlsx&amp;sheet=A0&amp;row=278&amp;col=13&amp;number=&amp;sourceID=30","")</f>
        <v/>
      </c>
      <c r="N278" s="4" t="str">
        <f>HYPERLINK("http://141.218.60.56/~jnz1568/getInfo.php?workbook=06_02.xlsx&amp;sheet=A0&amp;row=278&amp;col=14&amp;number=0&amp;sourceID=30","0")</f>
        <v>0</v>
      </c>
      <c r="O278" s="4" t="str">
        <f>HYPERLINK("http://141.218.60.56/~jnz1568/getInfo.php?workbook=06_02.xlsx&amp;sheet=A0&amp;row=278&amp;col=15&amp;number=1.251&amp;sourceID=32","1.251")</f>
        <v>1.251</v>
      </c>
      <c r="P278" s="4" t="str">
        <f>HYPERLINK("http://141.218.60.56/~jnz1568/getInfo.php?workbook=06_02.xlsx&amp;sheet=A0&amp;row=278&amp;col=16&amp;number=&amp;sourceID=32","")</f>
        <v/>
      </c>
      <c r="Q278" s="4" t="str">
        <f>HYPERLINK("http://141.218.60.56/~jnz1568/getInfo.php?workbook=06_02.xlsx&amp;sheet=A0&amp;row=278&amp;col=17&amp;number=&amp;sourceID=32","")</f>
        <v/>
      </c>
      <c r="R278" s="4" t="str">
        <f>HYPERLINK("http://141.218.60.56/~jnz1568/getInfo.php?workbook=06_02.xlsx&amp;sheet=A0&amp;row=278&amp;col=18&amp;number=0&amp;sourceID=32","0")</f>
        <v>0</v>
      </c>
    </row>
    <row r="279" spans="1:18">
      <c r="A279" s="3">
        <v>6</v>
      </c>
      <c r="B279" s="3">
        <v>2</v>
      </c>
      <c r="C279" s="3">
        <v>27</v>
      </c>
      <c r="D279" s="3">
        <v>1</v>
      </c>
      <c r="E279" s="3">
        <f>((1/(INDEX(E0!J$4:J$52,C279,1)-INDEX(E0!J$4:J$52,D279,1))))*100000000</f>
        <v>0</v>
      </c>
      <c r="F279" s="4" t="str">
        <f>HYPERLINK("http://141.218.60.56/~jnz1568/getInfo.php?workbook=06_02.xlsx&amp;sheet=A0&amp;row=279&amp;col=6&amp;number=&amp;sourceID=27","")</f>
        <v/>
      </c>
      <c r="G279" s="4" t="str">
        <f>HYPERLINK("http://141.218.60.56/~jnz1568/getInfo.php?workbook=06_02.xlsx&amp;sheet=A0&amp;row=279&amp;col=7&amp;number=&amp;sourceID=34","")</f>
        <v/>
      </c>
      <c r="H279" s="4" t="str">
        <f>HYPERLINK("http://141.218.60.56/~jnz1568/getInfo.php?workbook=06_02.xlsx&amp;sheet=A0&amp;row=279&amp;col=8&amp;number=&amp;sourceID=34","")</f>
        <v/>
      </c>
      <c r="I279" s="4" t="str">
        <f>HYPERLINK("http://141.218.60.56/~jnz1568/getInfo.php?workbook=06_02.xlsx&amp;sheet=A0&amp;row=279&amp;col=9&amp;number=&amp;sourceID=34","")</f>
        <v/>
      </c>
      <c r="J279" s="4" t="str">
        <f>HYPERLINK("http://141.218.60.56/~jnz1568/getInfo.php?workbook=06_02.xlsx&amp;sheet=A0&amp;row=279&amp;col=10&amp;number=&amp;sourceID=34","")</f>
        <v/>
      </c>
      <c r="K279" s="4" t="str">
        <f>HYPERLINK("http://141.218.60.56/~jnz1568/getInfo.php?workbook=06_02.xlsx&amp;sheet=A0&amp;row=279&amp;col=11&amp;number=&amp;sourceID=30","")</f>
        <v/>
      </c>
      <c r="L279" s="4" t="str">
        <f>HYPERLINK("http://141.218.60.56/~jnz1568/getInfo.php?workbook=06_02.xlsx&amp;sheet=A0&amp;row=279&amp;col=12&amp;number=&amp;sourceID=30","")</f>
        <v/>
      </c>
      <c r="M279" s="4" t="str">
        <f>HYPERLINK("http://141.218.60.56/~jnz1568/getInfo.php?workbook=06_02.xlsx&amp;sheet=A0&amp;row=279&amp;col=13&amp;number=&amp;sourceID=30","")</f>
        <v/>
      </c>
      <c r="N279" s="4" t="str">
        <f>HYPERLINK("http://141.218.60.56/~jnz1568/getInfo.php?workbook=06_02.xlsx&amp;sheet=A0&amp;row=279&amp;col=14&amp;number=0.0003885&amp;sourceID=30","0.0003885")</f>
        <v>0.0003885</v>
      </c>
      <c r="O279" s="4" t="str">
        <f>HYPERLINK("http://141.218.60.56/~jnz1568/getInfo.php?workbook=06_02.xlsx&amp;sheet=A0&amp;row=279&amp;col=15&amp;number=&amp;sourceID=32","")</f>
        <v/>
      </c>
      <c r="P279" s="4" t="str">
        <f>HYPERLINK("http://141.218.60.56/~jnz1568/getInfo.php?workbook=06_02.xlsx&amp;sheet=A0&amp;row=279&amp;col=16&amp;number=&amp;sourceID=32","")</f>
        <v/>
      </c>
      <c r="Q279" s="4" t="str">
        <f>HYPERLINK("http://141.218.60.56/~jnz1568/getInfo.php?workbook=06_02.xlsx&amp;sheet=A0&amp;row=279&amp;col=17&amp;number=&amp;sourceID=32","")</f>
        <v/>
      </c>
      <c r="R279" s="4" t="str">
        <f>HYPERLINK("http://141.218.60.56/~jnz1568/getInfo.php?workbook=06_02.xlsx&amp;sheet=A0&amp;row=279&amp;col=18&amp;number=2.721e-06&amp;sourceID=32","2.721e-06")</f>
        <v>2.721e-06</v>
      </c>
    </row>
    <row r="280" spans="1:18">
      <c r="A280" s="3">
        <v>6</v>
      </c>
      <c r="B280" s="3">
        <v>2</v>
      </c>
      <c r="C280" s="3">
        <v>27</v>
      </c>
      <c r="D280" s="3">
        <v>2</v>
      </c>
      <c r="E280" s="3">
        <f>((1/(INDEX(E0!J$4:J$52,C280,1)-INDEX(E0!J$4:J$52,D280,1))))*100000000</f>
        <v>0</v>
      </c>
      <c r="F280" s="4" t="str">
        <f>HYPERLINK("http://141.218.60.56/~jnz1568/getInfo.php?workbook=06_02.xlsx&amp;sheet=A0&amp;row=280&amp;col=6&amp;number=&amp;sourceID=27","")</f>
        <v/>
      </c>
      <c r="G280" s="4" t="str">
        <f>HYPERLINK("http://141.218.60.56/~jnz1568/getInfo.php?workbook=06_02.xlsx&amp;sheet=A0&amp;row=280&amp;col=7&amp;number=&amp;sourceID=34","")</f>
        <v/>
      </c>
      <c r="H280" s="4" t="str">
        <f>HYPERLINK("http://141.218.60.56/~jnz1568/getInfo.php?workbook=06_02.xlsx&amp;sheet=A0&amp;row=280&amp;col=8&amp;number=&amp;sourceID=34","")</f>
        <v/>
      </c>
      <c r="I280" s="4" t="str">
        <f>HYPERLINK("http://141.218.60.56/~jnz1568/getInfo.php?workbook=06_02.xlsx&amp;sheet=A0&amp;row=280&amp;col=9&amp;number=&amp;sourceID=34","")</f>
        <v/>
      </c>
      <c r="J280" s="4" t="str">
        <f>HYPERLINK("http://141.218.60.56/~jnz1568/getInfo.php?workbook=06_02.xlsx&amp;sheet=A0&amp;row=280&amp;col=10&amp;number=&amp;sourceID=34","")</f>
        <v/>
      </c>
      <c r="K280" s="4" t="str">
        <f>HYPERLINK("http://141.218.60.56/~jnz1568/getInfo.php?workbook=06_02.xlsx&amp;sheet=A0&amp;row=280&amp;col=11&amp;number=0.008065&amp;sourceID=30","0.008065")</f>
        <v>0.008065</v>
      </c>
      <c r="L280" s="4" t="str">
        <f>HYPERLINK("http://141.218.60.56/~jnz1568/getInfo.php?workbook=06_02.xlsx&amp;sheet=A0&amp;row=280&amp;col=12&amp;number=&amp;sourceID=30","")</f>
        <v/>
      </c>
      <c r="M280" s="4" t="str">
        <f>HYPERLINK("http://141.218.60.56/~jnz1568/getInfo.php?workbook=06_02.xlsx&amp;sheet=A0&amp;row=280&amp;col=13&amp;number=&amp;sourceID=30","")</f>
        <v/>
      </c>
      <c r="N280" s="4" t="str">
        <f>HYPERLINK("http://141.218.60.56/~jnz1568/getInfo.php?workbook=06_02.xlsx&amp;sheet=A0&amp;row=280&amp;col=14&amp;number=2.257e-08&amp;sourceID=30","2.257e-08")</f>
        <v>2.257e-08</v>
      </c>
      <c r="O280" s="4" t="str">
        <f>HYPERLINK("http://141.218.60.56/~jnz1568/getInfo.php?workbook=06_02.xlsx&amp;sheet=A0&amp;row=280&amp;col=15&amp;number=0.08612&amp;sourceID=32","0.08612")</f>
        <v>0.08612</v>
      </c>
      <c r="P280" s="4" t="str">
        <f>HYPERLINK("http://141.218.60.56/~jnz1568/getInfo.php?workbook=06_02.xlsx&amp;sheet=A0&amp;row=280&amp;col=16&amp;number=&amp;sourceID=32","")</f>
        <v/>
      </c>
      <c r="Q280" s="4" t="str">
        <f>HYPERLINK("http://141.218.60.56/~jnz1568/getInfo.php?workbook=06_02.xlsx&amp;sheet=A0&amp;row=280&amp;col=17&amp;number=&amp;sourceID=32","")</f>
        <v/>
      </c>
      <c r="R280" s="4" t="str">
        <f>HYPERLINK("http://141.218.60.56/~jnz1568/getInfo.php?workbook=06_02.xlsx&amp;sheet=A0&amp;row=280&amp;col=18&amp;number=2.912e-08&amp;sourceID=32","2.912e-08")</f>
        <v>2.912e-08</v>
      </c>
    </row>
    <row r="281" spans="1:18">
      <c r="A281" s="3">
        <v>6</v>
      </c>
      <c r="B281" s="3">
        <v>2</v>
      </c>
      <c r="C281" s="3">
        <v>27</v>
      </c>
      <c r="D281" s="3">
        <v>3</v>
      </c>
      <c r="E281" s="3">
        <f>((1/(INDEX(E0!J$4:J$52,C281,1)-INDEX(E0!J$4:J$52,D281,1))))*100000000</f>
        <v>0</v>
      </c>
      <c r="F281" s="4" t="str">
        <f>HYPERLINK("http://141.218.60.56/~jnz1568/getInfo.php?workbook=06_02.xlsx&amp;sheet=A0&amp;row=281&amp;col=6&amp;number=&amp;sourceID=27","")</f>
        <v/>
      </c>
      <c r="G281" s="4" t="str">
        <f>HYPERLINK("http://141.218.60.56/~jnz1568/getInfo.php?workbook=06_02.xlsx&amp;sheet=A0&amp;row=281&amp;col=7&amp;number=&amp;sourceID=34","")</f>
        <v/>
      </c>
      <c r="H281" s="4" t="str">
        <f>HYPERLINK("http://141.218.60.56/~jnz1568/getInfo.php?workbook=06_02.xlsx&amp;sheet=A0&amp;row=281&amp;col=8&amp;number=&amp;sourceID=34","")</f>
        <v/>
      </c>
      <c r="I281" s="4" t="str">
        <f>HYPERLINK("http://141.218.60.56/~jnz1568/getInfo.php?workbook=06_02.xlsx&amp;sheet=A0&amp;row=281&amp;col=9&amp;number=&amp;sourceID=34","")</f>
        <v/>
      </c>
      <c r="J281" s="4" t="str">
        <f>HYPERLINK("http://141.218.60.56/~jnz1568/getInfo.php?workbook=06_02.xlsx&amp;sheet=A0&amp;row=281&amp;col=10&amp;number=&amp;sourceID=34","")</f>
        <v/>
      </c>
      <c r="K281" s="4" t="str">
        <f>HYPERLINK("http://141.218.60.56/~jnz1568/getInfo.php?workbook=06_02.xlsx&amp;sheet=A0&amp;row=281&amp;col=11&amp;number=&amp;sourceID=30","")</f>
        <v/>
      </c>
      <c r="L281" s="4" t="str">
        <f>HYPERLINK("http://141.218.60.56/~jnz1568/getInfo.php?workbook=06_02.xlsx&amp;sheet=A0&amp;row=281&amp;col=12&amp;number=&amp;sourceID=30","")</f>
        <v/>
      </c>
      <c r="M281" s="4" t="str">
        <f>HYPERLINK("http://141.218.60.56/~jnz1568/getInfo.php?workbook=06_02.xlsx&amp;sheet=A0&amp;row=281&amp;col=13&amp;number=&amp;sourceID=30","")</f>
        <v/>
      </c>
      <c r="N281" s="4" t="str">
        <f>HYPERLINK("http://141.218.60.56/~jnz1568/getInfo.php?workbook=06_02.xlsx&amp;sheet=A0&amp;row=281&amp;col=14&amp;number=2.091e-09&amp;sourceID=30","2.091e-09")</f>
        <v>2.091e-09</v>
      </c>
      <c r="O281" s="4" t="str">
        <f>HYPERLINK("http://141.218.60.56/~jnz1568/getInfo.php?workbook=06_02.xlsx&amp;sheet=A0&amp;row=281&amp;col=15&amp;number=&amp;sourceID=32","")</f>
        <v/>
      </c>
      <c r="P281" s="4" t="str">
        <f>HYPERLINK("http://141.218.60.56/~jnz1568/getInfo.php?workbook=06_02.xlsx&amp;sheet=A0&amp;row=281&amp;col=16&amp;number=&amp;sourceID=32","")</f>
        <v/>
      </c>
      <c r="Q281" s="4" t="str">
        <f>HYPERLINK("http://141.218.60.56/~jnz1568/getInfo.php?workbook=06_02.xlsx&amp;sheet=A0&amp;row=281&amp;col=17&amp;number=&amp;sourceID=32","")</f>
        <v/>
      </c>
      <c r="R281" s="4" t="str">
        <f>HYPERLINK("http://141.218.60.56/~jnz1568/getInfo.php?workbook=06_02.xlsx&amp;sheet=A0&amp;row=281&amp;col=18&amp;number=4.76e-09&amp;sourceID=32","4.76e-09")</f>
        <v>4.76e-09</v>
      </c>
    </row>
    <row r="282" spans="1:18">
      <c r="A282" s="3">
        <v>6</v>
      </c>
      <c r="B282" s="3">
        <v>2</v>
      </c>
      <c r="C282" s="3">
        <v>27</v>
      </c>
      <c r="D282" s="3">
        <v>4</v>
      </c>
      <c r="E282" s="3">
        <f>((1/(INDEX(E0!J$4:J$52,C282,1)-INDEX(E0!J$4:J$52,D282,1))))*100000000</f>
        <v>0</v>
      </c>
      <c r="F282" s="4" t="str">
        <f>HYPERLINK("http://141.218.60.56/~jnz1568/getInfo.php?workbook=06_02.xlsx&amp;sheet=A0&amp;row=282&amp;col=6&amp;number=&amp;sourceID=27","")</f>
        <v/>
      </c>
      <c r="G282" s="4" t="str">
        <f>HYPERLINK("http://141.218.60.56/~jnz1568/getInfo.php?workbook=06_02.xlsx&amp;sheet=A0&amp;row=282&amp;col=7&amp;number=&amp;sourceID=34","")</f>
        <v/>
      </c>
      <c r="H282" s="4" t="str">
        <f>HYPERLINK("http://141.218.60.56/~jnz1568/getInfo.php?workbook=06_02.xlsx&amp;sheet=A0&amp;row=282&amp;col=8&amp;number=&amp;sourceID=34","")</f>
        <v/>
      </c>
      <c r="I282" s="4" t="str">
        <f>HYPERLINK("http://141.218.60.56/~jnz1568/getInfo.php?workbook=06_02.xlsx&amp;sheet=A0&amp;row=282&amp;col=9&amp;number=&amp;sourceID=34","")</f>
        <v/>
      </c>
      <c r="J282" s="4" t="str">
        <f>HYPERLINK("http://141.218.60.56/~jnz1568/getInfo.php?workbook=06_02.xlsx&amp;sheet=A0&amp;row=282&amp;col=10&amp;number=&amp;sourceID=34","")</f>
        <v/>
      </c>
      <c r="K282" s="4" t="str">
        <f>HYPERLINK("http://141.218.60.56/~jnz1568/getInfo.php?workbook=06_02.xlsx&amp;sheet=A0&amp;row=282&amp;col=11&amp;number=&amp;sourceID=30","")</f>
        <v/>
      </c>
      <c r="L282" s="4" t="str">
        <f>HYPERLINK("http://141.218.60.56/~jnz1568/getInfo.php?workbook=06_02.xlsx&amp;sheet=A0&amp;row=282&amp;col=12&amp;number=457600&amp;sourceID=30","457600")</f>
        <v>457600</v>
      </c>
      <c r="M282" s="4" t="str">
        <f>HYPERLINK("http://141.218.60.56/~jnz1568/getInfo.php?workbook=06_02.xlsx&amp;sheet=A0&amp;row=282&amp;col=13&amp;number=0.0001839&amp;sourceID=30","0.0001839")</f>
        <v>0.0001839</v>
      </c>
      <c r="N282" s="4" t="str">
        <f>HYPERLINK("http://141.218.60.56/~jnz1568/getInfo.php?workbook=06_02.xlsx&amp;sheet=A0&amp;row=282&amp;col=14&amp;number=&amp;sourceID=30","")</f>
        <v/>
      </c>
      <c r="O282" s="4" t="str">
        <f>HYPERLINK("http://141.218.60.56/~jnz1568/getInfo.php?workbook=06_02.xlsx&amp;sheet=A0&amp;row=282&amp;col=15&amp;number=&amp;sourceID=32","")</f>
        <v/>
      </c>
      <c r="P282" s="4" t="str">
        <f>HYPERLINK("http://141.218.60.56/~jnz1568/getInfo.php?workbook=06_02.xlsx&amp;sheet=A0&amp;row=282&amp;col=16&amp;number=452200&amp;sourceID=32","452200")</f>
        <v>452200</v>
      </c>
      <c r="Q282" s="4" t="str">
        <f>HYPERLINK("http://141.218.60.56/~jnz1568/getInfo.php?workbook=06_02.xlsx&amp;sheet=A0&amp;row=282&amp;col=17&amp;number=0.0002658&amp;sourceID=32","0.0002658")</f>
        <v>0.0002658</v>
      </c>
      <c r="R282" s="4" t="str">
        <f>HYPERLINK("http://141.218.60.56/~jnz1568/getInfo.php?workbook=06_02.xlsx&amp;sheet=A0&amp;row=282&amp;col=18&amp;number=&amp;sourceID=32","")</f>
        <v/>
      </c>
    </row>
    <row r="283" spans="1:18">
      <c r="A283" s="3">
        <v>6</v>
      </c>
      <c r="B283" s="3">
        <v>2</v>
      </c>
      <c r="C283" s="3">
        <v>27</v>
      </c>
      <c r="D283" s="3">
        <v>5</v>
      </c>
      <c r="E283" s="3">
        <f>((1/(INDEX(E0!J$4:J$52,C283,1)-INDEX(E0!J$4:J$52,D283,1))))*100000000</f>
        <v>0</v>
      </c>
      <c r="F283" s="4" t="str">
        <f>HYPERLINK("http://141.218.60.56/~jnz1568/getInfo.php?workbook=06_02.xlsx&amp;sheet=A0&amp;row=283&amp;col=6&amp;number=&amp;sourceID=27","")</f>
        <v/>
      </c>
      <c r="G283" s="4" t="str">
        <f>HYPERLINK("http://141.218.60.56/~jnz1568/getInfo.php?workbook=06_02.xlsx&amp;sheet=A0&amp;row=283&amp;col=7&amp;number=&amp;sourceID=34","")</f>
        <v/>
      </c>
      <c r="H283" s="4" t="str">
        <f>HYPERLINK("http://141.218.60.56/~jnz1568/getInfo.php?workbook=06_02.xlsx&amp;sheet=A0&amp;row=283&amp;col=8&amp;number=&amp;sourceID=34","")</f>
        <v/>
      </c>
      <c r="I283" s="4" t="str">
        <f>HYPERLINK("http://141.218.60.56/~jnz1568/getInfo.php?workbook=06_02.xlsx&amp;sheet=A0&amp;row=283&amp;col=9&amp;number=&amp;sourceID=34","")</f>
        <v/>
      </c>
      <c r="J283" s="4" t="str">
        <f>HYPERLINK("http://141.218.60.56/~jnz1568/getInfo.php?workbook=06_02.xlsx&amp;sheet=A0&amp;row=283&amp;col=10&amp;number=&amp;sourceID=34","")</f>
        <v/>
      </c>
      <c r="K283" s="4" t="str">
        <f>HYPERLINK("http://141.218.60.56/~jnz1568/getInfo.php?workbook=06_02.xlsx&amp;sheet=A0&amp;row=283&amp;col=11&amp;number=&amp;sourceID=30","")</f>
        <v/>
      </c>
      <c r="L283" s="4" t="str">
        <f>HYPERLINK("http://141.218.60.56/~jnz1568/getInfo.php?workbook=06_02.xlsx&amp;sheet=A0&amp;row=283&amp;col=12&amp;number=457600&amp;sourceID=30","457600")</f>
        <v>457600</v>
      </c>
      <c r="M283" s="4" t="str">
        <f>HYPERLINK("http://141.218.60.56/~jnz1568/getInfo.php?workbook=06_02.xlsx&amp;sheet=A0&amp;row=283&amp;col=13&amp;number=&amp;sourceID=30","")</f>
        <v/>
      </c>
      <c r="N283" s="4" t="str">
        <f>HYPERLINK("http://141.218.60.56/~jnz1568/getInfo.php?workbook=06_02.xlsx&amp;sheet=A0&amp;row=283&amp;col=14&amp;number=&amp;sourceID=30","")</f>
        <v/>
      </c>
      <c r="O283" s="4" t="str">
        <f>HYPERLINK("http://141.218.60.56/~jnz1568/getInfo.php?workbook=06_02.xlsx&amp;sheet=A0&amp;row=283&amp;col=15&amp;number=&amp;sourceID=32","")</f>
        <v/>
      </c>
      <c r="P283" s="4" t="str">
        <f>HYPERLINK("http://141.218.60.56/~jnz1568/getInfo.php?workbook=06_02.xlsx&amp;sheet=A0&amp;row=283&amp;col=16&amp;number=452200&amp;sourceID=32","452200")</f>
        <v>452200</v>
      </c>
      <c r="Q283" s="4" t="str">
        <f>HYPERLINK("http://141.218.60.56/~jnz1568/getInfo.php?workbook=06_02.xlsx&amp;sheet=A0&amp;row=283&amp;col=17&amp;number=&amp;sourceID=32","")</f>
        <v/>
      </c>
      <c r="R283" s="4" t="str">
        <f>HYPERLINK("http://141.218.60.56/~jnz1568/getInfo.php?workbook=06_02.xlsx&amp;sheet=A0&amp;row=283&amp;col=18&amp;number=&amp;sourceID=32","")</f>
        <v/>
      </c>
    </row>
    <row r="284" spans="1:18">
      <c r="A284" s="3">
        <v>6</v>
      </c>
      <c r="B284" s="3">
        <v>2</v>
      </c>
      <c r="C284" s="3">
        <v>27</v>
      </c>
      <c r="D284" s="3">
        <v>6</v>
      </c>
      <c r="E284" s="3">
        <f>((1/(INDEX(E0!J$4:J$52,C284,1)-INDEX(E0!J$4:J$52,D284,1))))*100000000</f>
        <v>0</v>
      </c>
      <c r="F284" s="4" t="str">
        <f>HYPERLINK("http://141.218.60.56/~jnz1568/getInfo.php?workbook=06_02.xlsx&amp;sheet=A0&amp;row=284&amp;col=6&amp;number=&amp;sourceID=27","")</f>
        <v/>
      </c>
      <c r="G284" s="4" t="str">
        <f>HYPERLINK("http://141.218.60.56/~jnz1568/getInfo.php?workbook=06_02.xlsx&amp;sheet=A0&amp;row=284&amp;col=7&amp;number=&amp;sourceID=34","")</f>
        <v/>
      </c>
      <c r="H284" s="4" t="str">
        <f>HYPERLINK("http://141.218.60.56/~jnz1568/getInfo.php?workbook=06_02.xlsx&amp;sheet=A0&amp;row=284&amp;col=8&amp;number=&amp;sourceID=34","")</f>
        <v/>
      </c>
      <c r="I284" s="4" t="str">
        <f>HYPERLINK("http://141.218.60.56/~jnz1568/getInfo.php?workbook=06_02.xlsx&amp;sheet=A0&amp;row=284&amp;col=9&amp;number=&amp;sourceID=34","")</f>
        <v/>
      </c>
      <c r="J284" s="4" t="str">
        <f>HYPERLINK("http://141.218.60.56/~jnz1568/getInfo.php?workbook=06_02.xlsx&amp;sheet=A0&amp;row=284&amp;col=10&amp;number=&amp;sourceID=34","")</f>
        <v/>
      </c>
      <c r="K284" s="4" t="str">
        <f>HYPERLINK("http://141.218.60.56/~jnz1568/getInfo.php?workbook=06_02.xlsx&amp;sheet=A0&amp;row=284&amp;col=11&amp;number=&amp;sourceID=30","")</f>
        <v/>
      </c>
      <c r="L284" s="4" t="str">
        <f>HYPERLINK("http://141.218.60.56/~jnz1568/getInfo.php?workbook=06_02.xlsx&amp;sheet=A0&amp;row=284&amp;col=12&amp;number=65380&amp;sourceID=30","65380")</f>
        <v>65380</v>
      </c>
      <c r="M284" s="4" t="str">
        <f>HYPERLINK("http://141.218.60.56/~jnz1568/getInfo.php?workbook=06_02.xlsx&amp;sheet=A0&amp;row=284&amp;col=13&amp;number=0.000166&amp;sourceID=30","0.000166")</f>
        <v>0.000166</v>
      </c>
      <c r="N284" s="4" t="str">
        <f>HYPERLINK("http://141.218.60.56/~jnz1568/getInfo.php?workbook=06_02.xlsx&amp;sheet=A0&amp;row=284&amp;col=14&amp;number=&amp;sourceID=30","")</f>
        <v/>
      </c>
      <c r="O284" s="4" t="str">
        <f>HYPERLINK("http://141.218.60.56/~jnz1568/getInfo.php?workbook=06_02.xlsx&amp;sheet=A0&amp;row=284&amp;col=15&amp;number=&amp;sourceID=32","")</f>
        <v/>
      </c>
      <c r="P284" s="4" t="str">
        <f>HYPERLINK("http://141.218.60.56/~jnz1568/getInfo.php?workbook=06_02.xlsx&amp;sheet=A0&amp;row=284&amp;col=16&amp;number=64600&amp;sourceID=32","64600")</f>
        <v>64600</v>
      </c>
      <c r="Q284" s="4" t="str">
        <f>HYPERLINK("http://141.218.60.56/~jnz1568/getInfo.php?workbook=06_02.xlsx&amp;sheet=A0&amp;row=284&amp;col=17&amp;number=0.0002081&amp;sourceID=32","0.0002081")</f>
        <v>0.0002081</v>
      </c>
      <c r="R284" s="4" t="str">
        <f>HYPERLINK("http://141.218.60.56/~jnz1568/getInfo.php?workbook=06_02.xlsx&amp;sheet=A0&amp;row=284&amp;col=18&amp;number=&amp;sourceID=32","")</f>
        <v/>
      </c>
    </row>
    <row r="285" spans="1:18">
      <c r="A285" s="3">
        <v>6</v>
      </c>
      <c r="B285" s="3">
        <v>2</v>
      </c>
      <c r="C285" s="3">
        <v>27</v>
      </c>
      <c r="D285" s="3">
        <v>7</v>
      </c>
      <c r="E285" s="3">
        <f>((1/(INDEX(E0!J$4:J$52,C285,1)-INDEX(E0!J$4:J$52,D285,1))))*100000000</f>
        <v>0</v>
      </c>
      <c r="F285" s="4" t="str">
        <f>HYPERLINK("http://141.218.60.56/~jnz1568/getInfo.php?workbook=06_02.xlsx&amp;sheet=A0&amp;row=285&amp;col=6&amp;number=&amp;sourceID=27","")</f>
        <v/>
      </c>
      <c r="G285" s="4" t="str">
        <f>HYPERLINK("http://141.218.60.56/~jnz1568/getInfo.php?workbook=06_02.xlsx&amp;sheet=A0&amp;row=285&amp;col=7&amp;number=&amp;sourceID=34","")</f>
        <v/>
      </c>
      <c r="H285" s="4" t="str">
        <f>HYPERLINK("http://141.218.60.56/~jnz1568/getInfo.php?workbook=06_02.xlsx&amp;sheet=A0&amp;row=285&amp;col=8&amp;number=&amp;sourceID=34","")</f>
        <v/>
      </c>
      <c r="I285" s="4" t="str">
        <f>HYPERLINK("http://141.218.60.56/~jnz1568/getInfo.php?workbook=06_02.xlsx&amp;sheet=A0&amp;row=285&amp;col=9&amp;number=&amp;sourceID=34","")</f>
        <v/>
      </c>
      <c r="J285" s="4" t="str">
        <f>HYPERLINK("http://141.218.60.56/~jnz1568/getInfo.php?workbook=06_02.xlsx&amp;sheet=A0&amp;row=285&amp;col=10&amp;number=&amp;sourceID=34","")</f>
        <v/>
      </c>
      <c r="K285" s="4" t="str">
        <f>HYPERLINK("http://141.218.60.56/~jnz1568/getInfo.php?workbook=06_02.xlsx&amp;sheet=A0&amp;row=285&amp;col=11&amp;number=&amp;sourceID=30","")</f>
        <v/>
      </c>
      <c r="L285" s="4" t="str">
        <f>HYPERLINK("http://141.218.60.56/~jnz1568/getInfo.php?workbook=06_02.xlsx&amp;sheet=A0&amp;row=285&amp;col=12&amp;number=12.21&amp;sourceID=30","12.21")</f>
        <v>12.21</v>
      </c>
      <c r="M285" s="4" t="str">
        <f>HYPERLINK("http://141.218.60.56/~jnz1568/getInfo.php?workbook=06_02.xlsx&amp;sheet=A0&amp;row=285&amp;col=13&amp;number=0.0002697&amp;sourceID=30","0.0002697")</f>
        <v>0.0002697</v>
      </c>
      <c r="N285" s="4" t="str">
        <f>HYPERLINK("http://141.218.60.56/~jnz1568/getInfo.php?workbook=06_02.xlsx&amp;sheet=A0&amp;row=285&amp;col=14&amp;number=&amp;sourceID=30","")</f>
        <v/>
      </c>
      <c r="O285" s="4" t="str">
        <f>HYPERLINK("http://141.218.60.56/~jnz1568/getInfo.php?workbook=06_02.xlsx&amp;sheet=A0&amp;row=285&amp;col=15&amp;number=&amp;sourceID=32","")</f>
        <v/>
      </c>
      <c r="P285" s="4" t="str">
        <f>HYPERLINK("http://141.218.60.56/~jnz1568/getInfo.php?workbook=06_02.xlsx&amp;sheet=A0&amp;row=285&amp;col=16&amp;number=12.67&amp;sourceID=32","12.67")</f>
        <v>12.67</v>
      </c>
      <c r="Q285" s="4" t="str">
        <f>HYPERLINK("http://141.218.60.56/~jnz1568/getInfo.php?workbook=06_02.xlsx&amp;sheet=A0&amp;row=285&amp;col=17&amp;number=0.000395&amp;sourceID=32","0.000395")</f>
        <v>0.000395</v>
      </c>
      <c r="R285" s="4" t="str">
        <f>HYPERLINK("http://141.218.60.56/~jnz1568/getInfo.php?workbook=06_02.xlsx&amp;sheet=A0&amp;row=285&amp;col=18&amp;number=&amp;sourceID=32","")</f>
        <v/>
      </c>
    </row>
    <row r="286" spans="1:18">
      <c r="A286" s="3">
        <v>6</v>
      </c>
      <c r="B286" s="3">
        <v>2</v>
      </c>
      <c r="C286" s="3">
        <v>27</v>
      </c>
      <c r="D286" s="3">
        <v>8</v>
      </c>
      <c r="E286" s="3">
        <f>((1/(INDEX(E0!J$4:J$52,C286,1)-INDEX(E0!J$4:J$52,D286,1))))*100000000</f>
        <v>0</v>
      </c>
      <c r="F286" s="4" t="str">
        <f>HYPERLINK("http://141.218.60.56/~jnz1568/getInfo.php?workbook=06_02.xlsx&amp;sheet=A0&amp;row=286&amp;col=6&amp;number=&amp;sourceID=27","")</f>
        <v/>
      </c>
      <c r="G286" s="4" t="str">
        <f>HYPERLINK("http://141.218.60.56/~jnz1568/getInfo.php?workbook=06_02.xlsx&amp;sheet=A0&amp;row=286&amp;col=7&amp;number=&amp;sourceID=34","")</f>
        <v/>
      </c>
      <c r="H286" s="4" t="str">
        <f>HYPERLINK("http://141.218.60.56/~jnz1568/getInfo.php?workbook=06_02.xlsx&amp;sheet=A0&amp;row=286&amp;col=8&amp;number=&amp;sourceID=34","")</f>
        <v/>
      </c>
      <c r="I286" s="4" t="str">
        <f>HYPERLINK("http://141.218.60.56/~jnz1568/getInfo.php?workbook=06_02.xlsx&amp;sheet=A0&amp;row=286&amp;col=9&amp;number=&amp;sourceID=34","")</f>
        <v/>
      </c>
      <c r="J286" s="4" t="str">
        <f>HYPERLINK("http://141.218.60.56/~jnz1568/getInfo.php?workbook=06_02.xlsx&amp;sheet=A0&amp;row=286&amp;col=10&amp;number=&amp;sourceID=34","")</f>
        <v/>
      </c>
      <c r="K286" s="4" t="str">
        <f>HYPERLINK("http://141.218.60.56/~jnz1568/getInfo.php?workbook=06_02.xlsx&amp;sheet=A0&amp;row=286&amp;col=11&amp;number=34.05&amp;sourceID=30","34.05")</f>
        <v>34.05</v>
      </c>
      <c r="L286" s="4" t="str">
        <f>HYPERLINK("http://141.218.60.56/~jnz1568/getInfo.php?workbook=06_02.xlsx&amp;sheet=A0&amp;row=286&amp;col=12&amp;number=&amp;sourceID=30","")</f>
        <v/>
      </c>
      <c r="M286" s="4" t="str">
        <f>HYPERLINK("http://141.218.60.56/~jnz1568/getInfo.php?workbook=06_02.xlsx&amp;sheet=A0&amp;row=286&amp;col=13&amp;number=&amp;sourceID=30","")</f>
        <v/>
      </c>
      <c r="N286" s="4" t="str">
        <f>HYPERLINK("http://141.218.60.56/~jnz1568/getInfo.php?workbook=06_02.xlsx&amp;sheet=A0&amp;row=286&amp;col=14&amp;number=2.12e-09&amp;sourceID=30","2.12e-09")</f>
        <v>2.12e-09</v>
      </c>
      <c r="O286" s="4" t="str">
        <f>HYPERLINK("http://141.218.60.56/~jnz1568/getInfo.php?workbook=06_02.xlsx&amp;sheet=A0&amp;row=286&amp;col=15&amp;number=34.94&amp;sourceID=32","34.94")</f>
        <v>34.94</v>
      </c>
      <c r="P286" s="4" t="str">
        <f>HYPERLINK("http://141.218.60.56/~jnz1568/getInfo.php?workbook=06_02.xlsx&amp;sheet=A0&amp;row=286&amp;col=16&amp;number=&amp;sourceID=32","")</f>
        <v/>
      </c>
      <c r="Q286" s="4" t="str">
        <f>HYPERLINK("http://141.218.60.56/~jnz1568/getInfo.php?workbook=06_02.xlsx&amp;sheet=A0&amp;row=286&amp;col=17&amp;number=&amp;sourceID=32","")</f>
        <v/>
      </c>
      <c r="R286" s="4" t="str">
        <f>HYPERLINK("http://141.218.60.56/~jnz1568/getInfo.php?workbook=06_02.xlsx&amp;sheet=A0&amp;row=286&amp;col=18&amp;number=2.45e-09&amp;sourceID=32","2.45e-09")</f>
        <v>2.45e-09</v>
      </c>
    </row>
    <row r="287" spans="1:18">
      <c r="A287" s="3">
        <v>6</v>
      </c>
      <c r="B287" s="3">
        <v>2</v>
      </c>
      <c r="C287" s="3">
        <v>27</v>
      </c>
      <c r="D287" s="3">
        <v>9</v>
      </c>
      <c r="E287" s="3">
        <f>((1/(INDEX(E0!J$4:J$52,C287,1)-INDEX(E0!J$4:J$52,D287,1))))*100000000</f>
        <v>0</v>
      </c>
      <c r="F287" s="4" t="str">
        <f>HYPERLINK("http://141.218.60.56/~jnz1568/getInfo.php?workbook=06_02.xlsx&amp;sheet=A0&amp;row=287&amp;col=6&amp;number=&amp;sourceID=27","")</f>
        <v/>
      </c>
      <c r="G287" s="4" t="str">
        <f>HYPERLINK("http://141.218.60.56/~jnz1568/getInfo.php?workbook=06_02.xlsx&amp;sheet=A0&amp;row=287&amp;col=7&amp;number=&amp;sourceID=34","")</f>
        <v/>
      </c>
      <c r="H287" s="4" t="str">
        <f>HYPERLINK("http://141.218.60.56/~jnz1568/getInfo.php?workbook=06_02.xlsx&amp;sheet=A0&amp;row=287&amp;col=8&amp;number=&amp;sourceID=34","")</f>
        <v/>
      </c>
      <c r="I287" s="4" t="str">
        <f>HYPERLINK("http://141.218.60.56/~jnz1568/getInfo.php?workbook=06_02.xlsx&amp;sheet=A0&amp;row=287&amp;col=9&amp;number=&amp;sourceID=34","")</f>
        <v/>
      </c>
      <c r="J287" s="4" t="str">
        <f>HYPERLINK("http://141.218.60.56/~jnz1568/getInfo.php?workbook=06_02.xlsx&amp;sheet=A0&amp;row=287&amp;col=10&amp;number=&amp;sourceID=34","")</f>
        <v/>
      </c>
      <c r="K287" s="4" t="str">
        <f>HYPERLINK("http://141.218.60.56/~jnz1568/getInfo.php?workbook=06_02.xlsx&amp;sheet=A0&amp;row=287&amp;col=11&amp;number=&amp;sourceID=30","")</f>
        <v/>
      </c>
      <c r="L287" s="4" t="str">
        <f>HYPERLINK("http://141.218.60.56/~jnz1568/getInfo.php?workbook=06_02.xlsx&amp;sheet=A0&amp;row=287&amp;col=12&amp;number=&amp;sourceID=30","")</f>
        <v/>
      </c>
      <c r="M287" s="4" t="str">
        <f>HYPERLINK("http://141.218.60.56/~jnz1568/getInfo.php?workbook=06_02.xlsx&amp;sheet=A0&amp;row=287&amp;col=13&amp;number=&amp;sourceID=30","")</f>
        <v/>
      </c>
      <c r="N287" s="4" t="str">
        <f>HYPERLINK("http://141.218.60.56/~jnz1568/getInfo.php?workbook=06_02.xlsx&amp;sheet=A0&amp;row=287&amp;col=14&amp;number=1.734e-10&amp;sourceID=30","1.734e-10")</f>
        <v>1.734e-10</v>
      </c>
      <c r="O287" s="4" t="str">
        <f>HYPERLINK("http://141.218.60.56/~jnz1568/getInfo.php?workbook=06_02.xlsx&amp;sheet=A0&amp;row=287&amp;col=15&amp;number=&amp;sourceID=32","")</f>
        <v/>
      </c>
      <c r="P287" s="4" t="str">
        <f>HYPERLINK("http://141.218.60.56/~jnz1568/getInfo.php?workbook=06_02.xlsx&amp;sheet=A0&amp;row=287&amp;col=16&amp;number=&amp;sourceID=32","")</f>
        <v/>
      </c>
      <c r="Q287" s="4" t="str">
        <f>HYPERLINK("http://141.218.60.56/~jnz1568/getInfo.php?workbook=06_02.xlsx&amp;sheet=A0&amp;row=287&amp;col=17&amp;number=&amp;sourceID=32","")</f>
        <v/>
      </c>
      <c r="R287" s="4" t="str">
        <f>HYPERLINK("http://141.218.60.56/~jnz1568/getInfo.php?workbook=06_02.xlsx&amp;sheet=A0&amp;row=287&amp;col=18&amp;number=2.606e-10&amp;sourceID=32","2.606e-10")</f>
        <v>2.606e-10</v>
      </c>
    </row>
    <row r="288" spans="1:18">
      <c r="A288" s="3">
        <v>6</v>
      </c>
      <c r="B288" s="3">
        <v>2</v>
      </c>
      <c r="C288" s="3">
        <v>27</v>
      </c>
      <c r="D288" s="3">
        <v>10</v>
      </c>
      <c r="E288" s="3">
        <f>((1/(INDEX(E0!J$4:J$52,C288,1)-INDEX(E0!J$4:J$52,D288,1))))*100000000</f>
        <v>0</v>
      </c>
      <c r="F288" s="4" t="str">
        <f>HYPERLINK("http://141.218.60.56/~jnz1568/getInfo.php?workbook=06_02.xlsx&amp;sheet=A0&amp;row=288&amp;col=6&amp;number=&amp;sourceID=27","")</f>
        <v/>
      </c>
      <c r="G288" s="4" t="str">
        <f>HYPERLINK("http://141.218.60.56/~jnz1568/getInfo.php?workbook=06_02.xlsx&amp;sheet=A0&amp;row=288&amp;col=7&amp;number=&amp;sourceID=34","")</f>
        <v/>
      </c>
      <c r="H288" s="4" t="str">
        <f>HYPERLINK("http://141.218.60.56/~jnz1568/getInfo.php?workbook=06_02.xlsx&amp;sheet=A0&amp;row=288&amp;col=8&amp;number=&amp;sourceID=34","")</f>
        <v/>
      </c>
      <c r="I288" s="4" t="str">
        <f>HYPERLINK("http://141.218.60.56/~jnz1568/getInfo.php?workbook=06_02.xlsx&amp;sheet=A0&amp;row=288&amp;col=9&amp;number=&amp;sourceID=34","")</f>
        <v/>
      </c>
      <c r="J288" s="4" t="str">
        <f>HYPERLINK("http://141.218.60.56/~jnz1568/getInfo.php?workbook=06_02.xlsx&amp;sheet=A0&amp;row=288&amp;col=10&amp;number=&amp;sourceID=34","")</f>
        <v/>
      </c>
      <c r="K288" s="4" t="str">
        <f>HYPERLINK("http://141.218.60.56/~jnz1568/getInfo.php?workbook=06_02.xlsx&amp;sheet=A0&amp;row=288&amp;col=11&amp;number=&amp;sourceID=30","")</f>
        <v/>
      </c>
      <c r="L288" s="4" t="str">
        <f>HYPERLINK("http://141.218.60.56/~jnz1568/getInfo.php?workbook=06_02.xlsx&amp;sheet=A0&amp;row=288&amp;col=12&amp;number=48460&amp;sourceID=30","48460")</f>
        <v>48460</v>
      </c>
      <c r="M288" s="4" t="str">
        <f>HYPERLINK("http://141.218.60.56/~jnz1568/getInfo.php?workbook=06_02.xlsx&amp;sheet=A0&amp;row=288&amp;col=13&amp;number=6.822e-06&amp;sourceID=30","6.822e-06")</f>
        <v>6.822e-06</v>
      </c>
      <c r="N288" s="4" t="str">
        <f>HYPERLINK("http://141.218.60.56/~jnz1568/getInfo.php?workbook=06_02.xlsx&amp;sheet=A0&amp;row=288&amp;col=14&amp;number=&amp;sourceID=30","")</f>
        <v/>
      </c>
      <c r="O288" s="4" t="str">
        <f>HYPERLINK("http://141.218.60.56/~jnz1568/getInfo.php?workbook=06_02.xlsx&amp;sheet=A0&amp;row=288&amp;col=15&amp;number=&amp;sourceID=32","")</f>
        <v/>
      </c>
      <c r="P288" s="4" t="str">
        <f>HYPERLINK("http://141.218.60.56/~jnz1568/getInfo.php?workbook=06_02.xlsx&amp;sheet=A0&amp;row=288&amp;col=16&amp;number=48900&amp;sourceID=32","48900")</f>
        <v>48900</v>
      </c>
      <c r="Q288" s="4" t="str">
        <f>HYPERLINK("http://141.218.60.56/~jnz1568/getInfo.php?workbook=06_02.xlsx&amp;sheet=A0&amp;row=288&amp;col=17&amp;number=1.12e-05&amp;sourceID=32","1.12e-05")</f>
        <v>1.12e-05</v>
      </c>
      <c r="R288" s="4" t="str">
        <f>HYPERLINK("http://141.218.60.56/~jnz1568/getInfo.php?workbook=06_02.xlsx&amp;sheet=A0&amp;row=288&amp;col=18&amp;number=&amp;sourceID=32","")</f>
        <v/>
      </c>
    </row>
    <row r="289" spans="1:18">
      <c r="A289" s="3">
        <v>6</v>
      </c>
      <c r="B289" s="3">
        <v>2</v>
      </c>
      <c r="C289" s="3">
        <v>27</v>
      </c>
      <c r="D289" s="3">
        <v>11</v>
      </c>
      <c r="E289" s="3">
        <f>((1/(INDEX(E0!J$4:J$52,C289,1)-INDEX(E0!J$4:J$52,D289,1))))*100000000</f>
        <v>0</v>
      </c>
      <c r="F289" s="4" t="str">
        <f>HYPERLINK("http://141.218.60.56/~jnz1568/getInfo.php?workbook=06_02.xlsx&amp;sheet=A0&amp;row=289&amp;col=6&amp;number=&amp;sourceID=27","")</f>
        <v/>
      </c>
      <c r="G289" s="4" t="str">
        <f>HYPERLINK("http://141.218.60.56/~jnz1568/getInfo.php?workbook=06_02.xlsx&amp;sheet=A0&amp;row=289&amp;col=7&amp;number=&amp;sourceID=34","")</f>
        <v/>
      </c>
      <c r="H289" s="4" t="str">
        <f>HYPERLINK("http://141.218.60.56/~jnz1568/getInfo.php?workbook=06_02.xlsx&amp;sheet=A0&amp;row=289&amp;col=8&amp;number=&amp;sourceID=34","")</f>
        <v/>
      </c>
      <c r="I289" s="4" t="str">
        <f>HYPERLINK("http://141.218.60.56/~jnz1568/getInfo.php?workbook=06_02.xlsx&amp;sheet=A0&amp;row=289&amp;col=9&amp;number=&amp;sourceID=34","")</f>
        <v/>
      </c>
      <c r="J289" s="4" t="str">
        <f>HYPERLINK("http://141.218.60.56/~jnz1568/getInfo.php?workbook=06_02.xlsx&amp;sheet=A0&amp;row=289&amp;col=10&amp;number=&amp;sourceID=34","")</f>
        <v/>
      </c>
      <c r="K289" s="4" t="str">
        <f>HYPERLINK("http://141.218.60.56/~jnz1568/getInfo.php?workbook=06_02.xlsx&amp;sheet=A0&amp;row=289&amp;col=11&amp;number=&amp;sourceID=30","")</f>
        <v/>
      </c>
      <c r="L289" s="4" t="str">
        <f>HYPERLINK("http://141.218.60.56/~jnz1568/getInfo.php?workbook=06_02.xlsx&amp;sheet=A0&amp;row=289&amp;col=12&amp;number=48460&amp;sourceID=30","48460")</f>
        <v>48460</v>
      </c>
      <c r="M289" s="4" t="str">
        <f>HYPERLINK("http://141.218.60.56/~jnz1568/getInfo.php?workbook=06_02.xlsx&amp;sheet=A0&amp;row=289&amp;col=13&amp;number=&amp;sourceID=30","")</f>
        <v/>
      </c>
      <c r="N289" s="4" t="str">
        <f>HYPERLINK("http://141.218.60.56/~jnz1568/getInfo.php?workbook=06_02.xlsx&amp;sheet=A0&amp;row=289&amp;col=14&amp;number=&amp;sourceID=30","")</f>
        <v/>
      </c>
      <c r="O289" s="4" t="str">
        <f>HYPERLINK("http://141.218.60.56/~jnz1568/getInfo.php?workbook=06_02.xlsx&amp;sheet=A0&amp;row=289&amp;col=15&amp;number=&amp;sourceID=32","")</f>
        <v/>
      </c>
      <c r="P289" s="4" t="str">
        <f>HYPERLINK("http://141.218.60.56/~jnz1568/getInfo.php?workbook=06_02.xlsx&amp;sheet=A0&amp;row=289&amp;col=16&amp;number=48900&amp;sourceID=32","48900")</f>
        <v>48900</v>
      </c>
      <c r="Q289" s="4" t="str">
        <f>HYPERLINK("http://141.218.60.56/~jnz1568/getInfo.php?workbook=06_02.xlsx&amp;sheet=A0&amp;row=289&amp;col=17&amp;number=&amp;sourceID=32","")</f>
        <v/>
      </c>
      <c r="R289" s="4" t="str">
        <f>HYPERLINK("http://141.218.60.56/~jnz1568/getInfo.php?workbook=06_02.xlsx&amp;sheet=A0&amp;row=289&amp;col=18&amp;number=&amp;sourceID=32","")</f>
        <v/>
      </c>
    </row>
    <row r="290" spans="1:18">
      <c r="A290" s="3">
        <v>6</v>
      </c>
      <c r="B290" s="3">
        <v>2</v>
      </c>
      <c r="C290" s="3">
        <v>27</v>
      </c>
      <c r="D290" s="3">
        <v>12</v>
      </c>
      <c r="E290" s="3">
        <f>((1/(INDEX(E0!J$4:J$52,C290,1)-INDEX(E0!J$4:J$52,D290,1))))*100000000</f>
        <v>0</v>
      </c>
      <c r="F290" s="4" t="str">
        <f>HYPERLINK("http://141.218.60.56/~jnz1568/getInfo.php?workbook=06_02.xlsx&amp;sheet=A0&amp;row=290&amp;col=6&amp;number=&amp;sourceID=27","")</f>
        <v/>
      </c>
      <c r="G290" s="4" t="str">
        <f>HYPERLINK("http://141.218.60.56/~jnz1568/getInfo.php?workbook=06_02.xlsx&amp;sheet=A0&amp;row=290&amp;col=7&amp;number=&amp;sourceID=34","")</f>
        <v/>
      </c>
      <c r="H290" s="4" t="str">
        <f>HYPERLINK("http://141.218.60.56/~jnz1568/getInfo.php?workbook=06_02.xlsx&amp;sheet=A0&amp;row=290&amp;col=8&amp;number=&amp;sourceID=34","")</f>
        <v/>
      </c>
      <c r="I290" s="4" t="str">
        <f>HYPERLINK("http://141.218.60.56/~jnz1568/getInfo.php?workbook=06_02.xlsx&amp;sheet=A0&amp;row=290&amp;col=9&amp;number=&amp;sourceID=34","")</f>
        <v/>
      </c>
      <c r="J290" s="4" t="str">
        <f>HYPERLINK("http://141.218.60.56/~jnz1568/getInfo.php?workbook=06_02.xlsx&amp;sheet=A0&amp;row=290&amp;col=10&amp;number=&amp;sourceID=34","")</f>
        <v/>
      </c>
      <c r="K290" s="4" t="str">
        <f>HYPERLINK("http://141.218.60.56/~jnz1568/getInfo.php?workbook=06_02.xlsx&amp;sheet=A0&amp;row=290&amp;col=11&amp;number=&amp;sourceID=30","")</f>
        <v/>
      </c>
      <c r="L290" s="4" t="str">
        <f>HYPERLINK("http://141.218.60.56/~jnz1568/getInfo.php?workbook=06_02.xlsx&amp;sheet=A0&amp;row=290&amp;col=12&amp;number=6917&amp;sourceID=30","6917")</f>
        <v>6917</v>
      </c>
      <c r="M290" s="4" t="str">
        <f>HYPERLINK("http://141.218.60.56/~jnz1568/getInfo.php?workbook=06_02.xlsx&amp;sheet=A0&amp;row=290&amp;col=13&amp;number=5.929e-06&amp;sourceID=30","5.929e-06")</f>
        <v>5.929e-06</v>
      </c>
      <c r="N290" s="4" t="str">
        <f>HYPERLINK("http://141.218.60.56/~jnz1568/getInfo.php?workbook=06_02.xlsx&amp;sheet=A0&amp;row=290&amp;col=14&amp;number=&amp;sourceID=30","")</f>
        <v/>
      </c>
      <c r="O290" s="4" t="str">
        <f>HYPERLINK("http://141.218.60.56/~jnz1568/getInfo.php?workbook=06_02.xlsx&amp;sheet=A0&amp;row=290&amp;col=15&amp;number=&amp;sourceID=32","")</f>
        <v/>
      </c>
      <c r="P290" s="4" t="str">
        <f>HYPERLINK("http://141.218.60.56/~jnz1568/getInfo.php?workbook=06_02.xlsx&amp;sheet=A0&amp;row=290&amp;col=16&amp;number=6979&amp;sourceID=32","6979")</f>
        <v>6979</v>
      </c>
      <c r="Q290" s="4" t="str">
        <f>HYPERLINK("http://141.218.60.56/~jnz1568/getInfo.php?workbook=06_02.xlsx&amp;sheet=A0&amp;row=290&amp;col=17&amp;number=8.288e-06&amp;sourceID=32","8.288e-06")</f>
        <v>8.288e-06</v>
      </c>
      <c r="R290" s="4" t="str">
        <f>HYPERLINK("http://141.218.60.56/~jnz1568/getInfo.php?workbook=06_02.xlsx&amp;sheet=A0&amp;row=290&amp;col=18&amp;number=&amp;sourceID=32","")</f>
        <v/>
      </c>
    </row>
    <row r="291" spans="1:18">
      <c r="A291" s="3">
        <v>6</v>
      </c>
      <c r="B291" s="3">
        <v>2</v>
      </c>
      <c r="C291" s="3">
        <v>27</v>
      </c>
      <c r="D291" s="3">
        <v>13</v>
      </c>
      <c r="E291" s="3">
        <f>((1/(INDEX(E0!J$4:J$52,C291,1)-INDEX(E0!J$4:J$52,D291,1))))*100000000</f>
        <v>0</v>
      </c>
      <c r="F291" s="4" t="str">
        <f>HYPERLINK("http://141.218.60.56/~jnz1568/getInfo.php?workbook=06_02.xlsx&amp;sheet=A0&amp;row=291&amp;col=6&amp;number=&amp;sourceID=27","")</f>
        <v/>
      </c>
      <c r="G291" s="4" t="str">
        <f>HYPERLINK("http://141.218.60.56/~jnz1568/getInfo.php?workbook=06_02.xlsx&amp;sheet=A0&amp;row=291&amp;col=7&amp;number=&amp;sourceID=34","")</f>
        <v/>
      </c>
      <c r="H291" s="4" t="str">
        <f>HYPERLINK("http://141.218.60.56/~jnz1568/getInfo.php?workbook=06_02.xlsx&amp;sheet=A0&amp;row=291&amp;col=8&amp;number=&amp;sourceID=34","")</f>
        <v/>
      </c>
      <c r="I291" s="4" t="str">
        <f>HYPERLINK("http://141.218.60.56/~jnz1568/getInfo.php?workbook=06_02.xlsx&amp;sheet=A0&amp;row=291&amp;col=9&amp;number=&amp;sourceID=34","")</f>
        <v/>
      </c>
      <c r="J291" s="4" t="str">
        <f>HYPERLINK("http://141.218.60.56/~jnz1568/getInfo.php?workbook=06_02.xlsx&amp;sheet=A0&amp;row=291&amp;col=10&amp;number=&amp;sourceID=34","")</f>
        <v/>
      </c>
      <c r="K291" s="4" t="str">
        <f>HYPERLINK("http://141.218.60.56/~jnz1568/getInfo.php?workbook=06_02.xlsx&amp;sheet=A0&amp;row=291&amp;col=11&amp;number=7252000000&amp;sourceID=30","7252000000")</f>
        <v>7252000000</v>
      </c>
      <c r="L291" s="4" t="str">
        <f>HYPERLINK("http://141.218.60.56/~jnz1568/getInfo.php?workbook=06_02.xlsx&amp;sheet=A0&amp;row=291&amp;col=12&amp;number=&amp;sourceID=30","")</f>
        <v/>
      </c>
      <c r="M291" s="4" t="str">
        <f>HYPERLINK("http://141.218.60.56/~jnz1568/getInfo.php?workbook=06_02.xlsx&amp;sheet=A0&amp;row=291&amp;col=13&amp;number=&amp;sourceID=30","")</f>
        <v/>
      </c>
      <c r="N291" s="4" t="str">
        <f>HYPERLINK("http://141.218.60.56/~jnz1568/getInfo.php?workbook=06_02.xlsx&amp;sheet=A0&amp;row=291&amp;col=14&amp;number=0.2644&amp;sourceID=30","0.2644")</f>
        <v>0.2644</v>
      </c>
      <c r="O291" s="4" t="str">
        <f>HYPERLINK("http://141.218.60.56/~jnz1568/getInfo.php?workbook=06_02.xlsx&amp;sheet=A0&amp;row=291&amp;col=15&amp;number=7254000000&amp;sourceID=32","7254000000")</f>
        <v>7254000000</v>
      </c>
      <c r="P291" s="4" t="str">
        <f>HYPERLINK("http://141.218.60.56/~jnz1568/getInfo.php?workbook=06_02.xlsx&amp;sheet=A0&amp;row=291&amp;col=16&amp;number=&amp;sourceID=32","")</f>
        <v/>
      </c>
      <c r="Q291" s="4" t="str">
        <f>HYPERLINK("http://141.218.60.56/~jnz1568/getInfo.php?workbook=06_02.xlsx&amp;sheet=A0&amp;row=291&amp;col=17&amp;number=&amp;sourceID=32","")</f>
        <v/>
      </c>
      <c r="R291" s="4" t="str">
        <f>HYPERLINK("http://141.218.60.56/~jnz1568/getInfo.php?workbook=06_02.xlsx&amp;sheet=A0&amp;row=291&amp;col=18&amp;number=0.265&amp;sourceID=32","0.265")</f>
        <v>0.265</v>
      </c>
    </row>
    <row r="292" spans="1:18">
      <c r="A292" s="3">
        <v>6</v>
      </c>
      <c r="B292" s="3">
        <v>2</v>
      </c>
      <c r="C292" s="3">
        <v>27</v>
      </c>
      <c r="D292" s="3">
        <v>14</v>
      </c>
      <c r="E292" s="3">
        <f>((1/(INDEX(E0!J$4:J$52,C292,1)-INDEX(E0!J$4:J$52,D292,1))))*100000000</f>
        <v>0</v>
      </c>
      <c r="F292" s="4" t="str">
        <f>HYPERLINK("http://141.218.60.56/~jnz1568/getInfo.php?workbook=06_02.xlsx&amp;sheet=A0&amp;row=292&amp;col=6&amp;number=&amp;sourceID=27","")</f>
        <v/>
      </c>
      <c r="G292" s="4" t="str">
        <f>HYPERLINK("http://141.218.60.56/~jnz1568/getInfo.php?workbook=06_02.xlsx&amp;sheet=A0&amp;row=292&amp;col=7&amp;number=&amp;sourceID=34","")</f>
        <v/>
      </c>
      <c r="H292" s="4" t="str">
        <f>HYPERLINK("http://141.218.60.56/~jnz1568/getInfo.php?workbook=06_02.xlsx&amp;sheet=A0&amp;row=292&amp;col=8&amp;number=&amp;sourceID=34","")</f>
        <v/>
      </c>
      <c r="I292" s="4" t="str">
        <f>HYPERLINK("http://141.218.60.56/~jnz1568/getInfo.php?workbook=06_02.xlsx&amp;sheet=A0&amp;row=292&amp;col=9&amp;number=&amp;sourceID=34","")</f>
        <v/>
      </c>
      <c r="J292" s="4" t="str">
        <f>HYPERLINK("http://141.218.60.56/~jnz1568/getInfo.php?workbook=06_02.xlsx&amp;sheet=A0&amp;row=292&amp;col=10&amp;number=&amp;sourceID=34","")</f>
        <v/>
      </c>
      <c r="K292" s="4" t="str">
        <f>HYPERLINK("http://141.218.60.56/~jnz1568/getInfo.php?workbook=06_02.xlsx&amp;sheet=A0&amp;row=292&amp;col=11&amp;number=1339000000&amp;sourceID=30","1339000000")</f>
        <v>1339000000</v>
      </c>
      <c r="L292" s="4" t="str">
        <f>HYPERLINK("http://141.218.60.56/~jnz1568/getInfo.php?workbook=06_02.xlsx&amp;sheet=A0&amp;row=292&amp;col=12&amp;number=&amp;sourceID=30","")</f>
        <v/>
      </c>
      <c r="M292" s="4" t="str">
        <f>HYPERLINK("http://141.218.60.56/~jnz1568/getInfo.php?workbook=06_02.xlsx&amp;sheet=A0&amp;row=292&amp;col=13&amp;number=&amp;sourceID=30","")</f>
        <v/>
      </c>
      <c r="N292" s="4" t="str">
        <f>HYPERLINK("http://141.218.60.56/~jnz1568/getInfo.php?workbook=06_02.xlsx&amp;sheet=A0&amp;row=292&amp;col=14&amp;number=0.07412&amp;sourceID=30","0.07412")</f>
        <v>0.07412</v>
      </c>
      <c r="O292" s="4" t="str">
        <f>HYPERLINK("http://141.218.60.56/~jnz1568/getInfo.php?workbook=06_02.xlsx&amp;sheet=A0&amp;row=292&amp;col=15&amp;number=1338000000&amp;sourceID=32","1338000000")</f>
        <v>1338000000</v>
      </c>
      <c r="P292" s="4" t="str">
        <f>HYPERLINK("http://141.218.60.56/~jnz1568/getInfo.php?workbook=06_02.xlsx&amp;sheet=A0&amp;row=292&amp;col=16&amp;number=&amp;sourceID=32","")</f>
        <v/>
      </c>
      <c r="Q292" s="4" t="str">
        <f>HYPERLINK("http://141.218.60.56/~jnz1568/getInfo.php?workbook=06_02.xlsx&amp;sheet=A0&amp;row=292&amp;col=17&amp;number=&amp;sourceID=32","")</f>
        <v/>
      </c>
      <c r="R292" s="4" t="str">
        <f>HYPERLINK("http://141.218.60.56/~jnz1568/getInfo.php?workbook=06_02.xlsx&amp;sheet=A0&amp;row=292&amp;col=18&amp;number=0.07533&amp;sourceID=32","0.07533")</f>
        <v>0.07533</v>
      </c>
    </row>
    <row r="293" spans="1:18">
      <c r="A293" s="3">
        <v>6</v>
      </c>
      <c r="B293" s="3">
        <v>2</v>
      </c>
      <c r="C293" s="3">
        <v>27</v>
      </c>
      <c r="D293" s="3">
        <v>15</v>
      </c>
      <c r="E293" s="3">
        <f>((1/(INDEX(E0!J$4:J$52,C293,1)-INDEX(E0!J$4:J$52,D293,1))))*100000000</f>
        <v>0</v>
      </c>
      <c r="F293" s="4" t="str">
        <f>HYPERLINK("http://141.218.60.56/~jnz1568/getInfo.php?workbook=06_02.xlsx&amp;sheet=A0&amp;row=293&amp;col=6&amp;number=&amp;sourceID=27","")</f>
        <v/>
      </c>
      <c r="G293" s="4" t="str">
        <f>HYPERLINK("http://141.218.60.56/~jnz1568/getInfo.php?workbook=06_02.xlsx&amp;sheet=A0&amp;row=293&amp;col=7&amp;number=&amp;sourceID=34","")</f>
        <v/>
      </c>
      <c r="H293" s="4" t="str">
        <f>HYPERLINK("http://141.218.60.56/~jnz1568/getInfo.php?workbook=06_02.xlsx&amp;sheet=A0&amp;row=293&amp;col=8&amp;number=&amp;sourceID=34","")</f>
        <v/>
      </c>
      <c r="I293" s="4" t="str">
        <f>HYPERLINK("http://141.218.60.56/~jnz1568/getInfo.php?workbook=06_02.xlsx&amp;sheet=A0&amp;row=293&amp;col=9&amp;number=&amp;sourceID=34","")</f>
        <v/>
      </c>
      <c r="J293" s="4" t="str">
        <f>HYPERLINK("http://141.218.60.56/~jnz1568/getInfo.php?workbook=06_02.xlsx&amp;sheet=A0&amp;row=293&amp;col=10&amp;number=&amp;sourceID=34","")</f>
        <v/>
      </c>
      <c r="K293" s="4" t="str">
        <f>HYPERLINK("http://141.218.60.56/~jnz1568/getInfo.php?workbook=06_02.xlsx&amp;sheet=A0&amp;row=293&amp;col=11&amp;number=38360000&amp;sourceID=30","38360000")</f>
        <v>38360000</v>
      </c>
      <c r="L293" s="4" t="str">
        <f>HYPERLINK("http://141.218.60.56/~jnz1568/getInfo.php?workbook=06_02.xlsx&amp;sheet=A0&amp;row=293&amp;col=12&amp;number=&amp;sourceID=30","")</f>
        <v/>
      </c>
      <c r="M293" s="4" t="str">
        <f>HYPERLINK("http://141.218.60.56/~jnz1568/getInfo.php?workbook=06_02.xlsx&amp;sheet=A0&amp;row=293&amp;col=13&amp;number=&amp;sourceID=30","")</f>
        <v/>
      </c>
      <c r="N293" s="4" t="str">
        <f>HYPERLINK("http://141.218.60.56/~jnz1568/getInfo.php?workbook=06_02.xlsx&amp;sheet=A0&amp;row=293&amp;col=14&amp;number=1.629e-12&amp;sourceID=30","1.629e-12")</f>
        <v>1.629e-12</v>
      </c>
      <c r="O293" s="4" t="str">
        <f>HYPERLINK("http://141.218.60.56/~jnz1568/getInfo.php?workbook=06_02.xlsx&amp;sheet=A0&amp;row=293&amp;col=15&amp;number=38370000&amp;sourceID=32","38370000")</f>
        <v>38370000</v>
      </c>
      <c r="P293" s="4" t="str">
        <f>HYPERLINK("http://141.218.60.56/~jnz1568/getInfo.php?workbook=06_02.xlsx&amp;sheet=A0&amp;row=293&amp;col=16&amp;number=&amp;sourceID=32","")</f>
        <v/>
      </c>
      <c r="Q293" s="4" t="str">
        <f>HYPERLINK("http://141.218.60.56/~jnz1568/getInfo.php?workbook=06_02.xlsx&amp;sheet=A0&amp;row=293&amp;col=17&amp;number=&amp;sourceID=32","")</f>
        <v/>
      </c>
      <c r="R293" s="4" t="str">
        <f>HYPERLINK("http://141.218.60.56/~jnz1568/getInfo.php?workbook=06_02.xlsx&amp;sheet=A0&amp;row=293&amp;col=18&amp;number=2.807e-09&amp;sourceID=32","2.807e-09")</f>
        <v>2.807e-09</v>
      </c>
    </row>
    <row r="294" spans="1:18">
      <c r="A294" s="3">
        <v>6</v>
      </c>
      <c r="B294" s="3">
        <v>2</v>
      </c>
      <c r="C294" s="3">
        <v>27</v>
      </c>
      <c r="D294" s="3">
        <v>16</v>
      </c>
      <c r="E294" s="3">
        <f>((1/(INDEX(E0!J$4:J$52,C294,1)-INDEX(E0!J$4:J$52,D294,1))))*100000000</f>
        <v>0</v>
      </c>
      <c r="F294" s="4" t="str">
        <f>HYPERLINK("http://141.218.60.56/~jnz1568/getInfo.php?workbook=06_02.xlsx&amp;sheet=A0&amp;row=294&amp;col=6&amp;number=&amp;sourceID=27","")</f>
        <v/>
      </c>
      <c r="G294" s="4" t="str">
        <f>HYPERLINK("http://141.218.60.56/~jnz1568/getInfo.php?workbook=06_02.xlsx&amp;sheet=A0&amp;row=294&amp;col=7&amp;number=&amp;sourceID=34","")</f>
        <v/>
      </c>
      <c r="H294" s="4" t="str">
        <f>HYPERLINK("http://141.218.60.56/~jnz1568/getInfo.php?workbook=06_02.xlsx&amp;sheet=A0&amp;row=294&amp;col=8&amp;number=&amp;sourceID=34","")</f>
        <v/>
      </c>
      <c r="I294" s="4" t="str">
        <f>HYPERLINK("http://141.218.60.56/~jnz1568/getInfo.php?workbook=06_02.xlsx&amp;sheet=A0&amp;row=294&amp;col=9&amp;number=&amp;sourceID=34","")</f>
        <v/>
      </c>
      <c r="J294" s="4" t="str">
        <f>HYPERLINK("http://141.218.60.56/~jnz1568/getInfo.php?workbook=06_02.xlsx&amp;sheet=A0&amp;row=294&amp;col=10&amp;number=&amp;sourceID=34","")</f>
        <v/>
      </c>
      <c r="K294" s="4" t="str">
        <f>HYPERLINK("http://141.218.60.56/~jnz1568/getInfo.php?workbook=06_02.xlsx&amp;sheet=A0&amp;row=294&amp;col=11&amp;number=4196000&amp;sourceID=30","4196000")</f>
        <v>4196000</v>
      </c>
      <c r="L294" s="4" t="str">
        <f>HYPERLINK("http://141.218.60.56/~jnz1568/getInfo.php?workbook=06_02.xlsx&amp;sheet=A0&amp;row=294&amp;col=12&amp;number=&amp;sourceID=30","")</f>
        <v/>
      </c>
      <c r="M294" s="4" t="str">
        <f>HYPERLINK("http://141.218.60.56/~jnz1568/getInfo.php?workbook=06_02.xlsx&amp;sheet=A0&amp;row=294&amp;col=13&amp;number=&amp;sourceID=30","")</f>
        <v/>
      </c>
      <c r="N294" s="4" t="str">
        <f>HYPERLINK("http://141.218.60.56/~jnz1568/getInfo.php?workbook=06_02.xlsx&amp;sheet=A0&amp;row=294&amp;col=14&amp;number=0.03896&amp;sourceID=30","0.03896")</f>
        <v>0.03896</v>
      </c>
      <c r="O294" s="4" t="str">
        <f>HYPERLINK("http://141.218.60.56/~jnz1568/getInfo.php?workbook=06_02.xlsx&amp;sheet=A0&amp;row=294&amp;col=15&amp;number=5721000&amp;sourceID=32","5721000")</f>
        <v>5721000</v>
      </c>
      <c r="P294" s="4" t="str">
        <f>HYPERLINK("http://141.218.60.56/~jnz1568/getInfo.php?workbook=06_02.xlsx&amp;sheet=A0&amp;row=294&amp;col=16&amp;number=&amp;sourceID=32","")</f>
        <v/>
      </c>
      <c r="Q294" s="4" t="str">
        <f>HYPERLINK("http://141.218.60.56/~jnz1568/getInfo.php?workbook=06_02.xlsx&amp;sheet=A0&amp;row=294&amp;col=17&amp;number=&amp;sourceID=32","")</f>
        <v/>
      </c>
      <c r="R294" s="4" t="str">
        <f>HYPERLINK("http://141.218.60.56/~jnz1568/getInfo.php?workbook=06_02.xlsx&amp;sheet=A0&amp;row=294&amp;col=18&amp;number=0.03808&amp;sourceID=32","0.03808")</f>
        <v>0.03808</v>
      </c>
    </row>
    <row r="295" spans="1:18">
      <c r="A295" s="3">
        <v>6</v>
      </c>
      <c r="B295" s="3">
        <v>2</v>
      </c>
      <c r="C295" s="3">
        <v>27</v>
      </c>
      <c r="D295" s="3">
        <v>17</v>
      </c>
      <c r="E295" s="3">
        <f>((1/(INDEX(E0!J$4:J$52,C295,1)-INDEX(E0!J$4:J$52,D295,1))))*100000000</f>
        <v>0</v>
      </c>
      <c r="F295" s="4" t="str">
        <f>HYPERLINK("http://141.218.60.56/~jnz1568/getInfo.php?workbook=06_02.xlsx&amp;sheet=A0&amp;row=295&amp;col=6&amp;number=&amp;sourceID=27","")</f>
        <v/>
      </c>
      <c r="G295" s="4" t="str">
        <f>HYPERLINK("http://141.218.60.56/~jnz1568/getInfo.php?workbook=06_02.xlsx&amp;sheet=A0&amp;row=295&amp;col=7&amp;number=&amp;sourceID=34","")</f>
        <v/>
      </c>
      <c r="H295" s="4" t="str">
        <f>HYPERLINK("http://141.218.60.56/~jnz1568/getInfo.php?workbook=06_02.xlsx&amp;sheet=A0&amp;row=295&amp;col=8&amp;number=&amp;sourceID=34","")</f>
        <v/>
      </c>
      <c r="I295" s="4" t="str">
        <f>HYPERLINK("http://141.218.60.56/~jnz1568/getInfo.php?workbook=06_02.xlsx&amp;sheet=A0&amp;row=295&amp;col=9&amp;number=&amp;sourceID=34","")</f>
        <v/>
      </c>
      <c r="J295" s="4" t="str">
        <f>HYPERLINK("http://141.218.60.56/~jnz1568/getInfo.php?workbook=06_02.xlsx&amp;sheet=A0&amp;row=295&amp;col=10&amp;number=&amp;sourceID=34","")</f>
        <v/>
      </c>
      <c r="K295" s="4" t="str">
        <f>HYPERLINK("http://141.218.60.56/~jnz1568/getInfo.php?workbook=06_02.xlsx&amp;sheet=A0&amp;row=295&amp;col=11&amp;number=&amp;sourceID=30","")</f>
        <v/>
      </c>
      <c r="L295" s="4" t="str">
        <f>HYPERLINK("http://141.218.60.56/~jnz1568/getInfo.php?workbook=06_02.xlsx&amp;sheet=A0&amp;row=295&amp;col=12&amp;number=1.115&amp;sourceID=30","1.115")</f>
        <v>1.115</v>
      </c>
      <c r="M295" s="4" t="str">
        <f>HYPERLINK("http://141.218.60.56/~jnz1568/getInfo.php?workbook=06_02.xlsx&amp;sheet=A0&amp;row=295&amp;col=13&amp;number=7.953e-06&amp;sourceID=30","7.953e-06")</f>
        <v>7.953e-06</v>
      </c>
      <c r="N295" s="4" t="str">
        <f>HYPERLINK("http://141.218.60.56/~jnz1568/getInfo.php?workbook=06_02.xlsx&amp;sheet=A0&amp;row=295&amp;col=14&amp;number=&amp;sourceID=30","")</f>
        <v/>
      </c>
      <c r="O295" s="4" t="str">
        <f>HYPERLINK("http://141.218.60.56/~jnz1568/getInfo.php?workbook=06_02.xlsx&amp;sheet=A0&amp;row=295&amp;col=15&amp;number=&amp;sourceID=32","")</f>
        <v/>
      </c>
      <c r="P295" s="4" t="str">
        <f>HYPERLINK("http://141.218.60.56/~jnz1568/getInfo.php?workbook=06_02.xlsx&amp;sheet=A0&amp;row=295&amp;col=16&amp;number=1.222&amp;sourceID=32","1.222")</f>
        <v>1.222</v>
      </c>
      <c r="Q295" s="4" t="str">
        <f>HYPERLINK("http://141.218.60.56/~jnz1568/getInfo.php?workbook=06_02.xlsx&amp;sheet=A0&amp;row=295&amp;col=17&amp;number=1.443e-05&amp;sourceID=32","1.443e-05")</f>
        <v>1.443e-05</v>
      </c>
      <c r="R295" s="4" t="str">
        <f>HYPERLINK("http://141.218.60.56/~jnz1568/getInfo.php?workbook=06_02.xlsx&amp;sheet=A0&amp;row=295&amp;col=18&amp;number=&amp;sourceID=32","")</f>
        <v/>
      </c>
    </row>
    <row r="296" spans="1:18">
      <c r="A296" s="3">
        <v>6</v>
      </c>
      <c r="B296" s="3">
        <v>2</v>
      </c>
      <c r="C296" s="3">
        <v>27</v>
      </c>
      <c r="D296" s="3">
        <v>18</v>
      </c>
      <c r="E296" s="3">
        <f>((1/(INDEX(E0!J$4:J$52,C296,1)-INDEX(E0!J$4:J$52,D296,1))))*100000000</f>
        <v>0</v>
      </c>
      <c r="F296" s="4" t="str">
        <f>HYPERLINK("http://141.218.60.56/~jnz1568/getInfo.php?workbook=06_02.xlsx&amp;sheet=A0&amp;row=296&amp;col=6&amp;number=&amp;sourceID=27","")</f>
        <v/>
      </c>
      <c r="G296" s="4" t="str">
        <f>HYPERLINK("http://141.218.60.56/~jnz1568/getInfo.php?workbook=06_02.xlsx&amp;sheet=A0&amp;row=296&amp;col=7&amp;number=&amp;sourceID=34","")</f>
        <v/>
      </c>
      <c r="H296" s="4" t="str">
        <f>HYPERLINK("http://141.218.60.56/~jnz1568/getInfo.php?workbook=06_02.xlsx&amp;sheet=A0&amp;row=296&amp;col=8&amp;number=&amp;sourceID=34","")</f>
        <v/>
      </c>
      <c r="I296" s="4" t="str">
        <f>HYPERLINK("http://141.218.60.56/~jnz1568/getInfo.php?workbook=06_02.xlsx&amp;sheet=A0&amp;row=296&amp;col=9&amp;number=&amp;sourceID=34","")</f>
        <v/>
      </c>
      <c r="J296" s="4" t="str">
        <f>HYPERLINK("http://141.218.60.56/~jnz1568/getInfo.php?workbook=06_02.xlsx&amp;sheet=A0&amp;row=296&amp;col=10&amp;number=&amp;sourceID=34","")</f>
        <v/>
      </c>
      <c r="K296" s="4" t="str">
        <f>HYPERLINK("http://141.218.60.56/~jnz1568/getInfo.php?workbook=06_02.xlsx&amp;sheet=A0&amp;row=296&amp;col=11&amp;number=0.01321&amp;sourceID=30","0.01321")</f>
        <v>0.01321</v>
      </c>
      <c r="L296" s="4" t="str">
        <f>HYPERLINK("http://141.218.60.56/~jnz1568/getInfo.php?workbook=06_02.xlsx&amp;sheet=A0&amp;row=296&amp;col=12&amp;number=&amp;sourceID=30","")</f>
        <v/>
      </c>
      <c r="M296" s="4" t="str">
        <f>HYPERLINK("http://141.218.60.56/~jnz1568/getInfo.php?workbook=06_02.xlsx&amp;sheet=A0&amp;row=296&amp;col=13&amp;number=&amp;sourceID=30","")</f>
        <v/>
      </c>
      <c r="N296" s="4" t="str">
        <f>HYPERLINK("http://141.218.60.56/~jnz1568/getInfo.php?workbook=06_02.xlsx&amp;sheet=A0&amp;row=296&amp;col=14&amp;number=1e-15&amp;sourceID=30","1e-15")</f>
        <v>1e-15</v>
      </c>
      <c r="O296" s="4" t="str">
        <f>HYPERLINK("http://141.218.60.56/~jnz1568/getInfo.php?workbook=06_02.xlsx&amp;sheet=A0&amp;row=296&amp;col=15&amp;number=0.0139&amp;sourceID=32","0.0139")</f>
        <v>0.0139</v>
      </c>
      <c r="P296" s="4" t="str">
        <f>HYPERLINK("http://141.218.60.56/~jnz1568/getInfo.php?workbook=06_02.xlsx&amp;sheet=A0&amp;row=296&amp;col=16&amp;number=&amp;sourceID=32","")</f>
        <v/>
      </c>
      <c r="Q296" s="4" t="str">
        <f>HYPERLINK("http://141.218.60.56/~jnz1568/getInfo.php?workbook=06_02.xlsx&amp;sheet=A0&amp;row=296&amp;col=17&amp;number=&amp;sourceID=32","")</f>
        <v/>
      </c>
      <c r="R296" s="4" t="str">
        <f>HYPERLINK("http://141.218.60.56/~jnz1568/getInfo.php?workbook=06_02.xlsx&amp;sheet=A0&amp;row=296&amp;col=18&amp;number=1e-15&amp;sourceID=32","1e-15")</f>
        <v>1e-15</v>
      </c>
    </row>
    <row r="297" spans="1:18">
      <c r="A297" s="3">
        <v>6</v>
      </c>
      <c r="B297" s="3">
        <v>2</v>
      </c>
      <c r="C297" s="3">
        <v>27</v>
      </c>
      <c r="D297" s="3">
        <v>19</v>
      </c>
      <c r="E297" s="3">
        <f>((1/(INDEX(E0!J$4:J$52,C297,1)-INDEX(E0!J$4:J$52,D297,1))))*100000000</f>
        <v>0</v>
      </c>
      <c r="F297" s="4" t="str">
        <f>HYPERLINK("http://141.218.60.56/~jnz1568/getInfo.php?workbook=06_02.xlsx&amp;sheet=A0&amp;row=297&amp;col=6&amp;number=&amp;sourceID=27","")</f>
        <v/>
      </c>
      <c r="G297" s="4" t="str">
        <f>HYPERLINK("http://141.218.60.56/~jnz1568/getInfo.php?workbook=06_02.xlsx&amp;sheet=A0&amp;row=297&amp;col=7&amp;number=&amp;sourceID=34","")</f>
        <v/>
      </c>
      <c r="H297" s="4" t="str">
        <f>HYPERLINK("http://141.218.60.56/~jnz1568/getInfo.php?workbook=06_02.xlsx&amp;sheet=A0&amp;row=297&amp;col=8&amp;number=&amp;sourceID=34","")</f>
        <v/>
      </c>
      <c r="I297" s="4" t="str">
        <f>HYPERLINK("http://141.218.60.56/~jnz1568/getInfo.php?workbook=06_02.xlsx&amp;sheet=A0&amp;row=297&amp;col=9&amp;number=&amp;sourceID=34","")</f>
        <v/>
      </c>
      <c r="J297" s="4" t="str">
        <f>HYPERLINK("http://141.218.60.56/~jnz1568/getInfo.php?workbook=06_02.xlsx&amp;sheet=A0&amp;row=297&amp;col=10&amp;number=&amp;sourceID=34","")</f>
        <v/>
      </c>
      <c r="K297" s="4" t="str">
        <f>HYPERLINK("http://141.218.60.56/~jnz1568/getInfo.php?workbook=06_02.xlsx&amp;sheet=A0&amp;row=297&amp;col=11&amp;number=&amp;sourceID=30","")</f>
        <v/>
      </c>
      <c r="L297" s="4" t="str">
        <f>HYPERLINK("http://141.218.60.56/~jnz1568/getInfo.php?workbook=06_02.xlsx&amp;sheet=A0&amp;row=297&amp;col=12&amp;number=&amp;sourceID=30","")</f>
        <v/>
      </c>
      <c r="M297" s="4" t="str">
        <f>HYPERLINK("http://141.218.60.56/~jnz1568/getInfo.php?workbook=06_02.xlsx&amp;sheet=A0&amp;row=297&amp;col=13&amp;number=&amp;sourceID=30","")</f>
        <v/>
      </c>
      <c r="N297" s="4" t="str">
        <f>HYPERLINK("http://141.218.60.56/~jnz1568/getInfo.php?workbook=06_02.xlsx&amp;sheet=A0&amp;row=297&amp;col=14&amp;number=0&amp;sourceID=30","0")</f>
        <v>0</v>
      </c>
      <c r="O297" s="4" t="str">
        <f>HYPERLINK("http://141.218.60.56/~jnz1568/getInfo.php?workbook=06_02.xlsx&amp;sheet=A0&amp;row=297&amp;col=15&amp;number=&amp;sourceID=32","")</f>
        <v/>
      </c>
      <c r="P297" s="4" t="str">
        <f>HYPERLINK("http://141.218.60.56/~jnz1568/getInfo.php?workbook=06_02.xlsx&amp;sheet=A0&amp;row=297&amp;col=16&amp;number=&amp;sourceID=32","")</f>
        <v/>
      </c>
      <c r="Q297" s="4" t="str">
        <f>HYPERLINK("http://141.218.60.56/~jnz1568/getInfo.php?workbook=06_02.xlsx&amp;sheet=A0&amp;row=297&amp;col=17&amp;number=&amp;sourceID=32","")</f>
        <v/>
      </c>
      <c r="R297" s="4" t="str">
        <f>HYPERLINK("http://141.218.60.56/~jnz1568/getInfo.php?workbook=06_02.xlsx&amp;sheet=A0&amp;row=297&amp;col=18&amp;number=0&amp;sourceID=32","0")</f>
        <v>0</v>
      </c>
    </row>
    <row r="298" spans="1:18">
      <c r="A298" s="3">
        <v>6</v>
      </c>
      <c r="B298" s="3">
        <v>2</v>
      </c>
      <c r="C298" s="3">
        <v>27</v>
      </c>
      <c r="D298" s="3">
        <v>20</v>
      </c>
      <c r="E298" s="3">
        <f>((1/(INDEX(E0!J$4:J$52,C298,1)-INDEX(E0!J$4:J$52,D298,1))))*100000000</f>
        <v>0</v>
      </c>
      <c r="F298" s="4" t="str">
        <f>HYPERLINK("http://141.218.60.56/~jnz1568/getInfo.php?workbook=06_02.xlsx&amp;sheet=A0&amp;row=298&amp;col=6&amp;number=&amp;sourceID=27","")</f>
        <v/>
      </c>
      <c r="G298" s="4" t="str">
        <f>HYPERLINK("http://141.218.60.56/~jnz1568/getInfo.php?workbook=06_02.xlsx&amp;sheet=A0&amp;row=298&amp;col=7&amp;number=&amp;sourceID=34","")</f>
        <v/>
      </c>
      <c r="H298" s="4" t="str">
        <f>HYPERLINK("http://141.218.60.56/~jnz1568/getInfo.php?workbook=06_02.xlsx&amp;sheet=A0&amp;row=298&amp;col=8&amp;number=&amp;sourceID=34","")</f>
        <v/>
      </c>
      <c r="I298" s="4" t="str">
        <f>HYPERLINK("http://141.218.60.56/~jnz1568/getInfo.php?workbook=06_02.xlsx&amp;sheet=A0&amp;row=298&amp;col=9&amp;number=&amp;sourceID=34","")</f>
        <v/>
      </c>
      <c r="J298" s="4" t="str">
        <f>HYPERLINK("http://141.218.60.56/~jnz1568/getInfo.php?workbook=06_02.xlsx&amp;sheet=A0&amp;row=298&amp;col=10&amp;number=&amp;sourceID=34","")</f>
        <v/>
      </c>
      <c r="K298" s="4" t="str">
        <f>HYPERLINK("http://141.218.60.56/~jnz1568/getInfo.php?workbook=06_02.xlsx&amp;sheet=A0&amp;row=298&amp;col=11&amp;number=&amp;sourceID=30","")</f>
        <v/>
      </c>
      <c r="L298" s="4" t="str">
        <f>HYPERLINK("http://141.218.60.56/~jnz1568/getInfo.php?workbook=06_02.xlsx&amp;sheet=A0&amp;row=298&amp;col=12&amp;number=0.0002526&amp;sourceID=30","0.0002526")</f>
        <v>0.0002526</v>
      </c>
      <c r="M298" s="4" t="str">
        <f>HYPERLINK("http://141.218.60.56/~jnz1568/getInfo.php?workbook=06_02.xlsx&amp;sheet=A0&amp;row=298&amp;col=13&amp;number=&amp;sourceID=30","")</f>
        <v/>
      </c>
      <c r="N298" s="4" t="str">
        <f>HYPERLINK("http://141.218.60.56/~jnz1568/getInfo.php?workbook=06_02.xlsx&amp;sheet=A0&amp;row=298&amp;col=14&amp;number=&amp;sourceID=30","")</f>
        <v/>
      </c>
      <c r="O298" s="4" t="str">
        <f>HYPERLINK("http://141.218.60.56/~jnz1568/getInfo.php?workbook=06_02.xlsx&amp;sheet=A0&amp;row=298&amp;col=15&amp;number=&amp;sourceID=32","")</f>
        <v/>
      </c>
      <c r="P298" s="4" t="str">
        <f>HYPERLINK("http://141.218.60.56/~jnz1568/getInfo.php?workbook=06_02.xlsx&amp;sheet=A0&amp;row=298&amp;col=16&amp;number=0.0003263&amp;sourceID=32","0.0003263")</f>
        <v>0.0003263</v>
      </c>
      <c r="Q298" s="4" t="str">
        <f>HYPERLINK("http://141.218.60.56/~jnz1568/getInfo.php?workbook=06_02.xlsx&amp;sheet=A0&amp;row=298&amp;col=17&amp;number=&amp;sourceID=32","")</f>
        <v/>
      </c>
      <c r="R298" s="4" t="str">
        <f>HYPERLINK("http://141.218.60.56/~jnz1568/getInfo.php?workbook=06_02.xlsx&amp;sheet=A0&amp;row=298&amp;col=18&amp;number=&amp;sourceID=32","")</f>
        <v/>
      </c>
    </row>
    <row r="299" spans="1:18">
      <c r="A299" s="3">
        <v>6</v>
      </c>
      <c r="B299" s="3">
        <v>2</v>
      </c>
      <c r="C299" s="3">
        <v>27</v>
      </c>
      <c r="D299" s="3">
        <v>21</v>
      </c>
      <c r="E299" s="3">
        <f>((1/(INDEX(E0!J$4:J$52,C299,1)-INDEX(E0!J$4:J$52,D299,1))))*100000000</f>
        <v>0</v>
      </c>
      <c r="F299" s="4" t="str">
        <f>HYPERLINK("http://141.218.60.56/~jnz1568/getInfo.php?workbook=06_02.xlsx&amp;sheet=A0&amp;row=299&amp;col=6&amp;number=&amp;sourceID=27","")</f>
        <v/>
      </c>
      <c r="G299" s="4" t="str">
        <f>HYPERLINK("http://141.218.60.56/~jnz1568/getInfo.php?workbook=06_02.xlsx&amp;sheet=A0&amp;row=299&amp;col=7&amp;number=&amp;sourceID=34","")</f>
        <v/>
      </c>
      <c r="H299" s="4" t="str">
        <f>HYPERLINK("http://141.218.60.56/~jnz1568/getInfo.php?workbook=06_02.xlsx&amp;sheet=A0&amp;row=299&amp;col=8&amp;number=&amp;sourceID=34","")</f>
        <v/>
      </c>
      <c r="I299" s="4" t="str">
        <f>HYPERLINK("http://141.218.60.56/~jnz1568/getInfo.php?workbook=06_02.xlsx&amp;sheet=A0&amp;row=299&amp;col=9&amp;number=&amp;sourceID=34","")</f>
        <v/>
      </c>
      <c r="J299" s="4" t="str">
        <f>HYPERLINK("http://141.218.60.56/~jnz1568/getInfo.php?workbook=06_02.xlsx&amp;sheet=A0&amp;row=299&amp;col=10&amp;number=&amp;sourceID=34","")</f>
        <v/>
      </c>
      <c r="K299" s="4" t="str">
        <f>HYPERLINK("http://141.218.60.56/~jnz1568/getInfo.php?workbook=06_02.xlsx&amp;sheet=A0&amp;row=299&amp;col=11&amp;number=&amp;sourceID=30","")</f>
        <v/>
      </c>
      <c r="L299" s="4" t="str">
        <f>HYPERLINK("http://141.218.60.56/~jnz1568/getInfo.php?workbook=06_02.xlsx&amp;sheet=A0&amp;row=299&amp;col=12&amp;number=0.0002527&amp;sourceID=30","0.0002527")</f>
        <v>0.0002527</v>
      </c>
      <c r="M299" s="4" t="str">
        <f>HYPERLINK("http://141.218.60.56/~jnz1568/getInfo.php?workbook=06_02.xlsx&amp;sheet=A0&amp;row=299&amp;col=13&amp;number=3.899e-11&amp;sourceID=30","3.899e-11")</f>
        <v>3.899e-11</v>
      </c>
      <c r="N299" s="4" t="str">
        <f>HYPERLINK("http://141.218.60.56/~jnz1568/getInfo.php?workbook=06_02.xlsx&amp;sheet=A0&amp;row=299&amp;col=14&amp;number=&amp;sourceID=30","")</f>
        <v/>
      </c>
      <c r="O299" s="4" t="str">
        <f>HYPERLINK("http://141.218.60.56/~jnz1568/getInfo.php?workbook=06_02.xlsx&amp;sheet=A0&amp;row=299&amp;col=15&amp;number=&amp;sourceID=32","")</f>
        <v/>
      </c>
      <c r="P299" s="4" t="str">
        <f>HYPERLINK("http://141.218.60.56/~jnz1568/getInfo.php?workbook=06_02.xlsx&amp;sheet=A0&amp;row=299&amp;col=16&amp;number=0.0003262&amp;sourceID=32","0.0003262")</f>
        <v>0.0003262</v>
      </c>
      <c r="Q299" s="4" t="str">
        <f>HYPERLINK("http://141.218.60.56/~jnz1568/getInfo.php?workbook=06_02.xlsx&amp;sheet=A0&amp;row=299&amp;col=17&amp;number=4.074e-11&amp;sourceID=32","4.074e-11")</f>
        <v>4.074e-11</v>
      </c>
      <c r="R299" s="4" t="str">
        <f>HYPERLINK("http://141.218.60.56/~jnz1568/getInfo.php?workbook=06_02.xlsx&amp;sheet=A0&amp;row=299&amp;col=18&amp;number=&amp;sourceID=32","")</f>
        <v/>
      </c>
    </row>
    <row r="300" spans="1:18">
      <c r="A300" s="3">
        <v>6</v>
      </c>
      <c r="B300" s="3">
        <v>2</v>
      </c>
      <c r="C300" s="3">
        <v>27</v>
      </c>
      <c r="D300" s="3">
        <v>22</v>
      </c>
      <c r="E300" s="3">
        <f>((1/(INDEX(E0!J$4:J$52,C300,1)-INDEX(E0!J$4:J$52,D300,1))))*100000000</f>
        <v>0</v>
      </c>
      <c r="F300" s="4" t="str">
        <f>HYPERLINK("http://141.218.60.56/~jnz1568/getInfo.php?workbook=06_02.xlsx&amp;sheet=A0&amp;row=300&amp;col=6&amp;number=&amp;sourceID=27","")</f>
        <v/>
      </c>
      <c r="G300" s="4" t="str">
        <f>HYPERLINK("http://141.218.60.56/~jnz1568/getInfo.php?workbook=06_02.xlsx&amp;sheet=A0&amp;row=300&amp;col=7&amp;number=&amp;sourceID=34","")</f>
        <v/>
      </c>
      <c r="H300" s="4" t="str">
        <f>HYPERLINK("http://141.218.60.56/~jnz1568/getInfo.php?workbook=06_02.xlsx&amp;sheet=A0&amp;row=300&amp;col=8&amp;number=&amp;sourceID=34","")</f>
        <v/>
      </c>
      <c r="I300" s="4" t="str">
        <f>HYPERLINK("http://141.218.60.56/~jnz1568/getInfo.php?workbook=06_02.xlsx&amp;sheet=A0&amp;row=300&amp;col=9&amp;number=&amp;sourceID=34","")</f>
        <v/>
      </c>
      <c r="J300" s="4" t="str">
        <f>HYPERLINK("http://141.218.60.56/~jnz1568/getInfo.php?workbook=06_02.xlsx&amp;sheet=A0&amp;row=300&amp;col=10&amp;number=&amp;sourceID=34","")</f>
        <v/>
      </c>
      <c r="K300" s="4" t="str">
        <f>HYPERLINK("http://141.218.60.56/~jnz1568/getInfo.php?workbook=06_02.xlsx&amp;sheet=A0&amp;row=300&amp;col=11&amp;number=&amp;sourceID=30","")</f>
        <v/>
      </c>
      <c r="L300" s="4" t="str">
        <f>HYPERLINK("http://141.218.60.56/~jnz1568/getInfo.php?workbook=06_02.xlsx&amp;sheet=A0&amp;row=300&amp;col=12&amp;number=3.487e-05&amp;sourceID=30","3.487e-05")</f>
        <v>3.487e-05</v>
      </c>
      <c r="M300" s="4" t="str">
        <f>HYPERLINK("http://141.218.60.56/~jnz1568/getInfo.php?workbook=06_02.xlsx&amp;sheet=A0&amp;row=300&amp;col=13&amp;number=4.118e-10&amp;sourceID=30","4.118e-10")</f>
        <v>4.118e-10</v>
      </c>
      <c r="N300" s="4" t="str">
        <f>HYPERLINK("http://141.218.60.56/~jnz1568/getInfo.php?workbook=06_02.xlsx&amp;sheet=A0&amp;row=300&amp;col=14&amp;number=&amp;sourceID=30","")</f>
        <v/>
      </c>
      <c r="O300" s="4" t="str">
        <f>HYPERLINK("http://141.218.60.56/~jnz1568/getInfo.php?workbook=06_02.xlsx&amp;sheet=A0&amp;row=300&amp;col=15&amp;number=&amp;sourceID=32","")</f>
        <v/>
      </c>
      <c r="P300" s="4" t="str">
        <f>HYPERLINK("http://141.218.60.56/~jnz1568/getInfo.php?workbook=06_02.xlsx&amp;sheet=A0&amp;row=300&amp;col=16&amp;number=4.498e-05&amp;sourceID=32","4.498e-05")</f>
        <v>4.498e-05</v>
      </c>
      <c r="Q300" s="4" t="str">
        <f>HYPERLINK("http://141.218.60.56/~jnz1568/getInfo.php?workbook=06_02.xlsx&amp;sheet=A0&amp;row=300&amp;col=17&amp;number=4.792e-10&amp;sourceID=32","4.792e-10")</f>
        <v>4.792e-10</v>
      </c>
      <c r="R300" s="4" t="str">
        <f>HYPERLINK("http://141.218.60.56/~jnz1568/getInfo.php?workbook=06_02.xlsx&amp;sheet=A0&amp;row=300&amp;col=18&amp;number=&amp;sourceID=32","")</f>
        <v/>
      </c>
    </row>
    <row r="301" spans="1:18">
      <c r="A301" s="3">
        <v>6</v>
      </c>
      <c r="B301" s="3">
        <v>2</v>
      </c>
      <c r="C301" s="3">
        <v>27</v>
      </c>
      <c r="D301" s="3">
        <v>23</v>
      </c>
      <c r="E301" s="3">
        <f>((1/(INDEX(E0!J$4:J$52,C301,1)-INDEX(E0!J$4:J$52,D301,1))))*100000000</f>
        <v>0</v>
      </c>
      <c r="F301" s="4" t="str">
        <f>HYPERLINK("http://141.218.60.56/~jnz1568/getInfo.php?workbook=06_02.xlsx&amp;sheet=A0&amp;row=301&amp;col=6&amp;number=&amp;sourceID=27","")</f>
        <v/>
      </c>
      <c r="G301" s="4" t="str">
        <f>HYPERLINK("http://141.218.60.56/~jnz1568/getInfo.php?workbook=06_02.xlsx&amp;sheet=A0&amp;row=301&amp;col=7&amp;number=&amp;sourceID=34","")</f>
        <v/>
      </c>
      <c r="H301" s="4" t="str">
        <f>HYPERLINK("http://141.218.60.56/~jnz1568/getInfo.php?workbook=06_02.xlsx&amp;sheet=A0&amp;row=301&amp;col=8&amp;number=&amp;sourceID=34","")</f>
        <v/>
      </c>
      <c r="I301" s="4" t="str">
        <f>HYPERLINK("http://141.218.60.56/~jnz1568/getInfo.php?workbook=06_02.xlsx&amp;sheet=A0&amp;row=301&amp;col=9&amp;number=&amp;sourceID=34","")</f>
        <v/>
      </c>
      <c r="J301" s="4" t="str">
        <f>HYPERLINK("http://141.218.60.56/~jnz1568/getInfo.php?workbook=06_02.xlsx&amp;sheet=A0&amp;row=301&amp;col=10&amp;number=&amp;sourceID=34","")</f>
        <v/>
      </c>
      <c r="K301" s="4" t="str">
        <f>HYPERLINK("http://141.218.60.56/~jnz1568/getInfo.php?workbook=06_02.xlsx&amp;sheet=A0&amp;row=301&amp;col=11&amp;number=8.8&amp;sourceID=30","8.8")</f>
        <v>8.8</v>
      </c>
      <c r="L301" s="4" t="str">
        <f>HYPERLINK("http://141.218.60.56/~jnz1568/getInfo.php?workbook=06_02.xlsx&amp;sheet=A0&amp;row=301&amp;col=12&amp;number=&amp;sourceID=30","")</f>
        <v/>
      </c>
      <c r="M301" s="4" t="str">
        <f>HYPERLINK("http://141.218.60.56/~jnz1568/getInfo.php?workbook=06_02.xlsx&amp;sheet=A0&amp;row=301&amp;col=13&amp;number=&amp;sourceID=30","")</f>
        <v/>
      </c>
      <c r="N301" s="4" t="str">
        <f>HYPERLINK("http://141.218.60.56/~jnz1568/getInfo.php?workbook=06_02.xlsx&amp;sheet=A0&amp;row=301&amp;col=14&amp;number=0&amp;sourceID=30","0")</f>
        <v>0</v>
      </c>
      <c r="O301" s="4" t="str">
        <f>HYPERLINK("http://141.218.60.56/~jnz1568/getInfo.php?workbook=06_02.xlsx&amp;sheet=A0&amp;row=301&amp;col=15&amp;number=17.4&amp;sourceID=32","17.4")</f>
        <v>17.4</v>
      </c>
      <c r="P301" s="4" t="str">
        <f>HYPERLINK("http://141.218.60.56/~jnz1568/getInfo.php?workbook=06_02.xlsx&amp;sheet=A0&amp;row=301&amp;col=16&amp;number=&amp;sourceID=32","")</f>
        <v/>
      </c>
      <c r="Q301" s="4" t="str">
        <f>HYPERLINK("http://141.218.60.56/~jnz1568/getInfo.php?workbook=06_02.xlsx&amp;sheet=A0&amp;row=301&amp;col=17&amp;number=&amp;sourceID=32","")</f>
        <v/>
      </c>
      <c r="R301" s="4" t="str">
        <f>HYPERLINK("http://141.218.60.56/~jnz1568/getInfo.php?workbook=06_02.xlsx&amp;sheet=A0&amp;row=301&amp;col=18&amp;number=1e-15&amp;sourceID=32","1e-15")</f>
        <v>1e-15</v>
      </c>
    </row>
    <row r="302" spans="1:18">
      <c r="A302" s="3">
        <v>6</v>
      </c>
      <c r="B302" s="3">
        <v>2</v>
      </c>
      <c r="C302" s="3">
        <v>27</v>
      </c>
      <c r="D302" s="3">
        <v>24</v>
      </c>
      <c r="E302" s="3">
        <f>((1/(INDEX(E0!J$4:J$52,C302,1)-INDEX(E0!J$4:J$52,D302,1))))*100000000</f>
        <v>0</v>
      </c>
      <c r="F302" s="4" t="str">
        <f>HYPERLINK("http://141.218.60.56/~jnz1568/getInfo.php?workbook=06_02.xlsx&amp;sheet=A0&amp;row=302&amp;col=6&amp;number=&amp;sourceID=27","")</f>
        <v/>
      </c>
      <c r="G302" s="4" t="str">
        <f>HYPERLINK("http://141.218.60.56/~jnz1568/getInfo.php?workbook=06_02.xlsx&amp;sheet=A0&amp;row=302&amp;col=7&amp;number=&amp;sourceID=34","")</f>
        <v/>
      </c>
      <c r="H302" s="4" t="str">
        <f>HYPERLINK("http://141.218.60.56/~jnz1568/getInfo.php?workbook=06_02.xlsx&amp;sheet=A0&amp;row=302&amp;col=8&amp;number=&amp;sourceID=34","")</f>
        <v/>
      </c>
      <c r="I302" s="4" t="str">
        <f>HYPERLINK("http://141.218.60.56/~jnz1568/getInfo.php?workbook=06_02.xlsx&amp;sheet=A0&amp;row=302&amp;col=9&amp;number=&amp;sourceID=34","")</f>
        <v/>
      </c>
      <c r="J302" s="4" t="str">
        <f>HYPERLINK("http://141.218.60.56/~jnz1568/getInfo.php?workbook=06_02.xlsx&amp;sheet=A0&amp;row=302&amp;col=10&amp;number=&amp;sourceID=34","")</f>
        <v/>
      </c>
      <c r="K302" s="4" t="str">
        <f>HYPERLINK("http://141.218.60.56/~jnz1568/getInfo.php?workbook=06_02.xlsx&amp;sheet=A0&amp;row=302&amp;col=11&amp;number=1.605&amp;sourceID=30","1.605")</f>
        <v>1.605</v>
      </c>
      <c r="L302" s="4" t="str">
        <f>HYPERLINK("http://141.218.60.56/~jnz1568/getInfo.php?workbook=06_02.xlsx&amp;sheet=A0&amp;row=302&amp;col=12&amp;number=&amp;sourceID=30","")</f>
        <v/>
      </c>
      <c r="M302" s="4" t="str">
        <f>HYPERLINK("http://141.218.60.56/~jnz1568/getInfo.php?workbook=06_02.xlsx&amp;sheet=A0&amp;row=302&amp;col=13&amp;number=&amp;sourceID=30","")</f>
        <v/>
      </c>
      <c r="N302" s="4" t="str">
        <f>HYPERLINK("http://141.218.60.56/~jnz1568/getInfo.php?workbook=06_02.xlsx&amp;sheet=A0&amp;row=302&amp;col=14&amp;number=0&amp;sourceID=30","0")</f>
        <v>0</v>
      </c>
      <c r="O302" s="4" t="str">
        <f>HYPERLINK("http://141.218.60.56/~jnz1568/getInfo.php?workbook=06_02.xlsx&amp;sheet=A0&amp;row=302&amp;col=15&amp;number=3.182&amp;sourceID=32","3.182")</f>
        <v>3.182</v>
      </c>
      <c r="P302" s="4" t="str">
        <f>HYPERLINK("http://141.218.60.56/~jnz1568/getInfo.php?workbook=06_02.xlsx&amp;sheet=A0&amp;row=302&amp;col=16&amp;number=&amp;sourceID=32","")</f>
        <v/>
      </c>
      <c r="Q302" s="4" t="str">
        <f>HYPERLINK("http://141.218.60.56/~jnz1568/getInfo.php?workbook=06_02.xlsx&amp;sheet=A0&amp;row=302&amp;col=17&amp;number=&amp;sourceID=32","")</f>
        <v/>
      </c>
      <c r="R302" s="4" t="str">
        <f>HYPERLINK("http://141.218.60.56/~jnz1568/getInfo.php?workbook=06_02.xlsx&amp;sheet=A0&amp;row=302&amp;col=18&amp;number=0&amp;sourceID=32","0")</f>
        <v>0</v>
      </c>
    </row>
    <row r="303" spans="1:18">
      <c r="A303" s="3">
        <v>6</v>
      </c>
      <c r="B303" s="3">
        <v>2</v>
      </c>
      <c r="C303" s="3">
        <v>27</v>
      </c>
      <c r="D303" s="3">
        <v>25</v>
      </c>
      <c r="E303" s="3">
        <f>((1/(INDEX(E0!J$4:J$52,C303,1)-INDEX(E0!J$4:J$52,D303,1))))*100000000</f>
        <v>0</v>
      </c>
      <c r="F303" s="4" t="str">
        <f>HYPERLINK("http://141.218.60.56/~jnz1568/getInfo.php?workbook=06_02.xlsx&amp;sheet=A0&amp;row=303&amp;col=6&amp;number=&amp;sourceID=27","")</f>
        <v/>
      </c>
      <c r="G303" s="4" t="str">
        <f>HYPERLINK("http://141.218.60.56/~jnz1568/getInfo.php?workbook=06_02.xlsx&amp;sheet=A0&amp;row=303&amp;col=7&amp;number=&amp;sourceID=34","")</f>
        <v/>
      </c>
      <c r="H303" s="4" t="str">
        <f>HYPERLINK("http://141.218.60.56/~jnz1568/getInfo.php?workbook=06_02.xlsx&amp;sheet=A0&amp;row=303&amp;col=8&amp;number=&amp;sourceID=34","")</f>
        <v/>
      </c>
      <c r="I303" s="4" t="str">
        <f>HYPERLINK("http://141.218.60.56/~jnz1568/getInfo.php?workbook=06_02.xlsx&amp;sheet=A0&amp;row=303&amp;col=9&amp;number=&amp;sourceID=34","")</f>
        <v/>
      </c>
      <c r="J303" s="4" t="str">
        <f>HYPERLINK("http://141.218.60.56/~jnz1568/getInfo.php?workbook=06_02.xlsx&amp;sheet=A0&amp;row=303&amp;col=10&amp;number=&amp;sourceID=34","")</f>
        <v/>
      </c>
      <c r="K303" s="4" t="str">
        <f>HYPERLINK("http://141.218.60.56/~jnz1568/getInfo.php?workbook=06_02.xlsx&amp;sheet=A0&amp;row=303&amp;col=11&amp;number=0.04016&amp;sourceID=30","0.04016")</f>
        <v>0.04016</v>
      </c>
      <c r="L303" s="4" t="str">
        <f>HYPERLINK("http://141.218.60.56/~jnz1568/getInfo.php?workbook=06_02.xlsx&amp;sheet=A0&amp;row=303&amp;col=12&amp;number=&amp;sourceID=30","")</f>
        <v/>
      </c>
      <c r="M303" s="4" t="str">
        <f>HYPERLINK("http://141.218.60.56/~jnz1568/getInfo.php?workbook=06_02.xlsx&amp;sheet=A0&amp;row=303&amp;col=13&amp;number=&amp;sourceID=30","")</f>
        <v/>
      </c>
      <c r="N303" s="4" t="str">
        <f>HYPERLINK("http://141.218.60.56/~jnz1568/getInfo.php?workbook=06_02.xlsx&amp;sheet=A0&amp;row=303&amp;col=14&amp;number=0&amp;sourceID=30","0")</f>
        <v>0</v>
      </c>
      <c r="O303" s="4" t="str">
        <f>HYPERLINK("http://141.218.60.56/~jnz1568/getInfo.php?workbook=06_02.xlsx&amp;sheet=A0&amp;row=303&amp;col=15&amp;number=0.0815&amp;sourceID=32","0.0815")</f>
        <v>0.0815</v>
      </c>
      <c r="P303" s="4" t="str">
        <f>HYPERLINK("http://141.218.60.56/~jnz1568/getInfo.php?workbook=06_02.xlsx&amp;sheet=A0&amp;row=303&amp;col=16&amp;number=&amp;sourceID=32","")</f>
        <v/>
      </c>
      <c r="Q303" s="4" t="str">
        <f>HYPERLINK("http://141.218.60.56/~jnz1568/getInfo.php?workbook=06_02.xlsx&amp;sheet=A0&amp;row=303&amp;col=17&amp;number=&amp;sourceID=32","")</f>
        <v/>
      </c>
      <c r="R303" s="4" t="str">
        <f>HYPERLINK("http://141.218.60.56/~jnz1568/getInfo.php?workbook=06_02.xlsx&amp;sheet=A0&amp;row=303&amp;col=18&amp;number=0&amp;sourceID=32","0")</f>
        <v>0</v>
      </c>
    </row>
    <row r="304" spans="1:18">
      <c r="A304" s="3">
        <v>6</v>
      </c>
      <c r="B304" s="3">
        <v>2</v>
      </c>
      <c r="C304" s="3">
        <v>28</v>
      </c>
      <c r="D304" s="3">
        <v>2</v>
      </c>
      <c r="E304" s="3">
        <f>((1/(INDEX(E0!J$4:J$52,C304,1)-INDEX(E0!J$4:J$52,D304,1))))*100000000</f>
        <v>0</v>
      </c>
      <c r="F304" s="4" t="str">
        <f>HYPERLINK("http://141.218.60.56/~jnz1568/getInfo.php?workbook=06_02.xlsx&amp;sheet=A0&amp;row=304&amp;col=6&amp;number=&amp;sourceID=27","")</f>
        <v/>
      </c>
      <c r="G304" s="4" t="str">
        <f>HYPERLINK("http://141.218.60.56/~jnz1568/getInfo.php?workbook=06_02.xlsx&amp;sheet=A0&amp;row=304&amp;col=7&amp;number=&amp;sourceID=34","")</f>
        <v/>
      </c>
      <c r="H304" s="4" t="str">
        <f>HYPERLINK("http://141.218.60.56/~jnz1568/getInfo.php?workbook=06_02.xlsx&amp;sheet=A0&amp;row=304&amp;col=8&amp;number=&amp;sourceID=34","")</f>
        <v/>
      </c>
      <c r="I304" s="4" t="str">
        <f>HYPERLINK("http://141.218.60.56/~jnz1568/getInfo.php?workbook=06_02.xlsx&amp;sheet=A0&amp;row=304&amp;col=9&amp;number=&amp;sourceID=34","")</f>
        <v/>
      </c>
      <c r="J304" s="4" t="str">
        <f>HYPERLINK("http://141.218.60.56/~jnz1568/getInfo.php?workbook=06_02.xlsx&amp;sheet=A0&amp;row=304&amp;col=10&amp;number=&amp;sourceID=34","")</f>
        <v/>
      </c>
      <c r="K304" s="4" t="str">
        <f>HYPERLINK("http://141.218.60.56/~jnz1568/getInfo.php?workbook=06_02.xlsx&amp;sheet=A0&amp;row=304&amp;col=11&amp;number=&amp;sourceID=30","")</f>
        <v/>
      </c>
      <c r="L304" s="4" t="str">
        <f>HYPERLINK("http://141.218.60.56/~jnz1568/getInfo.php?workbook=06_02.xlsx&amp;sheet=A0&amp;row=304&amp;col=12&amp;number=&amp;sourceID=30","")</f>
        <v/>
      </c>
      <c r="M304" s="4" t="str">
        <f>HYPERLINK("http://141.218.60.56/~jnz1568/getInfo.php?workbook=06_02.xlsx&amp;sheet=A0&amp;row=304&amp;col=13&amp;number=&amp;sourceID=30","")</f>
        <v/>
      </c>
      <c r="N304" s="4" t="str">
        <f>HYPERLINK("http://141.218.60.56/~jnz1568/getInfo.php?workbook=06_02.xlsx&amp;sheet=A0&amp;row=304&amp;col=14&amp;number=3.246e-08&amp;sourceID=30","3.246e-08")</f>
        <v>3.246e-08</v>
      </c>
      <c r="O304" s="4" t="str">
        <f>HYPERLINK("http://141.218.60.56/~jnz1568/getInfo.php?workbook=06_02.xlsx&amp;sheet=A0&amp;row=304&amp;col=15&amp;number=&amp;sourceID=32","")</f>
        <v/>
      </c>
      <c r="P304" s="4" t="str">
        <f>HYPERLINK("http://141.218.60.56/~jnz1568/getInfo.php?workbook=06_02.xlsx&amp;sheet=A0&amp;row=304&amp;col=16&amp;number=&amp;sourceID=32","")</f>
        <v/>
      </c>
      <c r="Q304" s="4" t="str">
        <f>HYPERLINK("http://141.218.60.56/~jnz1568/getInfo.php?workbook=06_02.xlsx&amp;sheet=A0&amp;row=304&amp;col=17&amp;number=&amp;sourceID=32","")</f>
        <v/>
      </c>
      <c r="R304" s="4" t="str">
        <f>HYPERLINK("http://141.218.60.56/~jnz1568/getInfo.php?workbook=06_02.xlsx&amp;sheet=A0&amp;row=304&amp;col=18&amp;number=9.342e-09&amp;sourceID=32","9.342e-09")</f>
        <v>9.342e-09</v>
      </c>
    </row>
    <row r="305" spans="1:18">
      <c r="A305" s="3">
        <v>6</v>
      </c>
      <c r="B305" s="3">
        <v>2</v>
      </c>
      <c r="C305" s="3">
        <v>28</v>
      </c>
      <c r="D305" s="3">
        <v>4</v>
      </c>
      <c r="E305" s="3">
        <f>((1/(INDEX(E0!J$4:J$52,C305,1)-INDEX(E0!J$4:J$52,D305,1))))*100000000</f>
        <v>0</v>
      </c>
      <c r="F305" s="4" t="str">
        <f>HYPERLINK("http://141.218.60.56/~jnz1568/getInfo.php?workbook=06_02.xlsx&amp;sheet=A0&amp;row=305&amp;col=6&amp;number=&amp;sourceID=27","")</f>
        <v/>
      </c>
      <c r="G305" s="4" t="str">
        <f>HYPERLINK("http://141.218.60.56/~jnz1568/getInfo.php?workbook=06_02.xlsx&amp;sheet=A0&amp;row=305&amp;col=7&amp;number=&amp;sourceID=34","")</f>
        <v/>
      </c>
      <c r="H305" s="4" t="str">
        <f>HYPERLINK("http://141.218.60.56/~jnz1568/getInfo.php?workbook=06_02.xlsx&amp;sheet=A0&amp;row=305&amp;col=8&amp;number=&amp;sourceID=34","")</f>
        <v/>
      </c>
      <c r="I305" s="4" t="str">
        <f>HYPERLINK("http://141.218.60.56/~jnz1568/getInfo.php?workbook=06_02.xlsx&amp;sheet=A0&amp;row=305&amp;col=9&amp;number=&amp;sourceID=34","")</f>
        <v/>
      </c>
      <c r="J305" s="4" t="str">
        <f>HYPERLINK("http://141.218.60.56/~jnz1568/getInfo.php?workbook=06_02.xlsx&amp;sheet=A0&amp;row=305&amp;col=10&amp;number=&amp;sourceID=34","")</f>
        <v/>
      </c>
      <c r="K305" s="4" t="str">
        <f>HYPERLINK("http://141.218.60.56/~jnz1568/getInfo.php?workbook=06_02.xlsx&amp;sheet=A0&amp;row=305&amp;col=11&amp;number=&amp;sourceID=30","")</f>
        <v/>
      </c>
      <c r="L305" s="4" t="str">
        <f>HYPERLINK("http://141.218.60.56/~jnz1568/getInfo.php?workbook=06_02.xlsx&amp;sheet=A0&amp;row=305&amp;col=12&amp;number=434700&amp;sourceID=30","434700")</f>
        <v>434700</v>
      </c>
      <c r="M305" s="4" t="str">
        <f>HYPERLINK("http://141.218.60.56/~jnz1568/getInfo.php?workbook=06_02.xlsx&amp;sheet=A0&amp;row=305&amp;col=13&amp;number=&amp;sourceID=30","")</f>
        <v/>
      </c>
      <c r="N305" s="4" t="str">
        <f>HYPERLINK("http://141.218.60.56/~jnz1568/getInfo.php?workbook=06_02.xlsx&amp;sheet=A0&amp;row=305&amp;col=14&amp;number=&amp;sourceID=30","")</f>
        <v/>
      </c>
      <c r="O305" s="4" t="str">
        <f>HYPERLINK("http://141.218.60.56/~jnz1568/getInfo.php?workbook=06_02.xlsx&amp;sheet=A0&amp;row=305&amp;col=15&amp;number=&amp;sourceID=32","")</f>
        <v/>
      </c>
      <c r="P305" s="4" t="str">
        <f>HYPERLINK("http://141.218.60.56/~jnz1568/getInfo.php?workbook=06_02.xlsx&amp;sheet=A0&amp;row=305&amp;col=16&amp;number=228800&amp;sourceID=32","228800")</f>
        <v>228800</v>
      </c>
      <c r="Q305" s="4" t="str">
        <f>HYPERLINK("http://141.218.60.56/~jnz1568/getInfo.php?workbook=06_02.xlsx&amp;sheet=A0&amp;row=305&amp;col=17&amp;number=&amp;sourceID=32","")</f>
        <v/>
      </c>
      <c r="R305" s="4" t="str">
        <f>HYPERLINK("http://141.218.60.56/~jnz1568/getInfo.php?workbook=06_02.xlsx&amp;sheet=A0&amp;row=305&amp;col=18&amp;number=&amp;sourceID=32","")</f>
        <v/>
      </c>
    </row>
    <row r="306" spans="1:18">
      <c r="A306" s="3">
        <v>6</v>
      </c>
      <c r="B306" s="3">
        <v>2</v>
      </c>
      <c r="C306" s="3">
        <v>28</v>
      </c>
      <c r="D306" s="3">
        <v>6</v>
      </c>
      <c r="E306" s="3">
        <f>((1/(INDEX(E0!J$4:J$52,C306,1)-INDEX(E0!J$4:J$52,D306,1))))*100000000</f>
        <v>0</v>
      </c>
      <c r="F306" s="4" t="str">
        <f>HYPERLINK("http://141.218.60.56/~jnz1568/getInfo.php?workbook=06_02.xlsx&amp;sheet=A0&amp;row=306&amp;col=6&amp;number=&amp;sourceID=27","")</f>
        <v/>
      </c>
      <c r="G306" s="4" t="str">
        <f>HYPERLINK("http://141.218.60.56/~jnz1568/getInfo.php?workbook=06_02.xlsx&amp;sheet=A0&amp;row=306&amp;col=7&amp;number=&amp;sourceID=34","")</f>
        <v/>
      </c>
      <c r="H306" s="4" t="str">
        <f>HYPERLINK("http://141.218.60.56/~jnz1568/getInfo.php?workbook=06_02.xlsx&amp;sheet=A0&amp;row=306&amp;col=8&amp;number=&amp;sourceID=34","")</f>
        <v/>
      </c>
      <c r="I306" s="4" t="str">
        <f>HYPERLINK("http://141.218.60.56/~jnz1568/getInfo.php?workbook=06_02.xlsx&amp;sheet=A0&amp;row=306&amp;col=9&amp;number=&amp;sourceID=34","")</f>
        <v/>
      </c>
      <c r="J306" s="4" t="str">
        <f>HYPERLINK("http://141.218.60.56/~jnz1568/getInfo.php?workbook=06_02.xlsx&amp;sheet=A0&amp;row=306&amp;col=10&amp;number=&amp;sourceID=34","")</f>
        <v/>
      </c>
      <c r="K306" s="4" t="str">
        <f>HYPERLINK("http://141.218.60.56/~jnz1568/getInfo.php?workbook=06_02.xlsx&amp;sheet=A0&amp;row=306&amp;col=11&amp;number=&amp;sourceID=30","")</f>
        <v/>
      </c>
      <c r="L306" s="4" t="str">
        <f>HYPERLINK("http://141.218.60.56/~jnz1568/getInfo.php?workbook=06_02.xlsx&amp;sheet=A0&amp;row=306&amp;col=12&amp;number=215400&amp;sourceID=30","215400")</f>
        <v>215400</v>
      </c>
      <c r="M306" s="4" t="str">
        <f>HYPERLINK("http://141.218.60.56/~jnz1568/getInfo.php?workbook=06_02.xlsx&amp;sheet=A0&amp;row=306&amp;col=13&amp;number=0.0003408&amp;sourceID=30","0.0003408")</f>
        <v>0.0003408</v>
      </c>
      <c r="N306" s="4" t="str">
        <f>HYPERLINK("http://141.218.60.56/~jnz1568/getInfo.php?workbook=06_02.xlsx&amp;sheet=A0&amp;row=306&amp;col=14&amp;number=&amp;sourceID=30","")</f>
        <v/>
      </c>
      <c r="O306" s="4" t="str">
        <f>HYPERLINK("http://141.218.60.56/~jnz1568/getInfo.php?workbook=06_02.xlsx&amp;sheet=A0&amp;row=306&amp;col=15&amp;number=&amp;sourceID=32","")</f>
        <v/>
      </c>
      <c r="P306" s="4" t="str">
        <f>HYPERLINK("http://141.218.60.56/~jnz1568/getInfo.php?workbook=06_02.xlsx&amp;sheet=A0&amp;row=306&amp;col=16&amp;number=116400&amp;sourceID=32","116400")</f>
        <v>116400</v>
      </c>
      <c r="Q306" s="4" t="str">
        <f>HYPERLINK("http://141.218.60.56/~jnz1568/getInfo.php?workbook=06_02.xlsx&amp;sheet=A0&amp;row=306&amp;col=17&amp;number=1.384e-05&amp;sourceID=32","1.384e-05")</f>
        <v>1.384e-05</v>
      </c>
      <c r="R306" s="4" t="str">
        <f>HYPERLINK("http://141.218.60.56/~jnz1568/getInfo.php?workbook=06_02.xlsx&amp;sheet=A0&amp;row=306&amp;col=18&amp;number=&amp;sourceID=32","")</f>
        <v/>
      </c>
    </row>
    <row r="307" spans="1:18">
      <c r="A307" s="3">
        <v>6</v>
      </c>
      <c r="B307" s="3">
        <v>2</v>
      </c>
      <c r="C307" s="3">
        <v>28</v>
      </c>
      <c r="D307" s="3">
        <v>7</v>
      </c>
      <c r="E307" s="3">
        <f>((1/(INDEX(E0!J$4:J$52,C307,1)-INDEX(E0!J$4:J$52,D307,1))))*100000000</f>
        <v>0</v>
      </c>
      <c r="F307" s="4" t="str">
        <f>HYPERLINK("http://141.218.60.56/~jnz1568/getInfo.php?workbook=06_02.xlsx&amp;sheet=A0&amp;row=307&amp;col=6&amp;number=&amp;sourceID=27","")</f>
        <v/>
      </c>
      <c r="G307" s="4" t="str">
        <f>HYPERLINK("http://141.218.60.56/~jnz1568/getInfo.php?workbook=06_02.xlsx&amp;sheet=A0&amp;row=307&amp;col=7&amp;number=&amp;sourceID=34","")</f>
        <v/>
      </c>
      <c r="H307" s="4" t="str">
        <f>HYPERLINK("http://141.218.60.56/~jnz1568/getInfo.php?workbook=06_02.xlsx&amp;sheet=A0&amp;row=307&amp;col=8&amp;number=&amp;sourceID=34","")</f>
        <v/>
      </c>
      <c r="I307" s="4" t="str">
        <f>HYPERLINK("http://141.218.60.56/~jnz1568/getInfo.php?workbook=06_02.xlsx&amp;sheet=A0&amp;row=307&amp;col=9&amp;number=&amp;sourceID=34","")</f>
        <v/>
      </c>
      <c r="J307" s="4" t="str">
        <f>HYPERLINK("http://141.218.60.56/~jnz1568/getInfo.php?workbook=06_02.xlsx&amp;sheet=A0&amp;row=307&amp;col=10&amp;number=&amp;sourceID=34","")</f>
        <v/>
      </c>
      <c r="K307" s="4" t="str">
        <f>HYPERLINK("http://141.218.60.56/~jnz1568/getInfo.php?workbook=06_02.xlsx&amp;sheet=A0&amp;row=307&amp;col=11&amp;number=&amp;sourceID=30","")</f>
        <v/>
      </c>
      <c r="L307" s="4" t="str">
        <f>HYPERLINK("http://141.218.60.56/~jnz1568/getInfo.php?workbook=06_02.xlsx&amp;sheet=A0&amp;row=307&amp;col=12&amp;number=312900&amp;sourceID=30","312900")</f>
        <v>312900</v>
      </c>
      <c r="M307" s="4" t="str">
        <f>HYPERLINK("http://141.218.60.56/~jnz1568/getInfo.php?workbook=06_02.xlsx&amp;sheet=A0&amp;row=307&amp;col=13&amp;number=&amp;sourceID=30","")</f>
        <v/>
      </c>
      <c r="N307" s="4" t="str">
        <f>HYPERLINK("http://141.218.60.56/~jnz1568/getInfo.php?workbook=06_02.xlsx&amp;sheet=A0&amp;row=307&amp;col=14&amp;number=&amp;sourceID=30","")</f>
        <v/>
      </c>
      <c r="O307" s="4" t="str">
        <f>HYPERLINK("http://141.218.60.56/~jnz1568/getInfo.php?workbook=06_02.xlsx&amp;sheet=A0&amp;row=307&amp;col=15&amp;number=&amp;sourceID=32","")</f>
        <v/>
      </c>
      <c r="P307" s="4" t="str">
        <f>HYPERLINK("http://141.218.60.56/~jnz1568/getInfo.php?workbook=06_02.xlsx&amp;sheet=A0&amp;row=307&amp;col=16&amp;number=620900&amp;sourceID=32","620900")</f>
        <v>620900</v>
      </c>
      <c r="Q307" s="4" t="str">
        <f>HYPERLINK("http://141.218.60.56/~jnz1568/getInfo.php?workbook=06_02.xlsx&amp;sheet=A0&amp;row=307&amp;col=17&amp;number=&amp;sourceID=32","")</f>
        <v/>
      </c>
      <c r="R307" s="4" t="str">
        <f>HYPERLINK("http://141.218.60.56/~jnz1568/getInfo.php?workbook=06_02.xlsx&amp;sheet=A0&amp;row=307&amp;col=18&amp;number=&amp;sourceID=32","")</f>
        <v/>
      </c>
    </row>
    <row r="308" spans="1:18">
      <c r="A308" s="3">
        <v>6</v>
      </c>
      <c r="B308" s="3">
        <v>2</v>
      </c>
      <c r="C308" s="3">
        <v>28</v>
      </c>
      <c r="D308" s="3">
        <v>8</v>
      </c>
      <c r="E308" s="3">
        <f>((1/(INDEX(E0!J$4:J$52,C308,1)-INDEX(E0!J$4:J$52,D308,1))))*100000000</f>
        <v>0</v>
      </c>
      <c r="F308" s="4" t="str">
        <f>HYPERLINK("http://141.218.60.56/~jnz1568/getInfo.php?workbook=06_02.xlsx&amp;sheet=A0&amp;row=308&amp;col=6&amp;number=&amp;sourceID=27","")</f>
        <v/>
      </c>
      <c r="G308" s="4" t="str">
        <f>HYPERLINK("http://141.218.60.56/~jnz1568/getInfo.php?workbook=06_02.xlsx&amp;sheet=A0&amp;row=308&amp;col=7&amp;number=&amp;sourceID=34","")</f>
        <v/>
      </c>
      <c r="H308" s="4" t="str">
        <f>HYPERLINK("http://141.218.60.56/~jnz1568/getInfo.php?workbook=06_02.xlsx&amp;sheet=A0&amp;row=308&amp;col=8&amp;number=&amp;sourceID=34","")</f>
        <v/>
      </c>
      <c r="I308" s="4" t="str">
        <f>HYPERLINK("http://141.218.60.56/~jnz1568/getInfo.php?workbook=06_02.xlsx&amp;sheet=A0&amp;row=308&amp;col=9&amp;number=&amp;sourceID=34","")</f>
        <v/>
      </c>
      <c r="J308" s="4" t="str">
        <f>HYPERLINK("http://141.218.60.56/~jnz1568/getInfo.php?workbook=06_02.xlsx&amp;sheet=A0&amp;row=308&amp;col=10&amp;number=&amp;sourceID=34","")</f>
        <v/>
      </c>
      <c r="K308" s="4" t="str">
        <f>HYPERLINK("http://141.218.60.56/~jnz1568/getInfo.php?workbook=06_02.xlsx&amp;sheet=A0&amp;row=308&amp;col=11&amp;number=&amp;sourceID=30","")</f>
        <v/>
      </c>
      <c r="L308" s="4" t="str">
        <f>HYPERLINK("http://141.218.60.56/~jnz1568/getInfo.php?workbook=06_02.xlsx&amp;sheet=A0&amp;row=308&amp;col=12&amp;number=&amp;sourceID=30","")</f>
        <v/>
      </c>
      <c r="M308" s="4" t="str">
        <f>HYPERLINK("http://141.218.60.56/~jnz1568/getInfo.php?workbook=06_02.xlsx&amp;sheet=A0&amp;row=308&amp;col=13&amp;number=&amp;sourceID=30","")</f>
        <v/>
      </c>
      <c r="N308" s="4" t="str">
        <f>HYPERLINK("http://141.218.60.56/~jnz1568/getInfo.php?workbook=06_02.xlsx&amp;sheet=A0&amp;row=308&amp;col=14&amp;number=1.413e-12&amp;sourceID=30","1.413e-12")</f>
        <v>1.413e-12</v>
      </c>
      <c r="O308" s="4" t="str">
        <f>HYPERLINK("http://141.218.60.56/~jnz1568/getInfo.php?workbook=06_02.xlsx&amp;sheet=A0&amp;row=308&amp;col=15&amp;number=&amp;sourceID=32","")</f>
        <v/>
      </c>
      <c r="P308" s="4" t="str">
        <f>HYPERLINK("http://141.218.60.56/~jnz1568/getInfo.php?workbook=06_02.xlsx&amp;sheet=A0&amp;row=308&amp;col=16&amp;number=&amp;sourceID=32","")</f>
        <v/>
      </c>
      <c r="Q308" s="4" t="str">
        <f>HYPERLINK("http://141.218.60.56/~jnz1568/getInfo.php?workbook=06_02.xlsx&amp;sheet=A0&amp;row=308&amp;col=17&amp;number=&amp;sourceID=32","")</f>
        <v/>
      </c>
      <c r="R308" s="4" t="str">
        <f>HYPERLINK("http://141.218.60.56/~jnz1568/getInfo.php?workbook=06_02.xlsx&amp;sheet=A0&amp;row=308&amp;col=18&amp;number=2.937e-09&amp;sourceID=32","2.937e-09")</f>
        <v>2.937e-09</v>
      </c>
    </row>
    <row r="309" spans="1:18">
      <c r="A309" s="3">
        <v>6</v>
      </c>
      <c r="B309" s="3">
        <v>2</v>
      </c>
      <c r="C309" s="3">
        <v>28</v>
      </c>
      <c r="D309" s="3">
        <v>10</v>
      </c>
      <c r="E309" s="3">
        <f>((1/(INDEX(E0!J$4:J$52,C309,1)-INDEX(E0!J$4:J$52,D309,1))))*100000000</f>
        <v>0</v>
      </c>
      <c r="F309" s="4" t="str">
        <f>HYPERLINK("http://141.218.60.56/~jnz1568/getInfo.php?workbook=06_02.xlsx&amp;sheet=A0&amp;row=309&amp;col=6&amp;number=&amp;sourceID=27","")</f>
        <v/>
      </c>
      <c r="G309" s="4" t="str">
        <f>HYPERLINK("http://141.218.60.56/~jnz1568/getInfo.php?workbook=06_02.xlsx&amp;sheet=A0&amp;row=309&amp;col=7&amp;number=&amp;sourceID=34","")</f>
        <v/>
      </c>
      <c r="H309" s="4" t="str">
        <f>HYPERLINK("http://141.218.60.56/~jnz1568/getInfo.php?workbook=06_02.xlsx&amp;sheet=A0&amp;row=309&amp;col=8&amp;number=&amp;sourceID=34","")</f>
        <v/>
      </c>
      <c r="I309" s="4" t="str">
        <f>HYPERLINK("http://141.218.60.56/~jnz1568/getInfo.php?workbook=06_02.xlsx&amp;sheet=A0&amp;row=309&amp;col=9&amp;number=&amp;sourceID=34","")</f>
        <v/>
      </c>
      <c r="J309" s="4" t="str">
        <f>HYPERLINK("http://141.218.60.56/~jnz1568/getInfo.php?workbook=06_02.xlsx&amp;sheet=A0&amp;row=309&amp;col=10&amp;number=&amp;sourceID=34","")</f>
        <v/>
      </c>
      <c r="K309" s="4" t="str">
        <f>HYPERLINK("http://141.218.60.56/~jnz1568/getInfo.php?workbook=06_02.xlsx&amp;sheet=A0&amp;row=309&amp;col=11&amp;number=&amp;sourceID=30","")</f>
        <v/>
      </c>
      <c r="L309" s="4" t="str">
        <f>HYPERLINK("http://141.218.60.56/~jnz1568/getInfo.php?workbook=06_02.xlsx&amp;sheet=A0&amp;row=309&amp;col=12&amp;number=46050&amp;sourceID=30","46050")</f>
        <v>46050</v>
      </c>
      <c r="M309" s="4" t="str">
        <f>HYPERLINK("http://141.218.60.56/~jnz1568/getInfo.php?workbook=06_02.xlsx&amp;sheet=A0&amp;row=309&amp;col=13&amp;number=&amp;sourceID=30","")</f>
        <v/>
      </c>
      <c r="N309" s="4" t="str">
        <f>HYPERLINK("http://141.218.60.56/~jnz1568/getInfo.php?workbook=06_02.xlsx&amp;sheet=A0&amp;row=309&amp;col=14&amp;number=&amp;sourceID=30","")</f>
        <v/>
      </c>
      <c r="O309" s="4" t="str">
        <f>HYPERLINK("http://141.218.60.56/~jnz1568/getInfo.php?workbook=06_02.xlsx&amp;sheet=A0&amp;row=309&amp;col=15&amp;number=&amp;sourceID=32","")</f>
        <v/>
      </c>
      <c r="P309" s="4" t="str">
        <f>HYPERLINK("http://141.218.60.56/~jnz1568/getInfo.php?workbook=06_02.xlsx&amp;sheet=A0&amp;row=309&amp;col=16&amp;number=24740&amp;sourceID=32","24740")</f>
        <v>24740</v>
      </c>
      <c r="Q309" s="4" t="str">
        <f>HYPERLINK("http://141.218.60.56/~jnz1568/getInfo.php?workbook=06_02.xlsx&amp;sheet=A0&amp;row=309&amp;col=17&amp;number=&amp;sourceID=32","")</f>
        <v/>
      </c>
      <c r="R309" s="4" t="str">
        <f>HYPERLINK("http://141.218.60.56/~jnz1568/getInfo.php?workbook=06_02.xlsx&amp;sheet=A0&amp;row=309&amp;col=18&amp;number=&amp;sourceID=32","")</f>
        <v/>
      </c>
    </row>
    <row r="310" spans="1:18">
      <c r="A310" s="3">
        <v>6</v>
      </c>
      <c r="B310" s="3">
        <v>2</v>
      </c>
      <c r="C310" s="3">
        <v>28</v>
      </c>
      <c r="D310" s="3">
        <v>12</v>
      </c>
      <c r="E310" s="3">
        <f>((1/(INDEX(E0!J$4:J$52,C310,1)-INDEX(E0!J$4:J$52,D310,1))))*100000000</f>
        <v>0</v>
      </c>
      <c r="F310" s="4" t="str">
        <f>HYPERLINK("http://141.218.60.56/~jnz1568/getInfo.php?workbook=06_02.xlsx&amp;sheet=A0&amp;row=310&amp;col=6&amp;number=&amp;sourceID=27","")</f>
        <v/>
      </c>
      <c r="G310" s="4" t="str">
        <f>HYPERLINK("http://141.218.60.56/~jnz1568/getInfo.php?workbook=06_02.xlsx&amp;sheet=A0&amp;row=310&amp;col=7&amp;number=&amp;sourceID=34","")</f>
        <v/>
      </c>
      <c r="H310" s="4" t="str">
        <f>HYPERLINK("http://141.218.60.56/~jnz1568/getInfo.php?workbook=06_02.xlsx&amp;sheet=A0&amp;row=310&amp;col=8&amp;number=&amp;sourceID=34","")</f>
        <v/>
      </c>
      <c r="I310" s="4" t="str">
        <f>HYPERLINK("http://141.218.60.56/~jnz1568/getInfo.php?workbook=06_02.xlsx&amp;sheet=A0&amp;row=310&amp;col=9&amp;number=&amp;sourceID=34","")</f>
        <v/>
      </c>
      <c r="J310" s="4" t="str">
        <f>HYPERLINK("http://141.218.60.56/~jnz1568/getInfo.php?workbook=06_02.xlsx&amp;sheet=A0&amp;row=310&amp;col=10&amp;number=&amp;sourceID=34","")</f>
        <v/>
      </c>
      <c r="K310" s="4" t="str">
        <f>HYPERLINK("http://141.218.60.56/~jnz1568/getInfo.php?workbook=06_02.xlsx&amp;sheet=A0&amp;row=310&amp;col=11&amp;number=&amp;sourceID=30","")</f>
        <v/>
      </c>
      <c r="L310" s="4" t="str">
        <f>HYPERLINK("http://141.218.60.56/~jnz1568/getInfo.php?workbook=06_02.xlsx&amp;sheet=A0&amp;row=310&amp;col=12&amp;number=22790&amp;sourceID=30","22790")</f>
        <v>22790</v>
      </c>
      <c r="M310" s="4" t="str">
        <f>HYPERLINK("http://141.218.60.56/~jnz1568/getInfo.php?workbook=06_02.xlsx&amp;sheet=A0&amp;row=310&amp;col=13&amp;number=1.301e-05&amp;sourceID=30","1.301e-05")</f>
        <v>1.301e-05</v>
      </c>
      <c r="N310" s="4" t="str">
        <f>HYPERLINK("http://141.218.60.56/~jnz1568/getInfo.php?workbook=06_02.xlsx&amp;sheet=A0&amp;row=310&amp;col=14&amp;number=&amp;sourceID=30","")</f>
        <v/>
      </c>
      <c r="O310" s="4" t="str">
        <f>HYPERLINK("http://141.218.60.56/~jnz1568/getInfo.php?workbook=06_02.xlsx&amp;sheet=A0&amp;row=310&amp;col=15&amp;number=&amp;sourceID=32","")</f>
        <v/>
      </c>
      <c r="P310" s="4" t="str">
        <f>HYPERLINK("http://141.218.60.56/~jnz1568/getInfo.php?workbook=06_02.xlsx&amp;sheet=A0&amp;row=310&amp;col=16&amp;number=12580&amp;sourceID=32","12580")</f>
        <v>12580</v>
      </c>
      <c r="Q310" s="4" t="str">
        <f>HYPERLINK("http://141.218.60.56/~jnz1568/getInfo.php?workbook=06_02.xlsx&amp;sheet=A0&amp;row=310&amp;col=17&amp;number=5.197e-07&amp;sourceID=32","5.197e-07")</f>
        <v>5.197e-07</v>
      </c>
      <c r="R310" s="4" t="str">
        <f>HYPERLINK("http://141.218.60.56/~jnz1568/getInfo.php?workbook=06_02.xlsx&amp;sheet=A0&amp;row=310&amp;col=18&amp;number=&amp;sourceID=32","")</f>
        <v/>
      </c>
    </row>
    <row r="311" spans="1:18">
      <c r="A311" s="3">
        <v>6</v>
      </c>
      <c r="B311" s="3">
        <v>2</v>
      </c>
      <c r="C311" s="3">
        <v>28</v>
      </c>
      <c r="D311" s="3">
        <v>13</v>
      </c>
      <c r="E311" s="3">
        <f>((1/(INDEX(E0!J$4:J$52,C311,1)-INDEX(E0!J$4:J$52,D311,1))))*100000000</f>
        <v>0</v>
      </c>
      <c r="F311" s="4" t="str">
        <f>HYPERLINK("http://141.218.60.56/~jnz1568/getInfo.php?workbook=06_02.xlsx&amp;sheet=A0&amp;row=311&amp;col=6&amp;number=&amp;sourceID=27","")</f>
        <v/>
      </c>
      <c r="G311" s="4" t="str">
        <f>HYPERLINK("http://141.218.60.56/~jnz1568/getInfo.php?workbook=06_02.xlsx&amp;sheet=A0&amp;row=311&amp;col=7&amp;number=&amp;sourceID=34","")</f>
        <v/>
      </c>
      <c r="H311" s="4" t="str">
        <f>HYPERLINK("http://141.218.60.56/~jnz1568/getInfo.php?workbook=06_02.xlsx&amp;sheet=A0&amp;row=311&amp;col=8&amp;number=&amp;sourceID=34","")</f>
        <v/>
      </c>
      <c r="I311" s="4" t="str">
        <f>HYPERLINK("http://141.218.60.56/~jnz1568/getInfo.php?workbook=06_02.xlsx&amp;sheet=A0&amp;row=311&amp;col=9&amp;number=&amp;sourceID=34","")</f>
        <v/>
      </c>
      <c r="J311" s="4" t="str">
        <f>HYPERLINK("http://141.218.60.56/~jnz1568/getInfo.php?workbook=06_02.xlsx&amp;sheet=A0&amp;row=311&amp;col=10&amp;number=&amp;sourceID=34","")</f>
        <v/>
      </c>
      <c r="K311" s="4" t="str">
        <f>HYPERLINK("http://141.218.60.56/~jnz1568/getInfo.php?workbook=06_02.xlsx&amp;sheet=A0&amp;row=311&amp;col=11&amp;number=&amp;sourceID=30","")</f>
        <v/>
      </c>
      <c r="L311" s="4" t="str">
        <f>HYPERLINK("http://141.218.60.56/~jnz1568/getInfo.php?workbook=06_02.xlsx&amp;sheet=A0&amp;row=311&amp;col=12&amp;number=&amp;sourceID=30","")</f>
        <v/>
      </c>
      <c r="M311" s="4" t="str">
        <f>HYPERLINK("http://141.218.60.56/~jnz1568/getInfo.php?workbook=06_02.xlsx&amp;sheet=A0&amp;row=311&amp;col=13&amp;number=&amp;sourceID=30","")</f>
        <v/>
      </c>
      <c r="N311" s="4" t="str">
        <f>HYPERLINK("http://141.218.60.56/~jnz1568/getInfo.php?workbook=06_02.xlsx&amp;sheet=A0&amp;row=311&amp;col=14&amp;number=0.03005&amp;sourceID=30","0.03005")</f>
        <v>0.03005</v>
      </c>
      <c r="O311" s="4" t="str">
        <f>HYPERLINK("http://141.218.60.56/~jnz1568/getInfo.php?workbook=06_02.xlsx&amp;sheet=A0&amp;row=311&amp;col=15&amp;number=&amp;sourceID=32","")</f>
        <v/>
      </c>
      <c r="P311" s="4" t="str">
        <f>HYPERLINK("http://141.218.60.56/~jnz1568/getInfo.php?workbook=06_02.xlsx&amp;sheet=A0&amp;row=311&amp;col=16&amp;number=&amp;sourceID=32","")</f>
        <v/>
      </c>
      <c r="Q311" s="4" t="str">
        <f>HYPERLINK("http://141.218.60.56/~jnz1568/getInfo.php?workbook=06_02.xlsx&amp;sheet=A0&amp;row=311&amp;col=17&amp;number=&amp;sourceID=32","")</f>
        <v/>
      </c>
      <c r="R311" s="4" t="str">
        <f>HYPERLINK("http://141.218.60.56/~jnz1568/getInfo.php?workbook=06_02.xlsx&amp;sheet=A0&amp;row=311&amp;col=18&amp;number=0.4343&amp;sourceID=32","0.4343")</f>
        <v>0.4343</v>
      </c>
    </row>
    <row r="312" spans="1:18">
      <c r="A312" s="3">
        <v>6</v>
      </c>
      <c r="B312" s="3">
        <v>2</v>
      </c>
      <c r="C312" s="3">
        <v>28</v>
      </c>
      <c r="D312" s="3">
        <v>14</v>
      </c>
      <c r="E312" s="3">
        <f>((1/(INDEX(E0!J$4:J$52,C312,1)-INDEX(E0!J$4:J$52,D312,1))))*100000000</f>
        <v>0</v>
      </c>
      <c r="F312" s="4" t="str">
        <f>HYPERLINK("http://141.218.60.56/~jnz1568/getInfo.php?workbook=06_02.xlsx&amp;sheet=A0&amp;row=312&amp;col=6&amp;number=&amp;sourceID=27","")</f>
        <v/>
      </c>
      <c r="G312" s="4" t="str">
        <f>HYPERLINK("http://141.218.60.56/~jnz1568/getInfo.php?workbook=06_02.xlsx&amp;sheet=A0&amp;row=312&amp;col=7&amp;number=&amp;sourceID=34","")</f>
        <v/>
      </c>
      <c r="H312" s="4" t="str">
        <f>HYPERLINK("http://141.218.60.56/~jnz1568/getInfo.php?workbook=06_02.xlsx&amp;sheet=A0&amp;row=312&amp;col=8&amp;number=&amp;sourceID=34","")</f>
        <v/>
      </c>
      <c r="I312" s="4" t="str">
        <f>HYPERLINK("http://141.218.60.56/~jnz1568/getInfo.php?workbook=06_02.xlsx&amp;sheet=A0&amp;row=312&amp;col=9&amp;number=&amp;sourceID=34","")</f>
        <v/>
      </c>
      <c r="J312" s="4" t="str">
        <f>HYPERLINK("http://141.218.60.56/~jnz1568/getInfo.php?workbook=06_02.xlsx&amp;sheet=A0&amp;row=312&amp;col=10&amp;number=&amp;sourceID=34","")</f>
        <v/>
      </c>
      <c r="K312" s="4" t="str">
        <f>HYPERLINK("http://141.218.60.56/~jnz1568/getInfo.php?workbook=06_02.xlsx&amp;sheet=A0&amp;row=312&amp;col=11&amp;number=5482000000&amp;sourceID=30","5482000000")</f>
        <v>5482000000</v>
      </c>
      <c r="L312" s="4" t="str">
        <f>HYPERLINK("http://141.218.60.56/~jnz1568/getInfo.php?workbook=06_02.xlsx&amp;sheet=A0&amp;row=312&amp;col=12&amp;number=&amp;sourceID=30","")</f>
        <v/>
      </c>
      <c r="M312" s="4" t="str">
        <f>HYPERLINK("http://141.218.60.56/~jnz1568/getInfo.php?workbook=06_02.xlsx&amp;sheet=A0&amp;row=312&amp;col=13&amp;number=&amp;sourceID=30","")</f>
        <v/>
      </c>
      <c r="N312" s="4" t="str">
        <f>HYPERLINK("http://141.218.60.56/~jnz1568/getInfo.php?workbook=06_02.xlsx&amp;sheet=A0&amp;row=312&amp;col=14&amp;number=0.3214&amp;sourceID=30","0.3214")</f>
        <v>0.3214</v>
      </c>
      <c r="O312" s="4" t="str">
        <f>HYPERLINK("http://141.218.60.56/~jnz1568/getInfo.php?workbook=06_02.xlsx&amp;sheet=A0&amp;row=312&amp;col=15&amp;number=2269000000&amp;sourceID=32","2269000000")</f>
        <v>2269000000</v>
      </c>
      <c r="P312" s="4" t="str">
        <f>HYPERLINK("http://141.218.60.56/~jnz1568/getInfo.php?workbook=06_02.xlsx&amp;sheet=A0&amp;row=312&amp;col=16&amp;number=&amp;sourceID=32","")</f>
        <v/>
      </c>
      <c r="Q312" s="4" t="str">
        <f>HYPERLINK("http://141.218.60.56/~jnz1568/getInfo.php?workbook=06_02.xlsx&amp;sheet=A0&amp;row=312&amp;col=17&amp;number=&amp;sourceID=32","")</f>
        <v/>
      </c>
      <c r="R312" s="4" t="str">
        <f>HYPERLINK("http://141.218.60.56/~jnz1568/getInfo.php?workbook=06_02.xlsx&amp;sheet=A0&amp;row=312&amp;col=18&amp;number=1.348&amp;sourceID=32","1.348")</f>
        <v>1.348</v>
      </c>
    </row>
    <row r="313" spans="1:18">
      <c r="A313" s="3">
        <v>6</v>
      </c>
      <c r="B313" s="3">
        <v>2</v>
      </c>
      <c r="C313" s="3">
        <v>28</v>
      </c>
      <c r="D313" s="3">
        <v>15</v>
      </c>
      <c r="E313" s="3">
        <f>((1/(INDEX(E0!J$4:J$52,C313,1)-INDEX(E0!J$4:J$52,D313,1))))*100000000</f>
        <v>0</v>
      </c>
      <c r="F313" s="4" t="str">
        <f>HYPERLINK("http://141.218.60.56/~jnz1568/getInfo.php?workbook=06_02.xlsx&amp;sheet=A0&amp;row=313&amp;col=6&amp;number=&amp;sourceID=27","")</f>
        <v/>
      </c>
      <c r="G313" s="4" t="str">
        <f>HYPERLINK("http://141.218.60.56/~jnz1568/getInfo.php?workbook=06_02.xlsx&amp;sheet=A0&amp;row=313&amp;col=7&amp;number=&amp;sourceID=34","")</f>
        <v/>
      </c>
      <c r="H313" s="4" t="str">
        <f>HYPERLINK("http://141.218.60.56/~jnz1568/getInfo.php?workbook=06_02.xlsx&amp;sheet=A0&amp;row=313&amp;col=8&amp;number=&amp;sourceID=34","")</f>
        <v/>
      </c>
      <c r="I313" s="4" t="str">
        <f>HYPERLINK("http://141.218.60.56/~jnz1568/getInfo.php?workbook=06_02.xlsx&amp;sheet=A0&amp;row=313&amp;col=9&amp;number=&amp;sourceID=34","")</f>
        <v/>
      </c>
      <c r="J313" s="4" t="str">
        <f>HYPERLINK("http://141.218.60.56/~jnz1568/getInfo.php?workbook=06_02.xlsx&amp;sheet=A0&amp;row=313&amp;col=10&amp;number=&amp;sourceID=34","")</f>
        <v/>
      </c>
      <c r="K313" s="4" t="str">
        <f>HYPERLINK("http://141.218.60.56/~jnz1568/getInfo.php?workbook=06_02.xlsx&amp;sheet=A0&amp;row=313&amp;col=11&amp;number=632100000&amp;sourceID=30","632100000")</f>
        <v>632100000</v>
      </c>
      <c r="L313" s="4" t="str">
        <f>HYPERLINK("http://141.218.60.56/~jnz1568/getInfo.php?workbook=06_02.xlsx&amp;sheet=A0&amp;row=313&amp;col=12&amp;number=&amp;sourceID=30","")</f>
        <v/>
      </c>
      <c r="M313" s="4" t="str">
        <f>HYPERLINK("http://141.218.60.56/~jnz1568/getInfo.php?workbook=06_02.xlsx&amp;sheet=A0&amp;row=313&amp;col=13&amp;number=&amp;sourceID=30","")</f>
        <v/>
      </c>
      <c r="N313" s="4" t="str">
        <f>HYPERLINK("http://141.218.60.56/~jnz1568/getInfo.php?workbook=06_02.xlsx&amp;sheet=A0&amp;row=313&amp;col=14&amp;number=0.003859&amp;sourceID=30","0.003859")</f>
        <v>0.003859</v>
      </c>
      <c r="O313" s="4" t="str">
        <f>HYPERLINK("http://141.218.60.56/~jnz1568/getInfo.php?workbook=06_02.xlsx&amp;sheet=A0&amp;row=313&amp;col=15&amp;number=345900000&amp;sourceID=32","345900000")</f>
        <v>345900000</v>
      </c>
      <c r="P313" s="4" t="str">
        <f>HYPERLINK("http://141.218.60.56/~jnz1568/getInfo.php?workbook=06_02.xlsx&amp;sheet=A0&amp;row=313&amp;col=16&amp;number=&amp;sourceID=32","")</f>
        <v/>
      </c>
      <c r="Q313" s="4" t="str">
        <f>HYPERLINK("http://141.218.60.56/~jnz1568/getInfo.php?workbook=06_02.xlsx&amp;sheet=A0&amp;row=313&amp;col=17&amp;number=&amp;sourceID=32","")</f>
        <v/>
      </c>
      <c r="R313" s="4" t="str">
        <f>HYPERLINK("http://141.218.60.56/~jnz1568/getInfo.php?workbook=06_02.xlsx&amp;sheet=A0&amp;row=313&amp;col=18&amp;number=0.4746&amp;sourceID=32","0.4746")</f>
        <v>0.4746</v>
      </c>
    </row>
    <row r="314" spans="1:18">
      <c r="A314" s="3">
        <v>6</v>
      </c>
      <c r="B314" s="3">
        <v>2</v>
      </c>
      <c r="C314" s="3">
        <v>28</v>
      </c>
      <c r="D314" s="3">
        <v>16</v>
      </c>
      <c r="E314" s="3">
        <f>((1/(INDEX(E0!J$4:J$52,C314,1)-INDEX(E0!J$4:J$52,D314,1))))*100000000</f>
        <v>0</v>
      </c>
      <c r="F314" s="4" t="str">
        <f>HYPERLINK("http://141.218.60.56/~jnz1568/getInfo.php?workbook=06_02.xlsx&amp;sheet=A0&amp;row=314&amp;col=6&amp;number=&amp;sourceID=27","")</f>
        <v/>
      </c>
      <c r="G314" s="4" t="str">
        <f>HYPERLINK("http://141.218.60.56/~jnz1568/getInfo.php?workbook=06_02.xlsx&amp;sheet=A0&amp;row=314&amp;col=7&amp;number=&amp;sourceID=34","")</f>
        <v/>
      </c>
      <c r="H314" s="4" t="str">
        <f>HYPERLINK("http://141.218.60.56/~jnz1568/getInfo.php?workbook=06_02.xlsx&amp;sheet=A0&amp;row=314&amp;col=8&amp;number=&amp;sourceID=34","")</f>
        <v/>
      </c>
      <c r="I314" s="4" t="str">
        <f>HYPERLINK("http://141.218.60.56/~jnz1568/getInfo.php?workbook=06_02.xlsx&amp;sheet=A0&amp;row=314&amp;col=9&amp;number=&amp;sourceID=34","")</f>
        <v/>
      </c>
      <c r="J314" s="4" t="str">
        <f>HYPERLINK("http://141.218.60.56/~jnz1568/getInfo.php?workbook=06_02.xlsx&amp;sheet=A0&amp;row=314&amp;col=10&amp;number=&amp;sourceID=34","")</f>
        <v/>
      </c>
      <c r="K314" s="4" t="str">
        <f>HYPERLINK("http://141.218.60.56/~jnz1568/getInfo.php?workbook=06_02.xlsx&amp;sheet=A0&amp;row=314&amp;col=11&amp;number=2515000000&amp;sourceID=30","2515000000")</f>
        <v>2515000000</v>
      </c>
      <c r="L314" s="4" t="str">
        <f>HYPERLINK("http://141.218.60.56/~jnz1568/getInfo.php?workbook=06_02.xlsx&amp;sheet=A0&amp;row=314&amp;col=12&amp;number=&amp;sourceID=30","")</f>
        <v/>
      </c>
      <c r="M314" s="4" t="str">
        <f>HYPERLINK("http://141.218.60.56/~jnz1568/getInfo.php?workbook=06_02.xlsx&amp;sheet=A0&amp;row=314&amp;col=13&amp;number=&amp;sourceID=30","")</f>
        <v/>
      </c>
      <c r="N314" s="4" t="str">
        <f>HYPERLINK("http://141.218.60.56/~jnz1568/getInfo.php?workbook=06_02.xlsx&amp;sheet=A0&amp;row=314&amp;col=14&amp;number=0.04993&amp;sourceID=30","0.04993")</f>
        <v>0.04993</v>
      </c>
      <c r="O314" s="4" t="str">
        <f>HYPERLINK("http://141.218.60.56/~jnz1568/getInfo.php?workbook=06_02.xlsx&amp;sheet=A0&amp;row=314&amp;col=15&amp;number=6011000000&amp;sourceID=32","6011000000")</f>
        <v>6011000000</v>
      </c>
      <c r="P314" s="4" t="str">
        <f>HYPERLINK("http://141.218.60.56/~jnz1568/getInfo.php?workbook=06_02.xlsx&amp;sheet=A0&amp;row=314&amp;col=16&amp;number=&amp;sourceID=32","")</f>
        <v/>
      </c>
      <c r="Q314" s="4" t="str">
        <f>HYPERLINK("http://141.218.60.56/~jnz1568/getInfo.php?workbook=06_02.xlsx&amp;sheet=A0&amp;row=314&amp;col=17&amp;number=&amp;sourceID=32","")</f>
        <v/>
      </c>
      <c r="R314" s="4" t="str">
        <f>HYPERLINK("http://141.218.60.56/~jnz1568/getInfo.php?workbook=06_02.xlsx&amp;sheet=A0&amp;row=314&amp;col=18&amp;number=1.542&amp;sourceID=32","1.542")</f>
        <v>1.542</v>
      </c>
    </row>
    <row r="315" spans="1:18">
      <c r="A315" s="3">
        <v>6</v>
      </c>
      <c r="B315" s="3">
        <v>2</v>
      </c>
      <c r="C315" s="3">
        <v>28</v>
      </c>
      <c r="D315" s="3">
        <v>17</v>
      </c>
      <c r="E315" s="3">
        <f>((1/(INDEX(E0!J$4:J$52,C315,1)-INDEX(E0!J$4:J$52,D315,1))))*100000000</f>
        <v>0</v>
      </c>
      <c r="F315" s="4" t="str">
        <f>HYPERLINK("http://141.218.60.56/~jnz1568/getInfo.php?workbook=06_02.xlsx&amp;sheet=A0&amp;row=315&amp;col=6&amp;number=&amp;sourceID=27","")</f>
        <v/>
      </c>
      <c r="G315" s="4" t="str">
        <f>HYPERLINK("http://141.218.60.56/~jnz1568/getInfo.php?workbook=06_02.xlsx&amp;sheet=A0&amp;row=315&amp;col=7&amp;number=&amp;sourceID=34","")</f>
        <v/>
      </c>
      <c r="H315" s="4" t="str">
        <f>HYPERLINK("http://141.218.60.56/~jnz1568/getInfo.php?workbook=06_02.xlsx&amp;sheet=A0&amp;row=315&amp;col=8&amp;number=&amp;sourceID=34","")</f>
        <v/>
      </c>
      <c r="I315" s="4" t="str">
        <f>HYPERLINK("http://141.218.60.56/~jnz1568/getInfo.php?workbook=06_02.xlsx&amp;sheet=A0&amp;row=315&amp;col=9&amp;number=&amp;sourceID=34","")</f>
        <v/>
      </c>
      <c r="J315" s="4" t="str">
        <f>HYPERLINK("http://141.218.60.56/~jnz1568/getInfo.php?workbook=06_02.xlsx&amp;sheet=A0&amp;row=315&amp;col=10&amp;number=&amp;sourceID=34","")</f>
        <v/>
      </c>
      <c r="K315" s="4" t="str">
        <f>HYPERLINK("http://141.218.60.56/~jnz1568/getInfo.php?workbook=06_02.xlsx&amp;sheet=A0&amp;row=315&amp;col=11&amp;number=&amp;sourceID=30","")</f>
        <v/>
      </c>
      <c r="L315" s="4" t="str">
        <f>HYPERLINK("http://141.218.60.56/~jnz1568/getInfo.php?workbook=06_02.xlsx&amp;sheet=A0&amp;row=315&amp;col=12&amp;number=28640&amp;sourceID=30","28640")</f>
        <v>28640</v>
      </c>
      <c r="M315" s="4" t="str">
        <f>HYPERLINK("http://141.218.60.56/~jnz1568/getInfo.php?workbook=06_02.xlsx&amp;sheet=A0&amp;row=315&amp;col=13&amp;number=&amp;sourceID=30","")</f>
        <v/>
      </c>
      <c r="N315" s="4" t="str">
        <f>HYPERLINK("http://141.218.60.56/~jnz1568/getInfo.php?workbook=06_02.xlsx&amp;sheet=A0&amp;row=315&amp;col=14&amp;number=&amp;sourceID=30","")</f>
        <v/>
      </c>
      <c r="O315" s="4" t="str">
        <f>HYPERLINK("http://141.218.60.56/~jnz1568/getInfo.php?workbook=06_02.xlsx&amp;sheet=A0&amp;row=315&amp;col=15&amp;number=&amp;sourceID=32","")</f>
        <v/>
      </c>
      <c r="P315" s="4" t="str">
        <f>HYPERLINK("http://141.218.60.56/~jnz1568/getInfo.php?workbook=06_02.xlsx&amp;sheet=A0&amp;row=315&amp;col=16&amp;number=55630&amp;sourceID=32","55630")</f>
        <v>55630</v>
      </c>
      <c r="Q315" s="4" t="str">
        <f>HYPERLINK("http://141.218.60.56/~jnz1568/getInfo.php?workbook=06_02.xlsx&amp;sheet=A0&amp;row=315&amp;col=17&amp;number=&amp;sourceID=32","")</f>
        <v/>
      </c>
      <c r="R315" s="4" t="str">
        <f>HYPERLINK("http://141.218.60.56/~jnz1568/getInfo.php?workbook=06_02.xlsx&amp;sheet=A0&amp;row=315&amp;col=18&amp;number=&amp;sourceID=32","")</f>
        <v/>
      </c>
    </row>
    <row r="316" spans="1:18">
      <c r="A316" s="3">
        <v>6</v>
      </c>
      <c r="B316" s="3">
        <v>2</v>
      </c>
      <c r="C316" s="3">
        <v>28</v>
      </c>
      <c r="D316" s="3">
        <v>18</v>
      </c>
      <c r="E316" s="3">
        <f>((1/(INDEX(E0!J$4:J$52,C316,1)-INDEX(E0!J$4:J$52,D316,1))))*100000000</f>
        <v>0</v>
      </c>
      <c r="F316" s="4" t="str">
        <f>HYPERLINK("http://141.218.60.56/~jnz1568/getInfo.php?workbook=06_02.xlsx&amp;sheet=A0&amp;row=316&amp;col=6&amp;number=&amp;sourceID=27","")</f>
        <v/>
      </c>
      <c r="G316" s="4" t="str">
        <f>HYPERLINK("http://141.218.60.56/~jnz1568/getInfo.php?workbook=06_02.xlsx&amp;sheet=A0&amp;row=316&amp;col=7&amp;number=&amp;sourceID=34","")</f>
        <v/>
      </c>
      <c r="H316" s="4" t="str">
        <f>HYPERLINK("http://141.218.60.56/~jnz1568/getInfo.php?workbook=06_02.xlsx&amp;sheet=A0&amp;row=316&amp;col=8&amp;number=&amp;sourceID=34","")</f>
        <v/>
      </c>
      <c r="I316" s="4" t="str">
        <f>HYPERLINK("http://141.218.60.56/~jnz1568/getInfo.php?workbook=06_02.xlsx&amp;sheet=A0&amp;row=316&amp;col=9&amp;number=&amp;sourceID=34","")</f>
        <v/>
      </c>
      <c r="J316" s="4" t="str">
        <f>HYPERLINK("http://141.218.60.56/~jnz1568/getInfo.php?workbook=06_02.xlsx&amp;sheet=A0&amp;row=316&amp;col=10&amp;number=&amp;sourceID=34","")</f>
        <v/>
      </c>
      <c r="K316" s="4" t="str">
        <f>HYPERLINK("http://141.218.60.56/~jnz1568/getInfo.php?workbook=06_02.xlsx&amp;sheet=A0&amp;row=316&amp;col=11&amp;number=&amp;sourceID=30","")</f>
        <v/>
      </c>
      <c r="L316" s="4" t="str">
        <f>HYPERLINK("http://141.218.60.56/~jnz1568/getInfo.php?workbook=06_02.xlsx&amp;sheet=A0&amp;row=316&amp;col=12&amp;number=&amp;sourceID=30","")</f>
        <v/>
      </c>
      <c r="M316" s="4" t="str">
        <f>HYPERLINK("http://141.218.60.56/~jnz1568/getInfo.php?workbook=06_02.xlsx&amp;sheet=A0&amp;row=316&amp;col=13&amp;number=&amp;sourceID=30","")</f>
        <v/>
      </c>
      <c r="N316" s="4" t="str">
        <f>HYPERLINK("http://141.218.60.56/~jnz1568/getInfo.php?workbook=06_02.xlsx&amp;sheet=A0&amp;row=316&amp;col=14&amp;number=0&amp;sourceID=30","0")</f>
        <v>0</v>
      </c>
      <c r="O316" s="4" t="str">
        <f>HYPERLINK("http://141.218.60.56/~jnz1568/getInfo.php?workbook=06_02.xlsx&amp;sheet=A0&amp;row=316&amp;col=15&amp;number=&amp;sourceID=32","")</f>
        <v/>
      </c>
      <c r="P316" s="4" t="str">
        <f>HYPERLINK("http://141.218.60.56/~jnz1568/getInfo.php?workbook=06_02.xlsx&amp;sheet=A0&amp;row=316&amp;col=16&amp;number=&amp;sourceID=32","")</f>
        <v/>
      </c>
      <c r="Q316" s="4" t="str">
        <f>HYPERLINK("http://141.218.60.56/~jnz1568/getInfo.php?workbook=06_02.xlsx&amp;sheet=A0&amp;row=316&amp;col=17&amp;number=&amp;sourceID=32","")</f>
        <v/>
      </c>
      <c r="R316" s="4" t="str">
        <f>HYPERLINK("http://141.218.60.56/~jnz1568/getInfo.php?workbook=06_02.xlsx&amp;sheet=A0&amp;row=316&amp;col=18&amp;number=5e-15&amp;sourceID=32","5e-15")</f>
        <v>5e-15</v>
      </c>
    </row>
    <row r="317" spans="1:18">
      <c r="A317" s="3">
        <v>6</v>
      </c>
      <c r="B317" s="3">
        <v>2</v>
      </c>
      <c r="C317" s="3">
        <v>28</v>
      </c>
      <c r="D317" s="3">
        <v>21</v>
      </c>
      <c r="E317" s="3">
        <f>((1/(INDEX(E0!J$4:J$52,C317,1)-INDEX(E0!J$4:J$52,D317,1))))*100000000</f>
        <v>0</v>
      </c>
      <c r="F317" s="4" t="str">
        <f>HYPERLINK("http://141.218.60.56/~jnz1568/getInfo.php?workbook=06_02.xlsx&amp;sheet=A0&amp;row=317&amp;col=6&amp;number=&amp;sourceID=27","")</f>
        <v/>
      </c>
      <c r="G317" s="4" t="str">
        <f>HYPERLINK("http://141.218.60.56/~jnz1568/getInfo.php?workbook=06_02.xlsx&amp;sheet=A0&amp;row=317&amp;col=7&amp;number=&amp;sourceID=34","")</f>
        <v/>
      </c>
      <c r="H317" s="4" t="str">
        <f>HYPERLINK("http://141.218.60.56/~jnz1568/getInfo.php?workbook=06_02.xlsx&amp;sheet=A0&amp;row=317&amp;col=8&amp;number=&amp;sourceID=34","")</f>
        <v/>
      </c>
      <c r="I317" s="4" t="str">
        <f>HYPERLINK("http://141.218.60.56/~jnz1568/getInfo.php?workbook=06_02.xlsx&amp;sheet=A0&amp;row=317&amp;col=9&amp;number=&amp;sourceID=34","")</f>
        <v/>
      </c>
      <c r="J317" s="4" t="str">
        <f>HYPERLINK("http://141.218.60.56/~jnz1568/getInfo.php?workbook=06_02.xlsx&amp;sheet=A0&amp;row=317&amp;col=10&amp;number=&amp;sourceID=34","")</f>
        <v/>
      </c>
      <c r="K317" s="4" t="str">
        <f>HYPERLINK("http://141.218.60.56/~jnz1568/getInfo.php?workbook=06_02.xlsx&amp;sheet=A0&amp;row=317&amp;col=11&amp;number=&amp;sourceID=30","")</f>
        <v/>
      </c>
      <c r="L317" s="4" t="str">
        <f>HYPERLINK("http://141.218.60.56/~jnz1568/getInfo.php?workbook=06_02.xlsx&amp;sheet=A0&amp;row=317&amp;col=12&amp;number=0.0002393&amp;sourceID=30","0.0002393")</f>
        <v>0.0002393</v>
      </c>
      <c r="M317" s="4" t="str">
        <f>HYPERLINK("http://141.218.60.56/~jnz1568/getInfo.php?workbook=06_02.xlsx&amp;sheet=A0&amp;row=317&amp;col=13&amp;number=&amp;sourceID=30","")</f>
        <v/>
      </c>
      <c r="N317" s="4" t="str">
        <f>HYPERLINK("http://141.218.60.56/~jnz1568/getInfo.php?workbook=06_02.xlsx&amp;sheet=A0&amp;row=317&amp;col=14&amp;number=&amp;sourceID=30","")</f>
        <v/>
      </c>
      <c r="O317" s="4" t="str">
        <f>HYPERLINK("http://141.218.60.56/~jnz1568/getInfo.php?workbook=06_02.xlsx&amp;sheet=A0&amp;row=317&amp;col=15&amp;number=&amp;sourceID=32","")</f>
        <v/>
      </c>
      <c r="P317" s="4" t="str">
        <f>HYPERLINK("http://141.218.60.56/~jnz1568/getInfo.php?workbook=06_02.xlsx&amp;sheet=A0&amp;row=317&amp;col=16&amp;number=0.0001666&amp;sourceID=32","0.0001666")</f>
        <v>0.0001666</v>
      </c>
      <c r="Q317" s="4" t="str">
        <f>HYPERLINK("http://141.218.60.56/~jnz1568/getInfo.php?workbook=06_02.xlsx&amp;sheet=A0&amp;row=317&amp;col=17&amp;number=&amp;sourceID=32","")</f>
        <v/>
      </c>
      <c r="R317" s="4" t="str">
        <f>HYPERLINK("http://141.218.60.56/~jnz1568/getInfo.php?workbook=06_02.xlsx&amp;sheet=A0&amp;row=317&amp;col=18&amp;number=&amp;sourceID=32","")</f>
        <v/>
      </c>
    </row>
    <row r="318" spans="1:18">
      <c r="A318" s="3">
        <v>6</v>
      </c>
      <c r="B318" s="3">
        <v>2</v>
      </c>
      <c r="C318" s="3">
        <v>28</v>
      </c>
      <c r="D318" s="3">
        <v>22</v>
      </c>
      <c r="E318" s="3">
        <f>((1/(INDEX(E0!J$4:J$52,C318,1)-INDEX(E0!J$4:J$52,D318,1))))*100000000</f>
        <v>0</v>
      </c>
      <c r="F318" s="4" t="str">
        <f>HYPERLINK("http://141.218.60.56/~jnz1568/getInfo.php?workbook=06_02.xlsx&amp;sheet=A0&amp;row=318&amp;col=6&amp;number=&amp;sourceID=27","")</f>
        <v/>
      </c>
      <c r="G318" s="4" t="str">
        <f>HYPERLINK("http://141.218.60.56/~jnz1568/getInfo.php?workbook=06_02.xlsx&amp;sheet=A0&amp;row=318&amp;col=7&amp;number=&amp;sourceID=34","")</f>
        <v/>
      </c>
      <c r="H318" s="4" t="str">
        <f>HYPERLINK("http://141.218.60.56/~jnz1568/getInfo.php?workbook=06_02.xlsx&amp;sheet=A0&amp;row=318&amp;col=8&amp;number=&amp;sourceID=34","")</f>
        <v/>
      </c>
      <c r="I318" s="4" t="str">
        <f>HYPERLINK("http://141.218.60.56/~jnz1568/getInfo.php?workbook=06_02.xlsx&amp;sheet=A0&amp;row=318&amp;col=9&amp;number=&amp;sourceID=34","")</f>
        <v/>
      </c>
      <c r="J318" s="4" t="str">
        <f>HYPERLINK("http://141.218.60.56/~jnz1568/getInfo.php?workbook=06_02.xlsx&amp;sheet=A0&amp;row=318&amp;col=10&amp;number=&amp;sourceID=34","")</f>
        <v/>
      </c>
      <c r="K318" s="4" t="str">
        <f>HYPERLINK("http://141.218.60.56/~jnz1568/getInfo.php?workbook=06_02.xlsx&amp;sheet=A0&amp;row=318&amp;col=11&amp;number=&amp;sourceID=30","")</f>
        <v/>
      </c>
      <c r="L318" s="4" t="str">
        <f>HYPERLINK("http://141.218.60.56/~jnz1568/getInfo.php?workbook=06_02.xlsx&amp;sheet=A0&amp;row=318&amp;col=12&amp;number=0.0001145&amp;sourceID=30","0.0001145")</f>
        <v>0.0001145</v>
      </c>
      <c r="M318" s="4" t="str">
        <f>HYPERLINK("http://141.218.60.56/~jnz1568/getInfo.php?workbook=06_02.xlsx&amp;sheet=A0&amp;row=318&amp;col=13&amp;number=1.01e-10&amp;sourceID=30","1.01e-10")</f>
        <v>1.01e-10</v>
      </c>
      <c r="N318" s="4" t="str">
        <f>HYPERLINK("http://141.218.60.56/~jnz1568/getInfo.php?workbook=06_02.xlsx&amp;sheet=A0&amp;row=318&amp;col=14&amp;number=&amp;sourceID=30","")</f>
        <v/>
      </c>
      <c r="O318" s="4" t="str">
        <f>HYPERLINK("http://141.218.60.56/~jnz1568/getInfo.php?workbook=06_02.xlsx&amp;sheet=A0&amp;row=318&amp;col=15&amp;number=&amp;sourceID=32","")</f>
        <v/>
      </c>
      <c r="P318" s="4" t="str">
        <f>HYPERLINK("http://141.218.60.56/~jnz1568/getInfo.php?workbook=06_02.xlsx&amp;sheet=A0&amp;row=318&amp;col=16&amp;number=8.19e-05&amp;sourceID=32","8.19e-05")</f>
        <v>8.19e-05</v>
      </c>
      <c r="Q318" s="4" t="str">
        <f>HYPERLINK("http://141.218.60.56/~jnz1568/getInfo.php?workbook=06_02.xlsx&amp;sheet=A0&amp;row=318&amp;col=17&amp;number=4.061e-11&amp;sourceID=32","4.061e-11")</f>
        <v>4.061e-11</v>
      </c>
      <c r="R318" s="4" t="str">
        <f>HYPERLINK("http://141.218.60.56/~jnz1568/getInfo.php?workbook=06_02.xlsx&amp;sheet=A0&amp;row=318&amp;col=18&amp;number=&amp;sourceID=32","")</f>
        <v/>
      </c>
    </row>
    <row r="319" spans="1:18">
      <c r="A319" s="3">
        <v>6</v>
      </c>
      <c r="B319" s="3">
        <v>2</v>
      </c>
      <c r="C319" s="3">
        <v>28</v>
      </c>
      <c r="D319" s="3">
        <v>23</v>
      </c>
      <c r="E319" s="3">
        <f>((1/(INDEX(E0!J$4:J$52,C319,1)-INDEX(E0!J$4:J$52,D319,1))))*100000000</f>
        <v>0</v>
      </c>
      <c r="F319" s="4" t="str">
        <f>HYPERLINK("http://141.218.60.56/~jnz1568/getInfo.php?workbook=06_02.xlsx&amp;sheet=A0&amp;row=319&amp;col=6&amp;number=&amp;sourceID=27","")</f>
        <v/>
      </c>
      <c r="G319" s="4" t="str">
        <f>HYPERLINK("http://141.218.60.56/~jnz1568/getInfo.php?workbook=06_02.xlsx&amp;sheet=A0&amp;row=319&amp;col=7&amp;number=&amp;sourceID=34","")</f>
        <v/>
      </c>
      <c r="H319" s="4" t="str">
        <f>HYPERLINK("http://141.218.60.56/~jnz1568/getInfo.php?workbook=06_02.xlsx&amp;sheet=A0&amp;row=319&amp;col=8&amp;number=&amp;sourceID=34","")</f>
        <v/>
      </c>
      <c r="I319" s="4" t="str">
        <f>HYPERLINK("http://141.218.60.56/~jnz1568/getInfo.php?workbook=06_02.xlsx&amp;sheet=A0&amp;row=319&amp;col=9&amp;number=&amp;sourceID=34","")</f>
        <v/>
      </c>
      <c r="J319" s="4" t="str">
        <f>HYPERLINK("http://141.218.60.56/~jnz1568/getInfo.php?workbook=06_02.xlsx&amp;sheet=A0&amp;row=319&amp;col=10&amp;number=&amp;sourceID=34","")</f>
        <v/>
      </c>
      <c r="K319" s="4" t="str">
        <f>HYPERLINK("http://141.218.60.56/~jnz1568/getInfo.php?workbook=06_02.xlsx&amp;sheet=A0&amp;row=319&amp;col=11&amp;number=&amp;sourceID=30","")</f>
        <v/>
      </c>
      <c r="L319" s="4" t="str">
        <f>HYPERLINK("http://141.218.60.56/~jnz1568/getInfo.php?workbook=06_02.xlsx&amp;sheet=A0&amp;row=319&amp;col=12&amp;number=&amp;sourceID=30","")</f>
        <v/>
      </c>
      <c r="M319" s="4" t="str">
        <f>HYPERLINK("http://141.218.60.56/~jnz1568/getInfo.php?workbook=06_02.xlsx&amp;sheet=A0&amp;row=319&amp;col=13&amp;number=&amp;sourceID=30","")</f>
        <v/>
      </c>
      <c r="N319" s="4" t="str">
        <f>HYPERLINK("http://141.218.60.56/~jnz1568/getInfo.php?workbook=06_02.xlsx&amp;sheet=A0&amp;row=319&amp;col=14&amp;number=0&amp;sourceID=30","0")</f>
        <v>0</v>
      </c>
      <c r="O319" s="4" t="str">
        <f>HYPERLINK("http://141.218.60.56/~jnz1568/getInfo.php?workbook=06_02.xlsx&amp;sheet=A0&amp;row=319&amp;col=15&amp;number=&amp;sourceID=32","")</f>
        <v/>
      </c>
      <c r="P319" s="4" t="str">
        <f>HYPERLINK("http://141.218.60.56/~jnz1568/getInfo.php?workbook=06_02.xlsx&amp;sheet=A0&amp;row=319&amp;col=16&amp;number=&amp;sourceID=32","")</f>
        <v/>
      </c>
      <c r="Q319" s="4" t="str">
        <f>HYPERLINK("http://141.218.60.56/~jnz1568/getInfo.php?workbook=06_02.xlsx&amp;sheet=A0&amp;row=319&amp;col=17&amp;number=&amp;sourceID=32","")</f>
        <v/>
      </c>
      <c r="R319" s="4" t="str">
        <f>HYPERLINK("http://141.218.60.56/~jnz1568/getInfo.php?workbook=06_02.xlsx&amp;sheet=A0&amp;row=319&amp;col=18&amp;number=1e-15&amp;sourceID=32","1e-15")</f>
        <v>1e-15</v>
      </c>
    </row>
    <row r="320" spans="1:18">
      <c r="A320" s="3">
        <v>6</v>
      </c>
      <c r="B320" s="3">
        <v>2</v>
      </c>
      <c r="C320" s="3">
        <v>28</v>
      </c>
      <c r="D320" s="3">
        <v>24</v>
      </c>
      <c r="E320" s="3">
        <f>((1/(INDEX(E0!J$4:J$52,C320,1)-INDEX(E0!J$4:J$52,D320,1))))*100000000</f>
        <v>0</v>
      </c>
      <c r="F320" s="4" t="str">
        <f>HYPERLINK("http://141.218.60.56/~jnz1568/getInfo.php?workbook=06_02.xlsx&amp;sheet=A0&amp;row=320&amp;col=6&amp;number=&amp;sourceID=27","")</f>
        <v/>
      </c>
      <c r="G320" s="4" t="str">
        <f>HYPERLINK("http://141.218.60.56/~jnz1568/getInfo.php?workbook=06_02.xlsx&amp;sheet=A0&amp;row=320&amp;col=7&amp;number=&amp;sourceID=34","")</f>
        <v/>
      </c>
      <c r="H320" s="4" t="str">
        <f>HYPERLINK("http://141.218.60.56/~jnz1568/getInfo.php?workbook=06_02.xlsx&amp;sheet=A0&amp;row=320&amp;col=8&amp;number=&amp;sourceID=34","")</f>
        <v/>
      </c>
      <c r="I320" s="4" t="str">
        <f>HYPERLINK("http://141.218.60.56/~jnz1568/getInfo.php?workbook=06_02.xlsx&amp;sheet=A0&amp;row=320&amp;col=9&amp;number=&amp;sourceID=34","")</f>
        <v/>
      </c>
      <c r="J320" s="4" t="str">
        <f>HYPERLINK("http://141.218.60.56/~jnz1568/getInfo.php?workbook=06_02.xlsx&amp;sheet=A0&amp;row=320&amp;col=10&amp;number=&amp;sourceID=34","")</f>
        <v/>
      </c>
      <c r="K320" s="4" t="str">
        <f>HYPERLINK("http://141.218.60.56/~jnz1568/getInfo.php?workbook=06_02.xlsx&amp;sheet=A0&amp;row=320&amp;col=11&amp;number=6.152&amp;sourceID=30","6.152")</f>
        <v>6.152</v>
      </c>
      <c r="L320" s="4" t="str">
        <f>HYPERLINK("http://141.218.60.56/~jnz1568/getInfo.php?workbook=06_02.xlsx&amp;sheet=A0&amp;row=320&amp;col=12&amp;number=&amp;sourceID=30","")</f>
        <v/>
      </c>
      <c r="M320" s="4" t="str">
        <f>HYPERLINK("http://141.218.60.56/~jnz1568/getInfo.php?workbook=06_02.xlsx&amp;sheet=A0&amp;row=320&amp;col=13&amp;number=&amp;sourceID=30","")</f>
        <v/>
      </c>
      <c r="N320" s="4" t="str">
        <f>HYPERLINK("http://141.218.60.56/~jnz1568/getInfo.php?workbook=06_02.xlsx&amp;sheet=A0&amp;row=320&amp;col=14&amp;number=0&amp;sourceID=30","0")</f>
        <v>0</v>
      </c>
      <c r="O320" s="4" t="str">
        <f>HYPERLINK("http://141.218.60.56/~jnz1568/getInfo.php?workbook=06_02.xlsx&amp;sheet=A0&amp;row=320&amp;col=15&amp;number=6.327&amp;sourceID=32","6.327")</f>
        <v>6.327</v>
      </c>
      <c r="P320" s="4" t="str">
        <f>HYPERLINK("http://141.218.60.56/~jnz1568/getInfo.php?workbook=06_02.xlsx&amp;sheet=A0&amp;row=320&amp;col=16&amp;number=&amp;sourceID=32","")</f>
        <v/>
      </c>
      <c r="Q320" s="4" t="str">
        <f>HYPERLINK("http://141.218.60.56/~jnz1568/getInfo.php?workbook=06_02.xlsx&amp;sheet=A0&amp;row=320&amp;col=17&amp;number=&amp;sourceID=32","")</f>
        <v/>
      </c>
      <c r="R320" s="4" t="str">
        <f>HYPERLINK("http://141.218.60.56/~jnz1568/getInfo.php?workbook=06_02.xlsx&amp;sheet=A0&amp;row=320&amp;col=18&amp;number=4e-15&amp;sourceID=32","4e-15")</f>
        <v>4e-15</v>
      </c>
    </row>
    <row r="321" spans="1:18">
      <c r="A321" s="3">
        <v>6</v>
      </c>
      <c r="B321" s="3">
        <v>2</v>
      </c>
      <c r="C321" s="3">
        <v>28</v>
      </c>
      <c r="D321" s="3">
        <v>25</v>
      </c>
      <c r="E321" s="3">
        <f>((1/(INDEX(E0!J$4:J$52,C321,1)-INDEX(E0!J$4:J$52,D321,1))))*100000000</f>
        <v>0</v>
      </c>
      <c r="F321" s="4" t="str">
        <f>HYPERLINK("http://141.218.60.56/~jnz1568/getInfo.php?workbook=06_02.xlsx&amp;sheet=A0&amp;row=321&amp;col=6&amp;number=&amp;sourceID=27","")</f>
        <v/>
      </c>
      <c r="G321" s="4" t="str">
        <f>HYPERLINK("http://141.218.60.56/~jnz1568/getInfo.php?workbook=06_02.xlsx&amp;sheet=A0&amp;row=321&amp;col=7&amp;number=&amp;sourceID=34","")</f>
        <v/>
      </c>
      <c r="H321" s="4" t="str">
        <f>HYPERLINK("http://141.218.60.56/~jnz1568/getInfo.php?workbook=06_02.xlsx&amp;sheet=A0&amp;row=321&amp;col=8&amp;number=&amp;sourceID=34","")</f>
        <v/>
      </c>
      <c r="I321" s="4" t="str">
        <f>HYPERLINK("http://141.218.60.56/~jnz1568/getInfo.php?workbook=06_02.xlsx&amp;sheet=A0&amp;row=321&amp;col=9&amp;number=&amp;sourceID=34","")</f>
        <v/>
      </c>
      <c r="J321" s="4" t="str">
        <f>HYPERLINK("http://141.218.60.56/~jnz1568/getInfo.php?workbook=06_02.xlsx&amp;sheet=A0&amp;row=321&amp;col=10&amp;number=&amp;sourceID=34","")</f>
        <v/>
      </c>
      <c r="K321" s="4" t="str">
        <f>HYPERLINK("http://141.218.60.56/~jnz1568/getInfo.php?workbook=06_02.xlsx&amp;sheet=A0&amp;row=321&amp;col=11&amp;number=0.6305&amp;sourceID=30","0.6305")</f>
        <v>0.6305</v>
      </c>
      <c r="L321" s="4" t="str">
        <f>HYPERLINK("http://141.218.60.56/~jnz1568/getInfo.php?workbook=06_02.xlsx&amp;sheet=A0&amp;row=321&amp;col=12&amp;number=&amp;sourceID=30","")</f>
        <v/>
      </c>
      <c r="M321" s="4" t="str">
        <f>HYPERLINK("http://141.218.60.56/~jnz1568/getInfo.php?workbook=06_02.xlsx&amp;sheet=A0&amp;row=321&amp;col=13&amp;number=&amp;sourceID=30","")</f>
        <v/>
      </c>
      <c r="N321" s="4" t="str">
        <f>HYPERLINK("http://141.218.60.56/~jnz1568/getInfo.php?workbook=06_02.xlsx&amp;sheet=A0&amp;row=321&amp;col=14&amp;number=0&amp;sourceID=30","0")</f>
        <v>0</v>
      </c>
      <c r="O321" s="4" t="str">
        <f>HYPERLINK("http://141.218.60.56/~jnz1568/getInfo.php?workbook=06_02.xlsx&amp;sheet=A0&amp;row=321&amp;col=15&amp;number=0.8257&amp;sourceID=32","0.8257")</f>
        <v>0.8257</v>
      </c>
      <c r="P321" s="4" t="str">
        <f>HYPERLINK("http://141.218.60.56/~jnz1568/getInfo.php?workbook=06_02.xlsx&amp;sheet=A0&amp;row=321&amp;col=16&amp;number=&amp;sourceID=32","")</f>
        <v/>
      </c>
      <c r="Q321" s="4" t="str">
        <f>HYPERLINK("http://141.218.60.56/~jnz1568/getInfo.php?workbook=06_02.xlsx&amp;sheet=A0&amp;row=321&amp;col=17&amp;number=&amp;sourceID=32","")</f>
        <v/>
      </c>
      <c r="R321" s="4" t="str">
        <f>HYPERLINK("http://141.218.60.56/~jnz1568/getInfo.php?workbook=06_02.xlsx&amp;sheet=A0&amp;row=321&amp;col=18&amp;number=1e-15&amp;sourceID=32","1e-15")</f>
        <v>1e-15</v>
      </c>
    </row>
    <row r="322" spans="1:18">
      <c r="A322" s="3">
        <v>6</v>
      </c>
      <c r="B322" s="3">
        <v>2</v>
      </c>
      <c r="C322" s="3">
        <v>29</v>
      </c>
      <c r="D322" s="3">
        <v>6</v>
      </c>
      <c r="E322" s="3">
        <f>((1/(INDEX(E0!J$4:J$52,C322,1)-INDEX(E0!J$4:J$52,D322,1))))*100000000</f>
        <v>0</v>
      </c>
      <c r="F322" s="4" t="str">
        <f>HYPERLINK("http://141.218.60.56/~jnz1568/getInfo.php?workbook=06_02.xlsx&amp;sheet=A0&amp;row=322&amp;col=6&amp;number=&amp;sourceID=27","")</f>
        <v/>
      </c>
      <c r="G322" s="4" t="str">
        <f>HYPERLINK("http://141.218.60.56/~jnz1568/getInfo.php?workbook=06_02.xlsx&amp;sheet=A0&amp;row=322&amp;col=7&amp;number=&amp;sourceID=34","")</f>
        <v/>
      </c>
      <c r="H322" s="4" t="str">
        <f>HYPERLINK("http://141.218.60.56/~jnz1568/getInfo.php?workbook=06_02.xlsx&amp;sheet=A0&amp;row=322&amp;col=8&amp;number=&amp;sourceID=34","")</f>
        <v/>
      </c>
      <c r="I322" s="4" t="str">
        <f>HYPERLINK("http://141.218.60.56/~jnz1568/getInfo.php?workbook=06_02.xlsx&amp;sheet=A0&amp;row=322&amp;col=9&amp;number=&amp;sourceID=34","")</f>
        <v/>
      </c>
      <c r="J322" s="4" t="str">
        <f>HYPERLINK("http://141.218.60.56/~jnz1568/getInfo.php?workbook=06_02.xlsx&amp;sheet=A0&amp;row=322&amp;col=10&amp;number=&amp;sourceID=34","")</f>
        <v/>
      </c>
      <c r="K322" s="4" t="str">
        <f>HYPERLINK("http://141.218.60.56/~jnz1568/getInfo.php?workbook=06_02.xlsx&amp;sheet=A0&amp;row=322&amp;col=11&amp;number=&amp;sourceID=30","")</f>
        <v/>
      </c>
      <c r="L322" s="4" t="str">
        <f>HYPERLINK("http://141.218.60.56/~jnz1568/getInfo.php?workbook=06_02.xlsx&amp;sheet=A0&amp;row=322&amp;col=12&amp;number=980500&amp;sourceID=30","980500")</f>
        <v>980500</v>
      </c>
      <c r="M322" s="4" t="str">
        <f>HYPERLINK("http://141.218.60.56/~jnz1568/getInfo.php?workbook=06_02.xlsx&amp;sheet=A0&amp;row=322&amp;col=13&amp;number=&amp;sourceID=30","")</f>
        <v/>
      </c>
      <c r="N322" s="4" t="str">
        <f>HYPERLINK("http://141.218.60.56/~jnz1568/getInfo.php?workbook=06_02.xlsx&amp;sheet=A0&amp;row=322&amp;col=14&amp;number=&amp;sourceID=30","")</f>
        <v/>
      </c>
      <c r="O322" s="4" t="str">
        <f>HYPERLINK("http://141.218.60.56/~jnz1568/getInfo.php?workbook=06_02.xlsx&amp;sheet=A0&amp;row=322&amp;col=15&amp;number=&amp;sourceID=32","")</f>
        <v/>
      </c>
      <c r="P322" s="4" t="str">
        <f>HYPERLINK("http://141.218.60.56/~jnz1568/getInfo.php?workbook=06_02.xlsx&amp;sheet=A0&amp;row=322&amp;col=16&amp;number=&amp;sourceID=32","")</f>
        <v/>
      </c>
      <c r="Q322" s="4" t="str">
        <f>HYPERLINK("http://141.218.60.56/~jnz1568/getInfo.php?workbook=06_02.xlsx&amp;sheet=A0&amp;row=322&amp;col=17&amp;number=&amp;sourceID=32","")</f>
        <v/>
      </c>
      <c r="R322" s="4" t="str">
        <f>HYPERLINK("http://141.218.60.56/~jnz1568/getInfo.php?workbook=06_02.xlsx&amp;sheet=A0&amp;row=322&amp;col=18&amp;number=&amp;sourceID=32","")</f>
        <v/>
      </c>
    </row>
    <row r="323" spans="1:18">
      <c r="A323" s="3">
        <v>6</v>
      </c>
      <c r="B323" s="3">
        <v>2</v>
      </c>
      <c r="C323" s="3">
        <v>29</v>
      </c>
      <c r="D323" s="3">
        <v>12</v>
      </c>
      <c r="E323" s="3">
        <f>((1/(INDEX(E0!J$4:J$52,C323,1)-INDEX(E0!J$4:J$52,D323,1))))*100000000</f>
        <v>0</v>
      </c>
      <c r="F323" s="4" t="str">
        <f>HYPERLINK("http://141.218.60.56/~jnz1568/getInfo.php?workbook=06_02.xlsx&amp;sheet=A0&amp;row=323&amp;col=6&amp;number=&amp;sourceID=27","")</f>
        <v/>
      </c>
      <c r="G323" s="4" t="str">
        <f>HYPERLINK("http://141.218.60.56/~jnz1568/getInfo.php?workbook=06_02.xlsx&amp;sheet=A0&amp;row=323&amp;col=7&amp;number=&amp;sourceID=34","")</f>
        <v/>
      </c>
      <c r="H323" s="4" t="str">
        <f>HYPERLINK("http://141.218.60.56/~jnz1568/getInfo.php?workbook=06_02.xlsx&amp;sheet=A0&amp;row=323&amp;col=8&amp;number=&amp;sourceID=34","")</f>
        <v/>
      </c>
      <c r="I323" s="4" t="str">
        <f>HYPERLINK("http://141.218.60.56/~jnz1568/getInfo.php?workbook=06_02.xlsx&amp;sheet=A0&amp;row=323&amp;col=9&amp;number=&amp;sourceID=34","")</f>
        <v/>
      </c>
      <c r="J323" s="4" t="str">
        <f>HYPERLINK("http://141.218.60.56/~jnz1568/getInfo.php?workbook=06_02.xlsx&amp;sheet=A0&amp;row=323&amp;col=10&amp;number=&amp;sourceID=34","")</f>
        <v/>
      </c>
      <c r="K323" s="4" t="str">
        <f>HYPERLINK("http://141.218.60.56/~jnz1568/getInfo.php?workbook=06_02.xlsx&amp;sheet=A0&amp;row=323&amp;col=11&amp;number=&amp;sourceID=30","")</f>
        <v/>
      </c>
      <c r="L323" s="4" t="str">
        <f>HYPERLINK("http://141.218.60.56/~jnz1568/getInfo.php?workbook=06_02.xlsx&amp;sheet=A0&amp;row=323&amp;col=12&amp;number=103800&amp;sourceID=30","103800")</f>
        <v>103800</v>
      </c>
      <c r="M323" s="4" t="str">
        <f>HYPERLINK("http://141.218.60.56/~jnz1568/getInfo.php?workbook=06_02.xlsx&amp;sheet=A0&amp;row=323&amp;col=13&amp;number=&amp;sourceID=30","")</f>
        <v/>
      </c>
      <c r="N323" s="4" t="str">
        <f>HYPERLINK("http://141.218.60.56/~jnz1568/getInfo.php?workbook=06_02.xlsx&amp;sheet=A0&amp;row=323&amp;col=14&amp;number=&amp;sourceID=30","")</f>
        <v/>
      </c>
      <c r="O323" s="4" t="str">
        <f>HYPERLINK("http://141.218.60.56/~jnz1568/getInfo.php?workbook=06_02.xlsx&amp;sheet=A0&amp;row=323&amp;col=15&amp;number=&amp;sourceID=32","")</f>
        <v/>
      </c>
      <c r="P323" s="4" t="str">
        <f>HYPERLINK("http://141.218.60.56/~jnz1568/getInfo.php?workbook=06_02.xlsx&amp;sheet=A0&amp;row=323&amp;col=16&amp;number=&amp;sourceID=32","")</f>
        <v/>
      </c>
      <c r="Q323" s="4" t="str">
        <f>HYPERLINK("http://141.218.60.56/~jnz1568/getInfo.php?workbook=06_02.xlsx&amp;sheet=A0&amp;row=323&amp;col=17&amp;number=&amp;sourceID=32","")</f>
        <v/>
      </c>
      <c r="R323" s="4" t="str">
        <f>HYPERLINK("http://141.218.60.56/~jnz1568/getInfo.php?workbook=06_02.xlsx&amp;sheet=A0&amp;row=323&amp;col=18&amp;number=&amp;sourceID=32","")</f>
        <v/>
      </c>
    </row>
    <row r="324" spans="1:18">
      <c r="A324" s="3">
        <v>6</v>
      </c>
      <c r="B324" s="3">
        <v>2</v>
      </c>
      <c r="C324" s="3">
        <v>29</v>
      </c>
      <c r="D324" s="3">
        <v>14</v>
      </c>
      <c r="E324" s="3">
        <f>((1/(INDEX(E0!J$4:J$52,C324,1)-INDEX(E0!J$4:J$52,D324,1))))*100000000</f>
        <v>0</v>
      </c>
      <c r="F324" s="4" t="str">
        <f>HYPERLINK("http://141.218.60.56/~jnz1568/getInfo.php?workbook=06_02.xlsx&amp;sheet=A0&amp;row=324&amp;col=6&amp;number=&amp;sourceID=27","")</f>
        <v/>
      </c>
      <c r="G324" s="4" t="str">
        <f>HYPERLINK("http://141.218.60.56/~jnz1568/getInfo.php?workbook=06_02.xlsx&amp;sheet=A0&amp;row=324&amp;col=7&amp;number=&amp;sourceID=34","")</f>
        <v/>
      </c>
      <c r="H324" s="4" t="str">
        <f>HYPERLINK("http://141.218.60.56/~jnz1568/getInfo.php?workbook=06_02.xlsx&amp;sheet=A0&amp;row=324&amp;col=8&amp;number=&amp;sourceID=34","")</f>
        <v/>
      </c>
      <c r="I324" s="4" t="str">
        <f>HYPERLINK("http://141.218.60.56/~jnz1568/getInfo.php?workbook=06_02.xlsx&amp;sheet=A0&amp;row=324&amp;col=9&amp;number=&amp;sourceID=34","")</f>
        <v/>
      </c>
      <c r="J324" s="4" t="str">
        <f>HYPERLINK("http://141.218.60.56/~jnz1568/getInfo.php?workbook=06_02.xlsx&amp;sheet=A0&amp;row=324&amp;col=10&amp;number=&amp;sourceID=34","")</f>
        <v/>
      </c>
      <c r="K324" s="4" t="str">
        <f>HYPERLINK("http://141.218.60.56/~jnz1568/getInfo.php?workbook=06_02.xlsx&amp;sheet=A0&amp;row=324&amp;col=11&amp;number=&amp;sourceID=30","")</f>
        <v/>
      </c>
      <c r="L324" s="4" t="str">
        <f>HYPERLINK("http://141.218.60.56/~jnz1568/getInfo.php?workbook=06_02.xlsx&amp;sheet=A0&amp;row=324&amp;col=12&amp;number=&amp;sourceID=30","")</f>
        <v/>
      </c>
      <c r="M324" s="4" t="str">
        <f>HYPERLINK("http://141.218.60.56/~jnz1568/getInfo.php?workbook=06_02.xlsx&amp;sheet=A0&amp;row=324&amp;col=13&amp;number=&amp;sourceID=30","")</f>
        <v/>
      </c>
      <c r="N324" s="4" t="str">
        <f>HYPERLINK("http://141.218.60.56/~jnz1568/getInfo.php?workbook=06_02.xlsx&amp;sheet=A0&amp;row=324&amp;col=14&amp;number=0.07303&amp;sourceID=30","0.07303")</f>
        <v>0.07303</v>
      </c>
      <c r="O324" s="4" t="str">
        <f>HYPERLINK("http://141.218.60.56/~jnz1568/getInfo.php?workbook=06_02.xlsx&amp;sheet=A0&amp;row=324&amp;col=15&amp;number=&amp;sourceID=32","")</f>
        <v/>
      </c>
      <c r="P324" s="4" t="str">
        <f>HYPERLINK("http://141.218.60.56/~jnz1568/getInfo.php?workbook=06_02.xlsx&amp;sheet=A0&amp;row=324&amp;col=16&amp;number=&amp;sourceID=32","")</f>
        <v/>
      </c>
      <c r="Q324" s="4" t="str">
        <f>HYPERLINK("http://141.218.60.56/~jnz1568/getInfo.php?workbook=06_02.xlsx&amp;sheet=A0&amp;row=324&amp;col=17&amp;number=&amp;sourceID=32","")</f>
        <v/>
      </c>
      <c r="R324" s="4" t="str">
        <f>HYPERLINK("http://141.218.60.56/~jnz1568/getInfo.php?workbook=06_02.xlsx&amp;sheet=A0&amp;row=324&amp;col=18&amp;number=&amp;sourceID=32","")</f>
        <v/>
      </c>
    </row>
    <row r="325" spans="1:18">
      <c r="A325" s="3">
        <v>6</v>
      </c>
      <c r="B325" s="3">
        <v>2</v>
      </c>
      <c r="C325" s="3">
        <v>29</v>
      </c>
      <c r="D325" s="3">
        <v>15</v>
      </c>
      <c r="E325" s="3">
        <f>((1/(INDEX(E0!J$4:J$52,C325,1)-INDEX(E0!J$4:J$52,D325,1))))*100000000</f>
        <v>0</v>
      </c>
      <c r="F325" s="4" t="str">
        <f>HYPERLINK("http://141.218.60.56/~jnz1568/getInfo.php?workbook=06_02.xlsx&amp;sheet=A0&amp;row=325&amp;col=6&amp;number=&amp;sourceID=27","")</f>
        <v/>
      </c>
      <c r="G325" s="4" t="str">
        <f>HYPERLINK("http://141.218.60.56/~jnz1568/getInfo.php?workbook=06_02.xlsx&amp;sheet=A0&amp;row=325&amp;col=7&amp;number=&amp;sourceID=34","")</f>
        <v/>
      </c>
      <c r="H325" s="4" t="str">
        <f>HYPERLINK("http://141.218.60.56/~jnz1568/getInfo.php?workbook=06_02.xlsx&amp;sheet=A0&amp;row=325&amp;col=8&amp;number=&amp;sourceID=34","")</f>
        <v/>
      </c>
      <c r="I325" s="4" t="str">
        <f>HYPERLINK("http://141.218.60.56/~jnz1568/getInfo.php?workbook=06_02.xlsx&amp;sheet=A0&amp;row=325&amp;col=9&amp;number=&amp;sourceID=34","")</f>
        <v/>
      </c>
      <c r="J325" s="4" t="str">
        <f>HYPERLINK("http://141.218.60.56/~jnz1568/getInfo.php?workbook=06_02.xlsx&amp;sheet=A0&amp;row=325&amp;col=10&amp;number=&amp;sourceID=34","")</f>
        <v/>
      </c>
      <c r="K325" s="4" t="str">
        <f>HYPERLINK("http://141.218.60.56/~jnz1568/getInfo.php?workbook=06_02.xlsx&amp;sheet=A0&amp;row=325&amp;col=11&amp;number=8632000000&amp;sourceID=30","8632000000")</f>
        <v>8632000000</v>
      </c>
      <c r="L325" s="4" t="str">
        <f>HYPERLINK("http://141.218.60.56/~jnz1568/getInfo.php?workbook=06_02.xlsx&amp;sheet=A0&amp;row=325&amp;col=12&amp;number=&amp;sourceID=30","")</f>
        <v/>
      </c>
      <c r="M325" s="4" t="str">
        <f>HYPERLINK("http://141.218.60.56/~jnz1568/getInfo.php?workbook=06_02.xlsx&amp;sheet=A0&amp;row=325&amp;col=13&amp;number=&amp;sourceID=30","")</f>
        <v/>
      </c>
      <c r="N325" s="4" t="str">
        <f>HYPERLINK("http://141.218.60.56/~jnz1568/getInfo.php?workbook=06_02.xlsx&amp;sheet=A0&amp;row=325&amp;col=14&amp;number=3.084&amp;sourceID=30","3.084")</f>
        <v>3.084</v>
      </c>
      <c r="O325" s="4" t="str">
        <f>HYPERLINK("http://141.218.60.56/~jnz1568/getInfo.php?workbook=06_02.xlsx&amp;sheet=A0&amp;row=325&amp;col=15&amp;number=&amp;sourceID=32","")</f>
        <v/>
      </c>
      <c r="P325" s="4" t="str">
        <f>HYPERLINK("http://141.218.60.56/~jnz1568/getInfo.php?workbook=06_02.xlsx&amp;sheet=A0&amp;row=325&amp;col=16&amp;number=&amp;sourceID=32","")</f>
        <v/>
      </c>
      <c r="Q325" s="4" t="str">
        <f>HYPERLINK("http://141.218.60.56/~jnz1568/getInfo.php?workbook=06_02.xlsx&amp;sheet=A0&amp;row=325&amp;col=17&amp;number=&amp;sourceID=32","")</f>
        <v/>
      </c>
      <c r="R325" s="4" t="str">
        <f>HYPERLINK("http://141.218.60.56/~jnz1568/getInfo.php?workbook=06_02.xlsx&amp;sheet=A0&amp;row=325&amp;col=18&amp;number=&amp;sourceID=32","")</f>
        <v/>
      </c>
    </row>
    <row r="326" spans="1:18">
      <c r="A326" s="3">
        <v>6</v>
      </c>
      <c r="B326" s="3">
        <v>2</v>
      </c>
      <c r="C326" s="3">
        <v>29</v>
      </c>
      <c r="D326" s="3">
        <v>16</v>
      </c>
      <c r="E326" s="3">
        <f>((1/(INDEX(E0!J$4:J$52,C326,1)-INDEX(E0!J$4:J$52,D326,1))))*100000000</f>
        <v>0</v>
      </c>
      <c r="F326" s="4" t="str">
        <f>HYPERLINK("http://141.218.60.56/~jnz1568/getInfo.php?workbook=06_02.xlsx&amp;sheet=A0&amp;row=326&amp;col=6&amp;number=&amp;sourceID=27","")</f>
        <v/>
      </c>
      <c r="G326" s="4" t="str">
        <f>HYPERLINK("http://141.218.60.56/~jnz1568/getInfo.php?workbook=06_02.xlsx&amp;sheet=A0&amp;row=326&amp;col=7&amp;number=&amp;sourceID=34","")</f>
        <v/>
      </c>
      <c r="H326" s="4" t="str">
        <f>HYPERLINK("http://141.218.60.56/~jnz1568/getInfo.php?workbook=06_02.xlsx&amp;sheet=A0&amp;row=326&amp;col=8&amp;number=&amp;sourceID=34","")</f>
        <v/>
      </c>
      <c r="I326" s="4" t="str">
        <f>HYPERLINK("http://141.218.60.56/~jnz1568/getInfo.php?workbook=06_02.xlsx&amp;sheet=A0&amp;row=326&amp;col=9&amp;number=&amp;sourceID=34","")</f>
        <v/>
      </c>
      <c r="J326" s="4" t="str">
        <f>HYPERLINK("http://141.218.60.56/~jnz1568/getInfo.php?workbook=06_02.xlsx&amp;sheet=A0&amp;row=326&amp;col=10&amp;number=&amp;sourceID=34","")</f>
        <v/>
      </c>
      <c r="K326" s="4" t="str">
        <f>HYPERLINK("http://141.218.60.56/~jnz1568/getInfo.php?workbook=06_02.xlsx&amp;sheet=A0&amp;row=326&amp;col=11&amp;number=&amp;sourceID=30","")</f>
        <v/>
      </c>
      <c r="L326" s="4" t="str">
        <f>HYPERLINK("http://141.218.60.56/~jnz1568/getInfo.php?workbook=06_02.xlsx&amp;sheet=A0&amp;row=326&amp;col=12&amp;number=&amp;sourceID=30","")</f>
        <v/>
      </c>
      <c r="M326" s="4" t="str">
        <f>HYPERLINK("http://141.218.60.56/~jnz1568/getInfo.php?workbook=06_02.xlsx&amp;sheet=A0&amp;row=326&amp;col=13&amp;number=&amp;sourceID=30","")</f>
        <v/>
      </c>
      <c r="N326" s="4" t="str">
        <f>HYPERLINK("http://141.218.60.56/~jnz1568/getInfo.php?workbook=06_02.xlsx&amp;sheet=A0&amp;row=326&amp;col=14&amp;number=0.6534&amp;sourceID=30","0.6534")</f>
        <v>0.6534</v>
      </c>
      <c r="O326" s="4" t="str">
        <f>HYPERLINK("http://141.218.60.56/~jnz1568/getInfo.php?workbook=06_02.xlsx&amp;sheet=A0&amp;row=326&amp;col=15&amp;number=&amp;sourceID=32","")</f>
        <v/>
      </c>
      <c r="P326" s="4" t="str">
        <f>HYPERLINK("http://141.218.60.56/~jnz1568/getInfo.php?workbook=06_02.xlsx&amp;sheet=A0&amp;row=326&amp;col=16&amp;number=&amp;sourceID=32","")</f>
        <v/>
      </c>
      <c r="Q326" s="4" t="str">
        <f>HYPERLINK("http://141.218.60.56/~jnz1568/getInfo.php?workbook=06_02.xlsx&amp;sheet=A0&amp;row=326&amp;col=17&amp;number=&amp;sourceID=32","")</f>
        <v/>
      </c>
      <c r="R326" s="4" t="str">
        <f>HYPERLINK("http://141.218.60.56/~jnz1568/getInfo.php?workbook=06_02.xlsx&amp;sheet=A0&amp;row=326&amp;col=18&amp;number=&amp;sourceID=32","")</f>
        <v/>
      </c>
    </row>
    <row r="327" spans="1:18">
      <c r="A327" s="3">
        <v>6</v>
      </c>
      <c r="B327" s="3">
        <v>2</v>
      </c>
      <c r="C327" s="3">
        <v>29</v>
      </c>
      <c r="D327" s="3">
        <v>22</v>
      </c>
      <c r="E327" s="3">
        <f>((1/(INDEX(E0!J$4:J$52,C327,1)-INDEX(E0!J$4:J$52,D327,1))))*100000000</f>
        <v>0</v>
      </c>
      <c r="F327" s="4" t="str">
        <f>HYPERLINK("http://141.218.60.56/~jnz1568/getInfo.php?workbook=06_02.xlsx&amp;sheet=A0&amp;row=327&amp;col=6&amp;number=&amp;sourceID=27","")</f>
        <v/>
      </c>
      <c r="G327" s="4" t="str">
        <f>HYPERLINK("http://141.218.60.56/~jnz1568/getInfo.php?workbook=06_02.xlsx&amp;sheet=A0&amp;row=327&amp;col=7&amp;number=&amp;sourceID=34","")</f>
        <v/>
      </c>
      <c r="H327" s="4" t="str">
        <f>HYPERLINK("http://141.218.60.56/~jnz1568/getInfo.php?workbook=06_02.xlsx&amp;sheet=A0&amp;row=327&amp;col=8&amp;number=&amp;sourceID=34","")</f>
        <v/>
      </c>
      <c r="I327" s="4" t="str">
        <f>HYPERLINK("http://141.218.60.56/~jnz1568/getInfo.php?workbook=06_02.xlsx&amp;sheet=A0&amp;row=327&amp;col=9&amp;number=&amp;sourceID=34","")</f>
        <v/>
      </c>
      <c r="J327" s="4" t="str">
        <f>HYPERLINK("http://141.218.60.56/~jnz1568/getInfo.php?workbook=06_02.xlsx&amp;sheet=A0&amp;row=327&amp;col=10&amp;number=&amp;sourceID=34","")</f>
        <v/>
      </c>
      <c r="K327" s="4" t="str">
        <f>HYPERLINK("http://141.218.60.56/~jnz1568/getInfo.php?workbook=06_02.xlsx&amp;sheet=A0&amp;row=327&amp;col=11&amp;number=&amp;sourceID=30","")</f>
        <v/>
      </c>
      <c r="L327" s="4" t="str">
        <f>HYPERLINK("http://141.218.60.56/~jnz1568/getInfo.php?workbook=06_02.xlsx&amp;sheet=A0&amp;row=327&amp;col=12&amp;number=0.0005261&amp;sourceID=30","0.0005261")</f>
        <v>0.0005261</v>
      </c>
      <c r="M327" s="4" t="str">
        <f>HYPERLINK("http://141.218.60.56/~jnz1568/getInfo.php?workbook=06_02.xlsx&amp;sheet=A0&amp;row=327&amp;col=13&amp;number=&amp;sourceID=30","")</f>
        <v/>
      </c>
      <c r="N327" s="4" t="str">
        <f>HYPERLINK("http://141.218.60.56/~jnz1568/getInfo.php?workbook=06_02.xlsx&amp;sheet=A0&amp;row=327&amp;col=14&amp;number=&amp;sourceID=30","")</f>
        <v/>
      </c>
      <c r="O327" s="4" t="str">
        <f>HYPERLINK("http://141.218.60.56/~jnz1568/getInfo.php?workbook=06_02.xlsx&amp;sheet=A0&amp;row=327&amp;col=15&amp;number=&amp;sourceID=32","")</f>
        <v/>
      </c>
      <c r="P327" s="4" t="str">
        <f>HYPERLINK("http://141.218.60.56/~jnz1568/getInfo.php?workbook=06_02.xlsx&amp;sheet=A0&amp;row=327&amp;col=16&amp;number=&amp;sourceID=32","")</f>
        <v/>
      </c>
      <c r="Q327" s="4" t="str">
        <f>HYPERLINK("http://141.218.60.56/~jnz1568/getInfo.php?workbook=06_02.xlsx&amp;sheet=A0&amp;row=327&amp;col=17&amp;number=&amp;sourceID=32","")</f>
        <v/>
      </c>
      <c r="R327" s="4" t="str">
        <f>HYPERLINK("http://141.218.60.56/~jnz1568/getInfo.php?workbook=06_02.xlsx&amp;sheet=A0&amp;row=327&amp;col=18&amp;number=&amp;sourceID=32","")</f>
        <v/>
      </c>
    </row>
    <row r="328" spans="1:18">
      <c r="A328" s="3">
        <v>6</v>
      </c>
      <c r="B328" s="3">
        <v>2</v>
      </c>
      <c r="C328" s="3">
        <v>29</v>
      </c>
      <c r="D328" s="3">
        <v>24</v>
      </c>
      <c r="E328" s="3">
        <f>((1/(INDEX(E0!J$4:J$52,C328,1)-INDEX(E0!J$4:J$52,D328,1))))*100000000</f>
        <v>0</v>
      </c>
      <c r="F328" s="4" t="str">
        <f>HYPERLINK("http://141.218.60.56/~jnz1568/getInfo.php?workbook=06_02.xlsx&amp;sheet=A0&amp;row=328&amp;col=6&amp;number=&amp;sourceID=27","")</f>
        <v/>
      </c>
      <c r="G328" s="4" t="str">
        <f>HYPERLINK("http://141.218.60.56/~jnz1568/getInfo.php?workbook=06_02.xlsx&amp;sheet=A0&amp;row=328&amp;col=7&amp;number=&amp;sourceID=34","")</f>
        <v/>
      </c>
      <c r="H328" s="4" t="str">
        <f>HYPERLINK("http://141.218.60.56/~jnz1568/getInfo.php?workbook=06_02.xlsx&amp;sheet=A0&amp;row=328&amp;col=8&amp;number=&amp;sourceID=34","")</f>
        <v/>
      </c>
      <c r="I328" s="4" t="str">
        <f>HYPERLINK("http://141.218.60.56/~jnz1568/getInfo.php?workbook=06_02.xlsx&amp;sheet=A0&amp;row=328&amp;col=9&amp;number=&amp;sourceID=34","")</f>
        <v/>
      </c>
      <c r="J328" s="4" t="str">
        <f>HYPERLINK("http://141.218.60.56/~jnz1568/getInfo.php?workbook=06_02.xlsx&amp;sheet=A0&amp;row=328&amp;col=10&amp;number=&amp;sourceID=34","")</f>
        <v/>
      </c>
      <c r="K328" s="4" t="str">
        <f>HYPERLINK("http://141.218.60.56/~jnz1568/getInfo.php?workbook=06_02.xlsx&amp;sheet=A0&amp;row=328&amp;col=11&amp;number=&amp;sourceID=30","")</f>
        <v/>
      </c>
      <c r="L328" s="4" t="str">
        <f>HYPERLINK("http://141.218.60.56/~jnz1568/getInfo.php?workbook=06_02.xlsx&amp;sheet=A0&amp;row=328&amp;col=12&amp;number=&amp;sourceID=30","")</f>
        <v/>
      </c>
      <c r="M328" s="4" t="str">
        <f>HYPERLINK("http://141.218.60.56/~jnz1568/getInfo.php?workbook=06_02.xlsx&amp;sheet=A0&amp;row=328&amp;col=13&amp;number=&amp;sourceID=30","")</f>
        <v/>
      </c>
      <c r="N328" s="4" t="str">
        <f>HYPERLINK("http://141.218.60.56/~jnz1568/getInfo.php?workbook=06_02.xlsx&amp;sheet=A0&amp;row=328&amp;col=14&amp;number=0&amp;sourceID=30","0")</f>
        <v>0</v>
      </c>
      <c r="O328" s="4" t="str">
        <f>HYPERLINK("http://141.218.60.56/~jnz1568/getInfo.php?workbook=06_02.xlsx&amp;sheet=A0&amp;row=328&amp;col=15&amp;number=&amp;sourceID=32","")</f>
        <v/>
      </c>
      <c r="P328" s="4" t="str">
        <f>HYPERLINK("http://141.218.60.56/~jnz1568/getInfo.php?workbook=06_02.xlsx&amp;sheet=A0&amp;row=328&amp;col=16&amp;number=&amp;sourceID=32","")</f>
        <v/>
      </c>
      <c r="Q328" s="4" t="str">
        <f>HYPERLINK("http://141.218.60.56/~jnz1568/getInfo.php?workbook=06_02.xlsx&amp;sheet=A0&amp;row=328&amp;col=17&amp;number=&amp;sourceID=32","")</f>
        <v/>
      </c>
      <c r="R328" s="4" t="str">
        <f>HYPERLINK("http://141.218.60.56/~jnz1568/getInfo.php?workbook=06_02.xlsx&amp;sheet=A0&amp;row=328&amp;col=18&amp;number=&amp;sourceID=32","")</f>
        <v/>
      </c>
    </row>
    <row r="329" spans="1:18">
      <c r="A329" s="3">
        <v>6</v>
      </c>
      <c r="B329" s="3">
        <v>2</v>
      </c>
      <c r="C329" s="3">
        <v>29</v>
      </c>
      <c r="D329" s="3">
        <v>25</v>
      </c>
      <c r="E329" s="3">
        <f>((1/(INDEX(E0!J$4:J$52,C329,1)-INDEX(E0!J$4:J$52,D329,1))))*100000000</f>
        <v>0</v>
      </c>
      <c r="F329" s="4" t="str">
        <f>HYPERLINK("http://141.218.60.56/~jnz1568/getInfo.php?workbook=06_02.xlsx&amp;sheet=A0&amp;row=329&amp;col=6&amp;number=&amp;sourceID=27","")</f>
        <v/>
      </c>
      <c r="G329" s="4" t="str">
        <f>HYPERLINK("http://141.218.60.56/~jnz1568/getInfo.php?workbook=06_02.xlsx&amp;sheet=A0&amp;row=329&amp;col=7&amp;number=&amp;sourceID=34","")</f>
        <v/>
      </c>
      <c r="H329" s="4" t="str">
        <f>HYPERLINK("http://141.218.60.56/~jnz1568/getInfo.php?workbook=06_02.xlsx&amp;sheet=A0&amp;row=329&amp;col=8&amp;number=&amp;sourceID=34","")</f>
        <v/>
      </c>
      <c r="I329" s="4" t="str">
        <f>HYPERLINK("http://141.218.60.56/~jnz1568/getInfo.php?workbook=06_02.xlsx&amp;sheet=A0&amp;row=329&amp;col=9&amp;number=&amp;sourceID=34","")</f>
        <v/>
      </c>
      <c r="J329" s="4" t="str">
        <f>HYPERLINK("http://141.218.60.56/~jnz1568/getInfo.php?workbook=06_02.xlsx&amp;sheet=A0&amp;row=329&amp;col=10&amp;number=&amp;sourceID=34","")</f>
        <v/>
      </c>
      <c r="K329" s="4" t="str">
        <f>HYPERLINK("http://141.218.60.56/~jnz1568/getInfo.php?workbook=06_02.xlsx&amp;sheet=A0&amp;row=329&amp;col=11&amp;number=9.795&amp;sourceID=30","9.795")</f>
        <v>9.795</v>
      </c>
      <c r="L329" s="4" t="str">
        <f>HYPERLINK("http://141.218.60.56/~jnz1568/getInfo.php?workbook=06_02.xlsx&amp;sheet=A0&amp;row=329&amp;col=12&amp;number=&amp;sourceID=30","")</f>
        <v/>
      </c>
      <c r="M329" s="4" t="str">
        <f>HYPERLINK("http://141.218.60.56/~jnz1568/getInfo.php?workbook=06_02.xlsx&amp;sheet=A0&amp;row=329&amp;col=13&amp;number=&amp;sourceID=30","")</f>
        <v/>
      </c>
      <c r="N329" s="4" t="str">
        <f>HYPERLINK("http://141.218.60.56/~jnz1568/getInfo.php?workbook=06_02.xlsx&amp;sheet=A0&amp;row=329&amp;col=14&amp;number=2e-15&amp;sourceID=30","2e-15")</f>
        <v>2e-15</v>
      </c>
      <c r="O329" s="4" t="str">
        <f>HYPERLINK("http://141.218.60.56/~jnz1568/getInfo.php?workbook=06_02.xlsx&amp;sheet=A0&amp;row=329&amp;col=15&amp;number=&amp;sourceID=32","")</f>
        <v/>
      </c>
      <c r="P329" s="4" t="str">
        <f>HYPERLINK("http://141.218.60.56/~jnz1568/getInfo.php?workbook=06_02.xlsx&amp;sheet=A0&amp;row=329&amp;col=16&amp;number=&amp;sourceID=32","")</f>
        <v/>
      </c>
      <c r="Q329" s="4" t="str">
        <f>HYPERLINK("http://141.218.60.56/~jnz1568/getInfo.php?workbook=06_02.xlsx&amp;sheet=A0&amp;row=329&amp;col=17&amp;number=&amp;sourceID=32","")</f>
        <v/>
      </c>
      <c r="R329" s="4" t="str">
        <f>HYPERLINK("http://141.218.60.56/~jnz1568/getInfo.php?workbook=06_02.xlsx&amp;sheet=A0&amp;row=329&amp;col=18&amp;number=&amp;sourceID=32","")</f>
        <v/>
      </c>
    </row>
    <row r="330" spans="1:18">
      <c r="A330" s="3">
        <v>6</v>
      </c>
      <c r="B330" s="3">
        <v>2</v>
      </c>
      <c r="C330" s="3">
        <v>29</v>
      </c>
      <c r="D330" s="3">
        <v>27</v>
      </c>
      <c r="E330" s="3"/>
      <c r="F330" s="4" t="str">
        <f>HYPERLINK("http://141.218.60.56/~jnz1568/getInfo.php?workbook=06_02.xlsx&amp;sheet=A0&amp;row=330&amp;col=6&amp;number=&amp;sourceID=27","")</f>
        <v/>
      </c>
      <c r="G330" s="4" t="str">
        <f>HYPERLINK("http://141.218.60.56/~jnz1568/getInfo.php?workbook=06_02.xlsx&amp;sheet=A0&amp;row=330&amp;col=7&amp;number=&amp;sourceID=34","")</f>
        <v/>
      </c>
      <c r="H330" s="4" t="str">
        <f>HYPERLINK("http://141.218.60.56/~jnz1568/getInfo.php?workbook=06_02.xlsx&amp;sheet=A0&amp;row=330&amp;col=8&amp;number=&amp;sourceID=34","")</f>
        <v/>
      </c>
      <c r="I330" s="4" t="str">
        <f>HYPERLINK("http://141.218.60.56/~jnz1568/getInfo.php?workbook=06_02.xlsx&amp;sheet=A0&amp;row=330&amp;col=9&amp;number=&amp;sourceID=34","")</f>
        <v/>
      </c>
      <c r="J330" s="4" t="str">
        <f>HYPERLINK("http://141.218.60.56/~jnz1568/getInfo.php?workbook=06_02.xlsx&amp;sheet=A0&amp;row=330&amp;col=10&amp;number=&amp;sourceID=34","")</f>
        <v/>
      </c>
      <c r="K330" s="4" t="str">
        <f>HYPERLINK("http://141.218.60.56/~jnz1568/getInfo.php?workbook=06_02.xlsx&amp;sheet=A0&amp;row=330&amp;col=11&amp;number=&amp;sourceID=30","")</f>
        <v/>
      </c>
      <c r="L330" s="4" t="str">
        <f>HYPERLINK("http://141.218.60.56/~jnz1568/getInfo.php?workbook=06_02.xlsx&amp;sheet=A0&amp;row=330&amp;col=12&amp;number=0&amp;sourceID=30","0")</f>
        <v>0</v>
      </c>
      <c r="M330" s="4" t="str">
        <f>HYPERLINK("http://141.218.60.56/~jnz1568/getInfo.php?workbook=06_02.xlsx&amp;sheet=A0&amp;row=330&amp;col=13&amp;number=&amp;sourceID=30","")</f>
        <v/>
      </c>
      <c r="N330" s="4" t="str">
        <f>HYPERLINK("http://141.218.60.56/~jnz1568/getInfo.php?workbook=06_02.xlsx&amp;sheet=A0&amp;row=330&amp;col=14&amp;number=&amp;sourceID=30","")</f>
        <v/>
      </c>
      <c r="O330" s="4" t="str">
        <f>HYPERLINK("http://141.218.60.56/~jnz1568/getInfo.php?workbook=06_02.xlsx&amp;sheet=A0&amp;row=330&amp;col=15&amp;number=&amp;sourceID=32","")</f>
        <v/>
      </c>
      <c r="P330" s="4" t="str">
        <f>HYPERLINK("http://141.218.60.56/~jnz1568/getInfo.php?workbook=06_02.xlsx&amp;sheet=A0&amp;row=330&amp;col=16&amp;number=&amp;sourceID=32","")</f>
        <v/>
      </c>
      <c r="Q330" s="4" t="str">
        <f>HYPERLINK("http://141.218.60.56/~jnz1568/getInfo.php?workbook=06_02.xlsx&amp;sheet=A0&amp;row=330&amp;col=17&amp;number=&amp;sourceID=32","")</f>
        <v/>
      </c>
      <c r="R330" s="4" t="str">
        <f>HYPERLINK("http://141.218.60.56/~jnz1568/getInfo.php?workbook=06_02.xlsx&amp;sheet=A0&amp;row=330&amp;col=18&amp;number=&amp;sourceID=32","")</f>
        <v/>
      </c>
    </row>
    <row r="331" spans="1:18">
      <c r="A331" s="3">
        <v>6</v>
      </c>
      <c r="B331" s="3">
        <v>2</v>
      </c>
      <c r="C331" s="3">
        <v>29</v>
      </c>
      <c r="D331" s="3">
        <v>28</v>
      </c>
      <c r="E331" s="3"/>
      <c r="F331" s="4" t="str">
        <f>HYPERLINK("http://141.218.60.56/~jnz1568/getInfo.php?workbook=06_02.xlsx&amp;sheet=A0&amp;row=331&amp;col=6&amp;number=&amp;sourceID=27","")</f>
        <v/>
      </c>
      <c r="G331" s="4" t="str">
        <f>HYPERLINK("http://141.218.60.56/~jnz1568/getInfo.php?workbook=06_02.xlsx&amp;sheet=A0&amp;row=331&amp;col=7&amp;number=&amp;sourceID=34","")</f>
        <v/>
      </c>
      <c r="H331" s="4" t="str">
        <f>HYPERLINK("http://141.218.60.56/~jnz1568/getInfo.php?workbook=06_02.xlsx&amp;sheet=A0&amp;row=331&amp;col=8&amp;number=&amp;sourceID=34","")</f>
        <v/>
      </c>
      <c r="I331" s="4" t="str">
        <f>HYPERLINK("http://141.218.60.56/~jnz1568/getInfo.php?workbook=06_02.xlsx&amp;sheet=A0&amp;row=331&amp;col=9&amp;number=&amp;sourceID=34","")</f>
        <v/>
      </c>
      <c r="J331" s="4" t="str">
        <f>HYPERLINK("http://141.218.60.56/~jnz1568/getInfo.php?workbook=06_02.xlsx&amp;sheet=A0&amp;row=331&amp;col=10&amp;number=&amp;sourceID=34","")</f>
        <v/>
      </c>
      <c r="K331" s="4" t="str">
        <f>HYPERLINK("http://141.218.60.56/~jnz1568/getInfo.php?workbook=06_02.xlsx&amp;sheet=A0&amp;row=331&amp;col=11&amp;number=&amp;sourceID=30","")</f>
        <v/>
      </c>
      <c r="L331" s="4" t="str">
        <f>HYPERLINK("http://141.218.60.56/~jnz1568/getInfo.php?workbook=06_02.xlsx&amp;sheet=A0&amp;row=331&amp;col=12&amp;number=0&amp;sourceID=30","0")</f>
        <v>0</v>
      </c>
      <c r="M331" s="4" t="str">
        <f>HYPERLINK("http://141.218.60.56/~jnz1568/getInfo.php?workbook=06_02.xlsx&amp;sheet=A0&amp;row=331&amp;col=13&amp;number=1.106e-09&amp;sourceID=30","1.106e-09")</f>
        <v>1.106e-09</v>
      </c>
      <c r="N331" s="4" t="str">
        <f>HYPERLINK("http://141.218.60.56/~jnz1568/getInfo.php?workbook=06_02.xlsx&amp;sheet=A0&amp;row=331&amp;col=14&amp;number=&amp;sourceID=30","")</f>
        <v/>
      </c>
      <c r="O331" s="4" t="str">
        <f>HYPERLINK("http://141.218.60.56/~jnz1568/getInfo.php?workbook=06_02.xlsx&amp;sheet=A0&amp;row=331&amp;col=15&amp;number=&amp;sourceID=32","")</f>
        <v/>
      </c>
      <c r="P331" s="4" t="str">
        <f>HYPERLINK("http://141.218.60.56/~jnz1568/getInfo.php?workbook=06_02.xlsx&amp;sheet=A0&amp;row=331&amp;col=16&amp;number=&amp;sourceID=32","")</f>
        <v/>
      </c>
      <c r="Q331" s="4" t="str">
        <f>HYPERLINK("http://141.218.60.56/~jnz1568/getInfo.php?workbook=06_02.xlsx&amp;sheet=A0&amp;row=331&amp;col=17&amp;number=&amp;sourceID=32","")</f>
        <v/>
      </c>
      <c r="R331" s="4" t="str">
        <f>HYPERLINK("http://141.218.60.56/~jnz1568/getInfo.php?workbook=06_02.xlsx&amp;sheet=A0&amp;row=331&amp;col=18&amp;number=&amp;sourceID=32","")</f>
        <v/>
      </c>
    </row>
    <row r="332" spans="1:18">
      <c r="A332" s="3">
        <v>6</v>
      </c>
      <c r="B332" s="3">
        <v>2</v>
      </c>
      <c r="C332" s="3">
        <v>30</v>
      </c>
      <c r="D332" s="3">
        <v>1</v>
      </c>
      <c r="E332" s="3">
        <f>((1/(INDEX(E0!J$4:J$52,C332,1)-INDEX(E0!J$4:J$52,D332,1))))*100000000</f>
        <v>0</v>
      </c>
      <c r="F332" s="4" t="str">
        <f>HYPERLINK("http://141.218.60.56/~jnz1568/getInfo.php?workbook=06_02.xlsx&amp;sheet=A0&amp;row=332&amp;col=6&amp;number=&amp;sourceID=27","")</f>
        <v/>
      </c>
      <c r="G332" s="4" t="str">
        <f>HYPERLINK("http://141.218.60.56/~jnz1568/getInfo.php?workbook=06_02.xlsx&amp;sheet=A0&amp;row=332&amp;col=7&amp;number=&amp;sourceID=34","")</f>
        <v/>
      </c>
      <c r="H332" s="4" t="str">
        <f>HYPERLINK("http://141.218.60.56/~jnz1568/getInfo.php?workbook=06_02.xlsx&amp;sheet=A0&amp;row=332&amp;col=8&amp;number=&amp;sourceID=34","")</f>
        <v/>
      </c>
      <c r="I332" s="4" t="str">
        <f>HYPERLINK("http://141.218.60.56/~jnz1568/getInfo.php?workbook=06_02.xlsx&amp;sheet=A0&amp;row=332&amp;col=9&amp;number=&amp;sourceID=34","")</f>
        <v/>
      </c>
      <c r="J332" s="4" t="str">
        <f>HYPERLINK("http://141.218.60.56/~jnz1568/getInfo.php?workbook=06_02.xlsx&amp;sheet=A0&amp;row=332&amp;col=10&amp;number=&amp;sourceID=34","")</f>
        <v/>
      </c>
      <c r="K332" s="4" t="str">
        <f>HYPERLINK("http://141.218.60.56/~jnz1568/getInfo.php?workbook=06_02.xlsx&amp;sheet=A0&amp;row=332&amp;col=11&amp;number=&amp;sourceID=30","")</f>
        <v/>
      </c>
      <c r="L332" s="4" t="str">
        <f>HYPERLINK("http://141.218.60.56/~jnz1568/getInfo.php?workbook=06_02.xlsx&amp;sheet=A0&amp;row=332&amp;col=12&amp;number=109100&amp;sourceID=30","109100")</f>
        <v>109100</v>
      </c>
      <c r="M332" s="4" t="str">
        <f>HYPERLINK("http://141.218.60.56/~jnz1568/getInfo.php?workbook=06_02.xlsx&amp;sheet=A0&amp;row=332&amp;col=13&amp;number=&amp;sourceID=30","")</f>
        <v/>
      </c>
      <c r="N332" s="4" t="str">
        <f>HYPERLINK("http://141.218.60.56/~jnz1568/getInfo.php?workbook=06_02.xlsx&amp;sheet=A0&amp;row=332&amp;col=14&amp;number=&amp;sourceID=30","")</f>
        <v/>
      </c>
      <c r="O332" s="4" t="str">
        <f>HYPERLINK("http://141.218.60.56/~jnz1568/getInfo.php?workbook=06_02.xlsx&amp;sheet=A0&amp;row=332&amp;col=15&amp;number=&amp;sourceID=32","")</f>
        <v/>
      </c>
      <c r="P332" s="4" t="str">
        <f>HYPERLINK("http://141.218.60.56/~jnz1568/getInfo.php?workbook=06_02.xlsx&amp;sheet=A0&amp;row=332&amp;col=16&amp;number=10840000&amp;sourceID=32","10840000")</f>
        <v>10840000</v>
      </c>
      <c r="Q332" s="4" t="str">
        <f>HYPERLINK("http://141.218.60.56/~jnz1568/getInfo.php?workbook=06_02.xlsx&amp;sheet=A0&amp;row=332&amp;col=17&amp;number=&amp;sourceID=32","")</f>
        <v/>
      </c>
      <c r="R332" s="4" t="str">
        <f>HYPERLINK("http://141.218.60.56/~jnz1568/getInfo.php?workbook=06_02.xlsx&amp;sheet=A0&amp;row=332&amp;col=18&amp;number=&amp;sourceID=32","")</f>
        <v/>
      </c>
    </row>
    <row r="333" spans="1:18">
      <c r="A333" s="3">
        <v>6</v>
      </c>
      <c r="B333" s="3">
        <v>2</v>
      </c>
      <c r="C333" s="3">
        <v>30</v>
      </c>
      <c r="D333" s="3">
        <v>2</v>
      </c>
      <c r="E333" s="3">
        <f>((1/(INDEX(E0!J$4:J$52,C333,1)-INDEX(E0!J$4:J$52,D333,1))))*100000000</f>
        <v>0</v>
      </c>
      <c r="F333" s="4" t="str">
        <f>HYPERLINK("http://141.218.60.56/~jnz1568/getInfo.php?workbook=06_02.xlsx&amp;sheet=A0&amp;row=333&amp;col=6&amp;number=&amp;sourceID=27","")</f>
        <v/>
      </c>
      <c r="G333" s="4" t="str">
        <f>HYPERLINK("http://141.218.60.56/~jnz1568/getInfo.php?workbook=06_02.xlsx&amp;sheet=A0&amp;row=333&amp;col=7&amp;number=&amp;sourceID=34","")</f>
        <v/>
      </c>
      <c r="H333" s="4" t="str">
        <f>HYPERLINK("http://141.218.60.56/~jnz1568/getInfo.php?workbook=06_02.xlsx&amp;sheet=A0&amp;row=333&amp;col=8&amp;number=&amp;sourceID=34","")</f>
        <v/>
      </c>
      <c r="I333" s="4" t="str">
        <f>HYPERLINK("http://141.218.60.56/~jnz1568/getInfo.php?workbook=06_02.xlsx&amp;sheet=A0&amp;row=333&amp;col=9&amp;number=&amp;sourceID=34","")</f>
        <v/>
      </c>
      <c r="J333" s="4" t="str">
        <f>HYPERLINK("http://141.218.60.56/~jnz1568/getInfo.php?workbook=06_02.xlsx&amp;sheet=A0&amp;row=333&amp;col=10&amp;number=&amp;sourceID=34","")</f>
        <v/>
      </c>
      <c r="K333" s="4" t="str">
        <f>HYPERLINK("http://141.218.60.56/~jnz1568/getInfo.php?workbook=06_02.xlsx&amp;sheet=A0&amp;row=333&amp;col=11&amp;number=&amp;sourceID=30","")</f>
        <v/>
      </c>
      <c r="L333" s="4" t="str">
        <f>HYPERLINK("http://141.218.60.56/~jnz1568/getInfo.php?workbook=06_02.xlsx&amp;sheet=A0&amp;row=333&amp;col=12&amp;number=366.7&amp;sourceID=30","366.7")</f>
        <v>366.7</v>
      </c>
      <c r="M333" s="4" t="str">
        <f>HYPERLINK("http://141.218.60.56/~jnz1568/getInfo.php?workbook=06_02.xlsx&amp;sheet=A0&amp;row=333&amp;col=13&amp;number=0.0004092&amp;sourceID=30","0.0004092")</f>
        <v>0.0004092</v>
      </c>
      <c r="N333" s="4" t="str">
        <f>HYPERLINK("http://141.218.60.56/~jnz1568/getInfo.php?workbook=06_02.xlsx&amp;sheet=A0&amp;row=333&amp;col=14&amp;number=&amp;sourceID=30","")</f>
        <v/>
      </c>
      <c r="O333" s="4" t="str">
        <f>HYPERLINK("http://141.218.60.56/~jnz1568/getInfo.php?workbook=06_02.xlsx&amp;sheet=A0&amp;row=333&amp;col=15&amp;number=&amp;sourceID=32","")</f>
        <v/>
      </c>
      <c r="P333" s="4" t="str">
        <f>HYPERLINK("http://141.218.60.56/~jnz1568/getInfo.php?workbook=06_02.xlsx&amp;sheet=A0&amp;row=333&amp;col=16&amp;number=548.8&amp;sourceID=32","548.8")</f>
        <v>548.8</v>
      </c>
      <c r="Q333" s="4" t="str">
        <f>HYPERLINK("http://141.218.60.56/~jnz1568/getInfo.php?workbook=06_02.xlsx&amp;sheet=A0&amp;row=333&amp;col=17&amp;number=0.0007001&amp;sourceID=32","0.0007001")</f>
        <v>0.0007001</v>
      </c>
      <c r="R333" s="4" t="str">
        <f>HYPERLINK("http://141.218.60.56/~jnz1568/getInfo.php?workbook=06_02.xlsx&amp;sheet=A0&amp;row=333&amp;col=18&amp;number=&amp;sourceID=32","")</f>
        <v/>
      </c>
    </row>
    <row r="334" spans="1:18">
      <c r="A334" s="3">
        <v>6</v>
      </c>
      <c r="B334" s="3">
        <v>2</v>
      </c>
      <c r="C334" s="3">
        <v>30</v>
      </c>
      <c r="D334" s="3">
        <v>3</v>
      </c>
      <c r="E334" s="3">
        <f>((1/(INDEX(E0!J$4:J$52,C334,1)-INDEX(E0!J$4:J$52,D334,1))))*100000000</f>
        <v>0</v>
      </c>
      <c r="F334" s="4" t="str">
        <f>HYPERLINK("http://141.218.60.56/~jnz1568/getInfo.php?workbook=06_02.xlsx&amp;sheet=A0&amp;row=334&amp;col=6&amp;number=&amp;sourceID=27","")</f>
        <v/>
      </c>
      <c r="G334" s="4" t="str">
        <f>HYPERLINK("http://141.218.60.56/~jnz1568/getInfo.php?workbook=06_02.xlsx&amp;sheet=A0&amp;row=334&amp;col=7&amp;number=&amp;sourceID=34","")</f>
        <v/>
      </c>
      <c r="H334" s="4" t="str">
        <f>HYPERLINK("http://141.218.60.56/~jnz1568/getInfo.php?workbook=06_02.xlsx&amp;sheet=A0&amp;row=334&amp;col=8&amp;number=&amp;sourceID=34","")</f>
        <v/>
      </c>
      <c r="I334" s="4" t="str">
        <f>HYPERLINK("http://141.218.60.56/~jnz1568/getInfo.php?workbook=06_02.xlsx&amp;sheet=A0&amp;row=334&amp;col=9&amp;number=&amp;sourceID=34","")</f>
        <v/>
      </c>
      <c r="J334" s="4" t="str">
        <f>HYPERLINK("http://141.218.60.56/~jnz1568/getInfo.php?workbook=06_02.xlsx&amp;sheet=A0&amp;row=334&amp;col=10&amp;number=&amp;sourceID=34","")</f>
        <v/>
      </c>
      <c r="K334" s="4" t="str">
        <f>HYPERLINK("http://141.218.60.56/~jnz1568/getInfo.php?workbook=06_02.xlsx&amp;sheet=A0&amp;row=334&amp;col=11&amp;number=&amp;sourceID=30","")</f>
        <v/>
      </c>
      <c r="L334" s="4" t="str">
        <f>HYPERLINK("http://141.218.60.56/~jnz1568/getInfo.php?workbook=06_02.xlsx&amp;sheet=A0&amp;row=334&amp;col=12&amp;number=155100&amp;sourceID=30","155100")</f>
        <v>155100</v>
      </c>
      <c r="M334" s="4" t="str">
        <f>HYPERLINK("http://141.218.60.56/~jnz1568/getInfo.php?workbook=06_02.xlsx&amp;sheet=A0&amp;row=334&amp;col=13&amp;number=&amp;sourceID=30","")</f>
        <v/>
      </c>
      <c r="N334" s="4" t="str">
        <f>HYPERLINK("http://141.218.60.56/~jnz1568/getInfo.php?workbook=06_02.xlsx&amp;sheet=A0&amp;row=334&amp;col=14&amp;number=&amp;sourceID=30","")</f>
        <v/>
      </c>
      <c r="O334" s="4" t="str">
        <f>HYPERLINK("http://141.218.60.56/~jnz1568/getInfo.php?workbook=06_02.xlsx&amp;sheet=A0&amp;row=334&amp;col=15&amp;number=&amp;sourceID=32","")</f>
        <v/>
      </c>
      <c r="P334" s="4" t="str">
        <f>HYPERLINK("http://141.218.60.56/~jnz1568/getInfo.php?workbook=06_02.xlsx&amp;sheet=A0&amp;row=334&amp;col=16&amp;number=117400&amp;sourceID=32","117400")</f>
        <v>117400</v>
      </c>
      <c r="Q334" s="4" t="str">
        <f>HYPERLINK("http://141.218.60.56/~jnz1568/getInfo.php?workbook=06_02.xlsx&amp;sheet=A0&amp;row=334&amp;col=17&amp;number=&amp;sourceID=32","")</f>
        <v/>
      </c>
      <c r="R334" s="4" t="str">
        <f>HYPERLINK("http://141.218.60.56/~jnz1568/getInfo.php?workbook=06_02.xlsx&amp;sheet=A0&amp;row=334&amp;col=18&amp;number=&amp;sourceID=32","")</f>
        <v/>
      </c>
    </row>
    <row r="335" spans="1:18">
      <c r="A335" s="3">
        <v>6</v>
      </c>
      <c r="B335" s="3">
        <v>2</v>
      </c>
      <c r="C335" s="3">
        <v>30</v>
      </c>
      <c r="D335" s="3">
        <v>4</v>
      </c>
      <c r="E335" s="3">
        <f>((1/(INDEX(E0!J$4:J$52,C335,1)-INDEX(E0!J$4:J$52,D335,1))))*100000000</f>
        <v>0</v>
      </c>
      <c r="F335" s="4" t="str">
        <f>HYPERLINK("http://141.218.60.56/~jnz1568/getInfo.php?workbook=06_02.xlsx&amp;sheet=A0&amp;row=335&amp;col=6&amp;number=&amp;sourceID=27","")</f>
        <v/>
      </c>
      <c r="G335" s="4" t="str">
        <f>HYPERLINK("http://141.218.60.56/~jnz1568/getInfo.php?workbook=06_02.xlsx&amp;sheet=A0&amp;row=335&amp;col=7&amp;number=&amp;sourceID=34","")</f>
        <v/>
      </c>
      <c r="H335" s="4" t="str">
        <f>HYPERLINK("http://141.218.60.56/~jnz1568/getInfo.php?workbook=06_02.xlsx&amp;sheet=A0&amp;row=335&amp;col=8&amp;number=&amp;sourceID=34","")</f>
        <v/>
      </c>
      <c r="I335" s="4" t="str">
        <f>HYPERLINK("http://141.218.60.56/~jnz1568/getInfo.php?workbook=06_02.xlsx&amp;sheet=A0&amp;row=335&amp;col=9&amp;number=&amp;sourceID=34","")</f>
        <v/>
      </c>
      <c r="J335" s="4" t="str">
        <f>HYPERLINK("http://141.218.60.56/~jnz1568/getInfo.php?workbook=06_02.xlsx&amp;sheet=A0&amp;row=335&amp;col=10&amp;number=&amp;sourceID=34","")</f>
        <v/>
      </c>
      <c r="K335" s="4" t="str">
        <f>HYPERLINK("http://141.218.60.56/~jnz1568/getInfo.php?workbook=06_02.xlsx&amp;sheet=A0&amp;row=335&amp;col=11&amp;number=14290000&amp;sourceID=30","14290000")</f>
        <v>14290000</v>
      </c>
      <c r="L335" s="4" t="str">
        <f>HYPERLINK("http://141.218.60.56/~jnz1568/getInfo.php?workbook=06_02.xlsx&amp;sheet=A0&amp;row=335&amp;col=12&amp;number=&amp;sourceID=30","")</f>
        <v/>
      </c>
      <c r="M335" s="4" t="str">
        <f>HYPERLINK("http://141.218.60.56/~jnz1568/getInfo.php?workbook=06_02.xlsx&amp;sheet=A0&amp;row=335&amp;col=13&amp;number=&amp;sourceID=30","")</f>
        <v/>
      </c>
      <c r="N335" s="4" t="str">
        <f>HYPERLINK("http://141.218.60.56/~jnz1568/getInfo.php?workbook=06_02.xlsx&amp;sheet=A0&amp;row=335&amp;col=14&amp;number=14.39&amp;sourceID=30","14.39")</f>
        <v>14.39</v>
      </c>
      <c r="O335" s="4" t="str">
        <f>HYPERLINK("http://141.218.60.56/~jnz1568/getInfo.php?workbook=06_02.xlsx&amp;sheet=A0&amp;row=335&amp;col=15&amp;number=20750000&amp;sourceID=32","20750000")</f>
        <v>20750000</v>
      </c>
      <c r="P335" s="4" t="str">
        <f>HYPERLINK("http://141.218.60.56/~jnz1568/getInfo.php?workbook=06_02.xlsx&amp;sheet=A0&amp;row=335&amp;col=16&amp;number=&amp;sourceID=32","")</f>
        <v/>
      </c>
      <c r="Q335" s="4" t="str">
        <f>HYPERLINK("http://141.218.60.56/~jnz1568/getInfo.php?workbook=06_02.xlsx&amp;sheet=A0&amp;row=335&amp;col=17&amp;number=&amp;sourceID=32","")</f>
        <v/>
      </c>
      <c r="R335" s="4" t="str">
        <f>HYPERLINK("http://141.218.60.56/~jnz1568/getInfo.php?workbook=06_02.xlsx&amp;sheet=A0&amp;row=335&amp;col=18&amp;number=14.97&amp;sourceID=32","14.97")</f>
        <v>14.97</v>
      </c>
    </row>
    <row r="336" spans="1:18">
      <c r="A336" s="3">
        <v>6</v>
      </c>
      <c r="B336" s="3">
        <v>2</v>
      </c>
      <c r="C336" s="3">
        <v>30</v>
      </c>
      <c r="D336" s="3">
        <v>5</v>
      </c>
      <c r="E336" s="3">
        <f>((1/(INDEX(E0!J$4:J$52,C336,1)-INDEX(E0!J$4:J$52,D336,1))))*100000000</f>
        <v>0</v>
      </c>
      <c r="F336" s="4" t="str">
        <f>HYPERLINK("http://141.218.60.56/~jnz1568/getInfo.php?workbook=06_02.xlsx&amp;sheet=A0&amp;row=336&amp;col=6&amp;number=&amp;sourceID=27","")</f>
        <v/>
      </c>
      <c r="G336" s="4" t="str">
        <f>HYPERLINK("http://141.218.60.56/~jnz1568/getInfo.php?workbook=06_02.xlsx&amp;sheet=A0&amp;row=336&amp;col=7&amp;number=&amp;sourceID=34","")</f>
        <v/>
      </c>
      <c r="H336" s="4" t="str">
        <f>HYPERLINK("http://141.218.60.56/~jnz1568/getInfo.php?workbook=06_02.xlsx&amp;sheet=A0&amp;row=336&amp;col=8&amp;number=&amp;sourceID=34","")</f>
        <v/>
      </c>
      <c r="I336" s="4" t="str">
        <f>HYPERLINK("http://141.218.60.56/~jnz1568/getInfo.php?workbook=06_02.xlsx&amp;sheet=A0&amp;row=336&amp;col=9&amp;number=&amp;sourceID=34","")</f>
        <v/>
      </c>
      <c r="J336" s="4" t="str">
        <f>HYPERLINK("http://141.218.60.56/~jnz1568/getInfo.php?workbook=06_02.xlsx&amp;sheet=A0&amp;row=336&amp;col=10&amp;number=&amp;sourceID=34","")</f>
        <v/>
      </c>
      <c r="K336" s="4" t="str">
        <f>HYPERLINK("http://141.218.60.56/~jnz1568/getInfo.php?workbook=06_02.xlsx&amp;sheet=A0&amp;row=336&amp;col=11&amp;number=&amp;sourceID=30","")</f>
        <v/>
      </c>
      <c r="L336" s="4" t="str">
        <f>HYPERLINK("http://141.218.60.56/~jnz1568/getInfo.php?workbook=06_02.xlsx&amp;sheet=A0&amp;row=336&amp;col=12&amp;number=&amp;sourceID=30","")</f>
        <v/>
      </c>
      <c r="M336" s="4" t="str">
        <f>HYPERLINK("http://141.218.60.56/~jnz1568/getInfo.php?workbook=06_02.xlsx&amp;sheet=A0&amp;row=336&amp;col=13&amp;number=&amp;sourceID=30","")</f>
        <v/>
      </c>
      <c r="N336" s="4" t="str">
        <f>HYPERLINK("http://141.218.60.56/~jnz1568/getInfo.php?workbook=06_02.xlsx&amp;sheet=A0&amp;row=336&amp;col=14&amp;number=6.102&amp;sourceID=30","6.102")</f>
        <v>6.102</v>
      </c>
      <c r="O336" s="4" t="str">
        <f>HYPERLINK("http://141.218.60.56/~jnz1568/getInfo.php?workbook=06_02.xlsx&amp;sheet=A0&amp;row=336&amp;col=15&amp;number=&amp;sourceID=32","")</f>
        <v/>
      </c>
      <c r="P336" s="4" t="str">
        <f>HYPERLINK("http://141.218.60.56/~jnz1568/getInfo.php?workbook=06_02.xlsx&amp;sheet=A0&amp;row=336&amp;col=16&amp;number=&amp;sourceID=32","")</f>
        <v/>
      </c>
      <c r="Q336" s="4" t="str">
        <f>HYPERLINK("http://141.218.60.56/~jnz1568/getInfo.php?workbook=06_02.xlsx&amp;sheet=A0&amp;row=336&amp;col=17&amp;number=&amp;sourceID=32","")</f>
        <v/>
      </c>
      <c r="R336" s="4" t="str">
        <f>HYPERLINK("http://141.218.60.56/~jnz1568/getInfo.php?workbook=06_02.xlsx&amp;sheet=A0&amp;row=336&amp;col=18&amp;number=6.291&amp;sourceID=32","6.291")</f>
        <v>6.291</v>
      </c>
    </row>
    <row r="337" spans="1:18">
      <c r="A337" s="3">
        <v>6</v>
      </c>
      <c r="B337" s="3">
        <v>2</v>
      </c>
      <c r="C337" s="3">
        <v>30</v>
      </c>
      <c r="D337" s="3">
        <v>6</v>
      </c>
      <c r="E337" s="3">
        <f>((1/(INDEX(E0!J$4:J$52,C337,1)-INDEX(E0!J$4:J$52,D337,1))))*100000000</f>
        <v>0</v>
      </c>
      <c r="F337" s="4" t="str">
        <f>HYPERLINK("http://141.218.60.56/~jnz1568/getInfo.php?workbook=06_02.xlsx&amp;sheet=A0&amp;row=337&amp;col=6&amp;number=&amp;sourceID=27","")</f>
        <v/>
      </c>
      <c r="G337" s="4" t="str">
        <f>HYPERLINK("http://141.218.60.56/~jnz1568/getInfo.php?workbook=06_02.xlsx&amp;sheet=A0&amp;row=337&amp;col=7&amp;number=&amp;sourceID=34","")</f>
        <v/>
      </c>
      <c r="H337" s="4" t="str">
        <f>HYPERLINK("http://141.218.60.56/~jnz1568/getInfo.php?workbook=06_02.xlsx&amp;sheet=A0&amp;row=337&amp;col=8&amp;number=&amp;sourceID=34","")</f>
        <v/>
      </c>
      <c r="I337" s="4" t="str">
        <f>HYPERLINK("http://141.218.60.56/~jnz1568/getInfo.php?workbook=06_02.xlsx&amp;sheet=A0&amp;row=337&amp;col=9&amp;number=&amp;sourceID=34","")</f>
        <v/>
      </c>
      <c r="J337" s="4" t="str">
        <f>HYPERLINK("http://141.218.60.56/~jnz1568/getInfo.php?workbook=06_02.xlsx&amp;sheet=A0&amp;row=337&amp;col=10&amp;number=&amp;sourceID=34","")</f>
        <v/>
      </c>
      <c r="K337" s="4" t="str">
        <f>HYPERLINK("http://141.218.60.56/~jnz1568/getInfo.php?workbook=06_02.xlsx&amp;sheet=A0&amp;row=337&amp;col=11&amp;number=6479000&amp;sourceID=30","6479000")</f>
        <v>6479000</v>
      </c>
      <c r="L337" s="4" t="str">
        <f>HYPERLINK("http://141.218.60.56/~jnz1568/getInfo.php?workbook=06_02.xlsx&amp;sheet=A0&amp;row=337&amp;col=12&amp;number=&amp;sourceID=30","")</f>
        <v/>
      </c>
      <c r="M337" s="4" t="str">
        <f>HYPERLINK("http://141.218.60.56/~jnz1568/getInfo.php?workbook=06_02.xlsx&amp;sheet=A0&amp;row=337&amp;col=13&amp;number=&amp;sourceID=30","")</f>
        <v/>
      </c>
      <c r="N337" s="4" t="str">
        <f>HYPERLINK("http://141.218.60.56/~jnz1568/getInfo.php?workbook=06_02.xlsx&amp;sheet=A0&amp;row=337&amp;col=14&amp;number=11.04&amp;sourceID=30","11.04")</f>
        <v>11.04</v>
      </c>
      <c r="O337" s="4" t="str">
        <f>HYPERLINK("http://141.218.60.56/~jnz1568/getInfo.php?workbook=06_02.xlsx&amp;sheet=A0&amp;row=337&amp;col=15&amp;number=8961000&amp;sourceID=32","8961000")</f>
        <v>8961000</v>
      </c>
      <c r="P337" s="4" t="str">
        <f>HYPERLINK("http://141.218.60.56/~jnz1568/getInfo.php?workbook=06_02.xlsx&amp;sheet=A0&amp;row=337&amp;col=16&amp;number=&amp;sourceID=32","")</f>
        <v/>
      </c>
      <c r="Q337" s="4" t="str">
        <f>HYPERLINK("http://141.218.60.56/~jnz1568/getInfo.php?workbook=06_02.xlsx&amp;sheet=A0&amp;row=337&amp;col=17&amp;number=&amp;sourceID=32","")</f>
        <v/>
      </c>
      <c r="R337" s="4" t="str">
        <f>HYPERLINK("http://141.218.60.56/~jnz1568/getInfo.php?workbook=06_02.xlsx&amp;sheet=A0&amp;row=337&amp;col=18&amp;number=11.45&amp;sourceID=32","11.45")</f>
        <v>11.45</v>
      </c>
    </row>
    <row r="338" spans="1:18">
      <c r="A338" s="3">
        <v>6</v>
      </c>
      <c r="B338" s="3">
        <v>2</v>
      </c>
      <c r="C338" s="3">
        <v>30</v>
      </c>
      <c r="D338" s="3">
        <v>7</v>
      </c>
      <c r="E338" s="3">
        <f>((1/(INDEX(E0!J$4:J$52,C338,1)-INDEX(E0!J$4:J$52,D338,1))))*100000000</f>
        <v>0</v>
      </c>
      <c r="F338" s="4" t="str">
        <f>HYPERLINK("http://141.218.60.56/~jnz1568/getInfo.php?workbook=06_02.xlsx&amp;sheet=A0&amp;row=338&amp;col=6&amp;number=&amp;sourceID=27","")</f>
        <v/>
      </c>
      <c r="G338" s="4" t="str">
        <f>HYPERLINK("http://141.218.60.56/~jnz1568/getInfo.php?workbook=06_02.xlsx&amp;sheet=A0&amp;row=338&amp;col=7&amp;number=12320000000&amp;sourceID=34","12320000000")</f>
        <v>12320000000</v>
      </c>
      <c r="H338" s="4" t="str">
        <f>HYPERLINK("http://141.218.60.56/~jnz1568/getInfo.php?workbook=06_02.xlsx&amp;sheet=A0&amp;row=338&amp;col=8&amp;number=&amp;sourceID=34","")</f>
        <v/>
      </c>
      <c r="I338" s="4" t="str">
        <f>HYPERLINK("http://141.218.60.56/~jnz1568/getInfo.php?workbook=06_02.xlsx&amp;sheet=A0&amp;row=338&amp;col=9&amp;number=&amp;sourceID=34","")</f>
        <v/>
      </c>
      <c r="J338" s="4" t="str">
        <f>HYPERLINK("http://141.218.60.56/~jnz1568/getInfo.php?workbook=06_02.xlsx&amp;sheet=A0&amp;row=338&amp;col=10&amp;number=&amp;sourceID=34","")</f>
        <v/>
      </c>
      <c r="K338" s="4" t="str">
        <f>HYPERLINK("http://141.218.60.56/~jnz1568/getInfo.php?workbook=06_02.xlsx&amp;sheet=A0&amp;row=338&amp;col=11&amp;number=12750000000&amp;sourceID=30","12750000000")</f>
        <v>12750000000</v>
      </c>
      <c r="L338" s="4" t="str">
        <f>HYPERLINK("http://141.218.60.56/~jnz1568/getInfo.php?workbook=06_02.xlsx&amp;sheet=A0&amp;row=338&amp;col=12&amp;number=&amp;sourceID=30","")</f>
        <v/>
      </c>
      <c r="M338" s="4" t="str">
        <f>HYPERLINK("http://141.218.60.56/~jnz1568/getInfo.php?workbook=06_02.xlsx&amp;sheet=A0&amp;row=338&amp;col=13&amp;number=&amp;sourceID=30","")</f>
        <v/>
      </c>
      <c r="N338" s="4" t="str">
        <f>HYPERLINK("http://141.218.60.56/~jnz1568/getInfo.php?workbook=06_02.xlsx&amp;sheet=A0&amp;row=338&amp;col=14&amp;number=10.2&amp;sourceID=30","10.2")</f>
        <v>10.2</v>
      </c>
      <c r="O338" s="4" t="str">
        <f>HYPERLINK("http://141.218.60.56/~jnz1568/getInfo.php?workbook=06_02.xlsx&amp;sheet=A0&amp;row=338&amp;col=15&amp;number=12290000000&amp;sourceID=32","12290000000")</f>
        <v>12290000000</v>
      </c>
      <c r="P338" s="4" t="str">
        <f>HYPERLINK("http://141.218.60.56/~jnz1568/getInfo.php?workbook=06_02.xlsx&amp;sheet=A0&amp;row=338&amp;col=16&amp;number=&amp;sourceID=32","")</f>
        <v/>
      </c>
      <c r="Q338" s="4" t="str">
        <f>HYPERLINK("http://141.218.60.56/~jnz1568/getInfo.php?workbook=06_02.xlsx&amp;sheet=A0&amp;row=338&amp;col=17&amp;number=&amp;sourceID=32","")</f>
        <v/>
      </c>
      <c r="R338" s="4" t="str">
        <f>HYPERLINK("http://141.218.60.56/~jnz1568/getInfo.php?workbook=06_02.xlsx&amp;sheet=A0&amp;row=338&amp;col=18&amp;number=10.11&amp;sourceID=32","10.11")</f>
        <v>10.11</v>
      </c>
    </row>
    <row r="339" spans="1:18">
      <c r="A339" s="3">
        <v>6</v>
      </c>
      <c r="B339" s="3">
        <v>2</v>
      </c>
      <c r="C339" s="3">
        <v>30</v>
      </c>
      <c r="D339" s="3">
        <v>8</v>
      </c>
      <c r="E339" s="3">
        <f>((1/(INDEX(E0!J$4:J$52,C339,1)-INDEX(E0!J$4:J$52,D339,1))))*100000000</f>
        <v>0</v>
      </c>
      <c r="F339" s="4" t="str">
        <f>HYPERLINK("http://141.218.60.56/~jnz1568/getInfo.php?workbook=06_02.xlsx&amp;sheet=A0&amp;row=339&amp;col=6&amp;number=&amp;sourceID=27","")</f>
        <v/>
      </c>
      <c r="G339" s="4" t="str">
        <f>HYPERLINK("http://141.218.60.56/~jnz1568/getInfo.php?workbook=06_02.xlsx&amp;sheet=A0&amp;row=339&amp;col=7&amp;number=&amp;sourceID=34","")</f>
        <v/>
      </c>
      <c r="H339" s="4" t="str">
        <f>HYPERLINK("http://141.218.60.56/~jnz1568/getInfo.php?workbook=06_02.xlsx&amp;sheet=A0&amp;row=339&amp;col=8&amp;number=&amp;sourceID=34","")</f>
        <v/>
      </c>
      <c r="I339" s="4" t="str">
        <f>HYPERLINK("http://141.218.60.56/~jnz1568/getInfo.php?workbook=06_02.xlsx&amp;sheet=A0&amp;row=339&amp;col=9&amp;number=&amp;sourceID=34","")</f>
        <v/>
      </c>
      <c r="J339" s="4" t="str">
        <f>HYPERLINK("http://141.218.60.56/~jnz1568/getInfo.php?workbook=06_02.xlsx&amp;sheet=A0&amp;row=339&amp;col=10&amp;number=&amp;sourceID=34","")</f>
        <v/>
      </c>
      <c r="K339" s="4" t="str">
        <f>HYPERLINK("http://141.218.60.56/~jnz1568/getInfo.php?workbook=06_02.xlsx&amp;sheet=A0&amp;row=339&amp;col=11&amp;number=&amp;sourceID=30","")</f>
        <v/>
      </c>
      <c r="L339" s="4" t="str">
        <f>HYPERLINK("http://141.218.60.56/~jnz1568/getInfo.php?workbook=06_02.xlsx&amp;sheet=A0&amp;row=339&amp;col=12&amp;number=140&amp;sourceID=30","140")</f>
        <v>140</v>
      </c>
      <c r="M339" s="4" t="str">
        <f>HYPERLINK("http://141.218.60.56/~jnz1568/getInfo.php?workbook=06_02.xlsx&amp;sheet=A0&amp;row=339&amp;col=13&amp;number=2.368e-06&amp;sourceID=30","2.368e-06")</f>
        <v>2.368e-06</v>
      </c>
      <c r="N339" s="4" t="str">
        <f>HYPERLINK("http://141.218.60.56/~jnz1568/getInfo.php?workbook=06_02.xlsx&amp;sheet=A0&amp;row=339&amp;col=14&amp;number=&amp;sourceID=30","")</f>
        <v/>
      </c>
      <c r="O339" s="4" t="str">
        <f>HYPERLINK("http://141.218.60.56/~jnz1568/getInfo.php?workbook=06_02.xlsx&amp;sheet=A0&amp;row=339&amp;col=15&amp;number=&amp;sourceID=32","")</f>
        <v/>
      </c>
      <c r="P339" s="4" t="str">
        <f>HYPERLINK("http://141.218.60.56/~jnz1568/getInfo.php?workbook=06_02.xlsx&amp;sheet=A0&amp;row=339&amp;col=16&amp;number=193&amp;sourceID=32","193")</f>
        <v>193</v>
      </c>
      <c r="Q339" s="4" t="str">
        <f>HYPERLINK("http://141.218.60.56/~jnz1568/getInfo.php?workbook=06_02.xlsx&amp;sheet=A0&amp;row=339&amp;col=17&amp;number=3.821e-06&amp;sourceID=32","3.821e-06")</f>
        <v>3.821e-06</v>
      </c>
      <c r="R339" s="4" t="str">
        <f>HYPERLINK("http://141.218.60.56/~jnz1568/getInfo.php?workbook=06_02.xlsx&amp;sheet=A0&amp;row=339&amp;col=18&amp;number=&amp;sourceID=32","")</f>
        <v/>
      </c>
    </row>
    <row r="340" spans="1:18">
      <c r="A340" s="3">
        <v>6</v>
      </c>
      <c r="B340" s="3">
        <v>2</v>
      </c>
      <c r="C340" s="3">
        <v>30</v>
      </c>
      <c r="D340" s="3">
        <v>9</v>
      </c>
      <c r="E340" s="3">
        <f>((1/(INDEX(E0!J$4:J$52,C340,1)-INDEX(E0!J$4:J$52,D340,1))))*100000000</f>
        <v>0</v>
      </c>
      <c r="F340" s="4" t="str">
        <f>HYPERLINK("http://141.218.60.56/~jnz1568/getInfo.php?workbook=06_02.xlsx&amp;sheet=A0&amp;row=340&amp;col=6&amp;number=&amp;sourceID=27","")</f>
        <v/>
      </c>
      <c r="G340" s="4" t="str">
        <f>HYPERLINK("http://141.218.60.56/~jnz1568/getInfo.php?workbook=06_02.xlsx&amp;sheet=A0&amp;row=340&amp;col=7&amp;number=&amp;sourceID=34","")</f>
        <v/>
      </c>
      <c r="H340" s="4" t="str">
        <f>HYPERLINK("http://141.218.60.56/~jnz1568/getInfo.php?workbook=06_02.xlsx&amp;sheet=A0&amp;row=340&amp;col=8&amp;number=&amp;sourceID=34","")</f>
        <v/>
      </c>
      <c r="I340" s="4" t="str">
        <f>HYPERLINK("http://141.218.60.56/~jnz1568/getInfo.php?workbook=06_02.xlsx&amp;sheet=A0&amp;row=340&amp;col=9&amp;number=&amp;sourceID=34","")</f>
        <v/>
      </c>
      <c r="J340" s="4" t="str">
        <f>HYPERLINK("http://141.218.60.56/~jnz1568/getInfo.php?workbook=06_02.xlsx&amp;sheet=A0&amp;row=340&amp;col=10&amp;number=&amp;sourceID=34","")</f>
        <v/>
      </c>
      <c r="K340" s="4" t="str">
        <f>HYPERLINK("http://141.218.60.56/~jnz1568/getInfo.php?workbook=06_02.xlsx&amp;sheet=A0&amp;row=340&amp;col=11&amp;number=&amp;sourceID=30","")</f>
        <v/>
      </c>
      <c r="L340" s="4" t="str">
        <f>HYPERLINK("http://141.218.60.56/~jnz1568/getInfo.php?workbook=06_02.xlsx&amp;sheet=A0&amp;row=340&amp;col=12&amp;number=64910&amp;sourceID=30","64910")</f>
        <v>64910</v>
      </c>
      <c r="M340" s="4" t="str">
        <f>HYPERLINK("http://141.218.60.56/~jnz1568/getInfo.php?workbook=06_02.xlsx&amp;sheet=A0&amp;row=340&amp;col=13&amp;number=&amp;sourceID=30","")</f>
        <v/>
      </c>
      <c r="N340" s="4" t="str">
        <f>HYPERLINK("http://141.218.60.56/~jnz1568/getInfo.php?workbook=06_02.xlsx&amp;sheet=A0&amp;row=340&amp;col=14&amp;number=&amp;sourceID=30","")</f>
        <v/>
      </c>
      <c r="O340" s="4" t="str">
        <f>HYPERLINK("http://141.218.60.56/~jnz1568/getInfo.php?workbook=06_02.xlsx&amp;sheet=A0&amp;row=340&amp;col=15&amp;number=&amp;sourceID=32","")</f>
        <v/>
      </c>
      <c r="P340" s="4" t="str">
        <f>HYPERLINK("http://141.218.60.56/~jnz1568/getInfo.php?workbook=06_02.xlsx&amp;sheet=A0&amp;row=340&amp;col=16&amp;number=65010&amp;sourceID=32","65010")</f>
        <v>65010</v>
      </c>
      <c r="Q340" s="4" t="str">
        <f>HYPERLINK("http://141.218.60.56/~jnz1568/getInfo.php?workbook=06_02.xlsx&amp;sheet=A0&amp;row=340&amp;col=17&amp;number=&amp;sourceID=32","")</f>
        <v/>
      </c>
      <c r="R340" s="4" t="str">
        <f>HYPERLINK("http://141.218.60.56/~jnz1568/getInfo.php?workbook=06_02.xlsx&amp;sheet=A0&amp;row=340&amp;col=18&amp;number=&amp;sourceID=32","")</f>
        <v/>
      </c>
    </row>
    <row r="341" spans="1:18">
      <c r="A341" s="3">
        <v>6</v>
      </c>
      <c r="B341" s="3">
        <v>2</v>
      </c>
      <c r="C341" s="3">
        <v>30</v>
      </c>
      <c r="D341" s="3">
        <v>10</v>
      </c>
      <c r="E341" s="3">
        <f>((1/(INDEX(E0!J$4:J$52,C341,1)-INDEX(E0!J$4:J$52,D341,1))))*100000000</f>
        <v>0</v>
      </c>
      <c r="F341" s="4" t="str">
        <f>HYPERLINK("http://141.218.60.56/~jnz1568/getInfo.php?workbook=06_02.xlsx&amp;sheet=A0&amp;row=341&amp;col=6&amp;number=&amp;sourceID=27","")</f>
        <v/>
      </c>
      <c r="G341" s="4" t="str">
        <f>HYPERLINK("http://141.218.60.56/~jnz1568/getInfo.php?workbook=06_02.xlsx&amp;sheet=A0&amp;row=341&amp;col=7&amp;number=&amp;sourceID=34","")</f>
        <v/>
      </c>
      <c r="H341" s="4" t="str">
        <f>HYPERLINK("http://141.218.60.56/~jnz1568/getInfo.php?workbook=06_02.xlsx&amp;sheet=A0&amp;row=341&amp;col=8&amp;number=&amp;sourceID=34","")</f>
        <v/>
      </c>
      <c r="I341" s="4" t="str">
        <f>HYPERLINK("http://141.218.60.56/~jnz1568/getInfo.php?workbook=06_02.xlsx&amp;sheet=A0&amp;row=341&amp;col=9&amp;number=&amp;sourceID=34","")</f>
        <v/>
      </c>
      <c r="J341" s="4" t="str">
        <f>HYPERLINK("http://141.218.60.56/~jnz1568/getInfo.php?workbook=06_02.xlsx&amp;sheet=A0&amp;row=341&amp;col=10&amp;number=&amp;sourceID=34","")</f>
        <v/>
      </c>
      <c r="K341" s="4" t="str">
        <f>HYPERLINK("http://141.218.60.56/~jnz1568/getInfo.php?workbook=06_02.xlsx&amp;sheet=A0&amp;row=341&amp;col=11&amp;number=4362000&amp;sourceID=30","4362000")</f>
        <v>4362000</v>
      </c>
      <c r="L341" s="4" t="str">
        <f>HYPERLINK("http://141.218.60.56/~jnz1568/getInfo.php?workbook=06_02.xlsx&amp;sheet=A0&amp;row=341&amp;col=12&amp;number=&amp;sourceID=30","")</f>
        <v/>
      </c>
      <c r="M341" s="4" t="str">
        <f>HYPERLINK("http://141.218.60.56/~jnz1568/getInfo.php?workbook=06_02.xlsx&amp;sheet=A0&amp;row=341&amp;col=13&amp;number=&amp;sourceID=30","")</f>
        <v/>
      </c>
      <c r="N341" s="4" t="str">
        <f>HYPERLINK("http://141.218.60.56/~jnz1568/getInfo.php?workbook=06_02.xlsx&amp;sheet=A0&amp;row=341&amp;col=14&amp;number=0.2983&amp;sourceID=30","0.2983")</f>
        <v>0.2983</v>
      </c>
      <c r="O341" s="4" t="str">
        <f>HYPERLINK("http://141.218.60.56/~jnz1568/getInfo.php?workbook=06_02.xlsx&amp;sheet=A0&amp;row=341&amp;col=15&amp;number=6229000&amp;sourceID=32","6229000")</f>
        <v>6229000</v>
      </c>
      <c r="P341" s="4" t="str">
        <f>HYPERLINK("http://141.218.60.56/~jnz1568/getInfo.php?workbook=06_02.xlsx&amp;sheet=A0&amp;row=341&amp;col=16&amp;number=&amp;sourceID=32","")</f>
        <v/>
      </c>
      <c r="Q341" s="4" t="str">
        <f>HYPERLINK("http://141.218.60.56/~jnz1568/getInfo.php?workbook=06_02.xlsx&amp;sheet=A0&amp;row=341&amp;col=17&amp;number=&amp;sourceID=32","")</f>
        <v/>
      </c>
      <c r="R341" s="4" t="str">
        <f>HYPERLINK("http://141.218.60.56/~jnz1568/getInfo.php?workbook=06_02.xlsx&amp;sheet=A0&amp;row=341&amp;col=18&amp;number=0.3046&amp;sourceID=32","0.3046")</f>
        <v>0.3046</v>
      </c>
    </row>
    <row r="342" spans="1:18">
      <c r="A342" s="3">
        <v>6</v>
      </c>
      <c r="B342" s="3">
        <v>2</v>
      </c>
      <c r="C342" s="3">
        <v>30</v>
      </c>
      <c r="D342" s="3">
        <v>11</v>
      </c>
      <c r="E342" s="3">
        <f>((1/(INDEX(E0!J$4:J$52,C342,1)-INDEX(E0!J$4:J$52,D342,1))))*100000000</f>
        <v>0</v>
      </c>
      <c r="F342" s="4" t="str">
        <f>HYPERLINK("http://141.218.60.56/~jnz1568/getInfo.php?workbook=06_02.xlsx&amp;sheet=A0&amp;row=342&amp;col=6&amp;number=&amp;sourceID=27","")</f>
        <v/>
      </c>
      <c r="G342" s="4" t="str">
        <f>HYPERLINK("http://141.218.60.56/~jnz1568/getInfo.php?workbook=06_02.xlsx&amp;sheet=A0&amp;row=342&amp;col=7&amp;number=&amp;sourceID=34","")</f>
        <v/>
      </c>
      <c r="H342" s="4" t="str">
        <f>HYPERLINK("http://141.218.60.56/~jnz1568/getInfo.php?workbook=06_02.xlsx&amp;sheet=A0&amp;row=342&amp;col=8&amp;number=&amp;sourceID=34","")</f>
        <v/>
      </c>
      <c r="I342" s="4" t="str">
        <f>HYPERLINK("http://141.218.60.56/~jnz1568/getInfo.php?workbook=06_02.xlsx&amp;sheet=A0&amp;row=342&amp;col=9&amp;number=&amp;sourceID=34","")</f>
        <v/>
      </c>
      <c r="J342" s="4" t="str">
        <f>HYPERLINK("http://141.218.60.56/~jnz1568/getInfo.php?workbook=06_02.xlsx&amp;sheet=A0&amp;row=342&amp;col=10&amp;number=&amp;sourceID=34","")</f>
        <v/>
      </c>
      <c r="K342" s="4" t="str">
        <f>HYPERLINK("http://141.218.60.56/~jnz1568/getInfo.php?workbook=06_02.xlsx&amp;sheet=A0&amp;row=342&amp;col=11&amp;number=&amp;sourceID=30","")</f>
        <v/>
      </c>
      <c r="L342" s="4" t="str">
        <f>HYPERLINK("http://141.218.60.56/~jnz1568/getInfo.php?workbook=06_02.xlsx&amp;sheet=A0&amp;row=342&amp;col=12&amp;number=&amp;sourceID=30","")</f>
        <v/>
      </c>
      <c r="M342" s="4" t="str">
        <f>HYPERLINK("http://141.218.60.56/~jnz1568/getInfo.php?workbook=06_02.xlsx&amp;sheet=A0&amp;row=342&amp;col=13&amp;number=&amp;sourceID=30","")</f>
        <v/>
      </c>
      <c r="N342" s="4" t="str">
        <f>HYPERLINK("http://141.218.60.56/~jnz1568/getInfo.php?workbook=06_02.xlsx&amp;sheet=A0&amp;row=342&amp;col=14&amp;number=0.1265&amp;sourceID=30","0.1265")</f>
        <v>0.1265</v>
      </c>
      <c r="O342" s="4" t="str">
        <f>HYPERLINK("http://141.218.60.56/~jnz1568/getInfo.php?workbook=06_02.xlsx&amp;sheet=A0&amp;row=342&amp;col=15&amp;number=&amp;sourceID=32","")</f>
        <v/>
      </c>
      <c r="P342" s="4" t="str">
        <f>HYPERLINK("http://141.218.60.56/~jnz1568/getInfo.php?workbook=06_02.xlsx&amp;sheet=A0&amp;row=342&amp;col=16&amp;number=&amp;sourceID=32","")</f>
        <v/>
      </c>
      <c r="Q342" s="4" t="str">
        <f>HYPERLINK("http://141.218.60.56/~jnz1568/getInfo.php?workbook=06_02.xlsx&amp;sheet=A0&amp;row=342&amp;col=17&amp;number=&amp;sourceID=32","")</f>
        <v/>
      </c>
      <c r="R342" s="4" t="str">
        <f>HYPERLINK("http://141.218.60.56/~jnz1568/getInfo.php?workbook=06_02.xlsx&amp;sheet=A0&amp;row=342&amp;col=18&amp;number=0.128&amp;sourceID=32","0.128")</f>
        <v>0.128</v>
      </c>
    </row>
    <row r="343" spans="1:18">
      <c r="A343" s="3">
        <v>6</v>
      </c>
      <c r="B343" s="3">
        <v>2</v>
      </c>
      <c r="C343" s="3">
        <v>30</v>
      </c>
      <c r="D343" s="3">
        <v>12</v>
      </c>
      <c r="E343" s="3">
        <f>((1/(INDEX(E0!J$4:J$52,C343,1)-INDEX(E0!J$4:J$52,D343,1))))*100000000</f>
        <v>0</v>
      </c>
      <c r="F343" s="4" t="str">
        <f>HYPERLINK("http://141.218.60.56/~jnz1568/getInfo.php?workbook=06_02.xlsx&amp;sheet=A0&amp;row=343&amp;col=6&amp;number=&amp;sourceID=27","")</f>
        <v/>
      </c>
      <c r="G343" s="4" t="str">
        <f>HYPERLINK("http://141.218.60.56/~jnz1568/getInfo.php?workbook=06_02.xlsx&amp;sheet=A0&amp;row=343&amp;col=7&amp;number=&amp;sourceID=34","")</f>
        <v/>
      </c>
      <c r="H343" s="4" t="str">
        <f>HYPERLINK("http://141.218.60.56/~jnz1568/getInfo.php?workbook=06_02.xlsx&amp;sheet=A0&amp;row=343&amp;col=8&amp;number=&amp;sourceID=34","")</f>
        <v/>
      </c>
      <c r="I343" s="4" t="str">
        <f>HYPERLINK("http://141.218.60.56/~jnz1568/getInfo.php?workbook=06_02.xlsx&amp;sheet=A0&amp;row=343&amp;col=9&amp;number=&amp;sourceID=34","")</f>
        <v/>
      </c>
      <c r="J343" s="4" t="str">
        <f>HYPERLINK("http://141.218.60.56/~jnz1568/getInfo.php?workbook=06_02.xlsx&amp;sheet=A0&amp;row=343&amp;col=10&amp;number=&amp;sourceID=34","")</f>
        <v/>
      </c>
      <c r="K343" s="4" t="str">
        <f>HYPERLINK("http://141.218.60.56/~jnz1568/getInfo.php?workbook=06_02.xlsx&amp;sheet=A0&amp;row=343&amp;col=11&amp;number=1983000&amp;sourceID=30","1983000")</f>
        <v>1983000</v>
      </c>
      <c r="L343" s="4" t="str">
        <f>HYPERLINK("http://141.218.60.56/~jnz1568/getInfo.php?workbook=06_02.xlsx&amp;sheet=A0&amp;row=343&amp;col=12&amp;number=&amp;sourceID=30","")</f>
        <v/>
      </c>
      <c r="M343" s="4" t="str">
        <f>HYPERLINK("http://141.218.60.56/~jnz1568/getInfo.php?workbook=06_02.xlsx&amp;sheet=A0&amp;row=343&amp;col=13&amp;number=&amp;sourceID=30","")</f>
        <v/>
      </c>
      <c r="N343" s="4" t="str">
        <f>HYPERLINK("http://141.218.60.56/~jnz1568/getInfo.php?workbook=06_02.xlsx&amp;sheet=A0&amp;row=343&amp;col=14&amp;number=0.229&amp;sourceID=30","0.229")</f>
        <v>0.229</v>
      </c>
      <c r="O343" s="4" t="str">
        <f>HYPERLINK("http://141.218.60.56/~jnz1568/getInfo.php?workbook=06_02.xlsx&amp;sheet=A0&amp;row=343&amp;col=15&amp;number=2721000&amp;sourceID=32","2721000")</f>
        <v>2721000</v>
      </c>
      <c r="P343" s="4" t="str">
        <f>HYPERLINK("http://141.218.60.56/~jnz1568/getInfo.php?workbook=06_02.xlsx&amp;sheet=A0&amp;row=343&amp;col=16&amp;number=&amp;sourceID=32","")</f>
        <v/>
      </c>
      <c r="Q343" s="4" t="str">
        <f>HYPERLINK("http://141.218.60.56/~jnz1568/getInfo.php?workbook=06_02.xlsx&amp;sheet=A0&amp;row=343&amp;col=17&amp;number=&amp;sourceID=32","")</f>
        <v/>
      </c>
      <c r="R343" s="4" t="str">
        <f>HYPERLINK("http://141.218.60.56/~jnz1568/getInfo.php?workbook=06_02.xlsx&amp;sheet=A0&amp;row=343&amp;col=18&amp;number=0.2331&amp;sourceID=32","0.2331")</f>
        <v>0.2331</v>
      </c>
    </row>
    <row r="344" spans="1:18">
      <c r="A344" s="3">
        <v>6</v>
      </c>
      <c r="B344" s="3">
        <v>2</v>
      </c>
      <c r="C344" s="3">
        <v>30</v>
      </c>
      <c r="D344" s="3">
        <v>13</v>
      </c>
      <c r="E344" s="3">
        <f>((1/(INDEX(E0!J$4:J$52,C344,1)-INDEX(E0!J$4:J$52,D344,1))))*100000000</f>
        <v>0</v>
      </c>
      <c r="F344" s="4" t="str">
        <f>HYPERLINK("http://141.218.60.56/~jnz1568/getInfo.php?workbook=06_02.xlsx&amp;sheet=A0&amp;row=344&amp;col=6&amp;number=&amp;sourceID=27","")</f>
        <v/>
      </c>
      <c r="G344" s="4" t="str">
        <f>HYPERLINK("http://141.218.60.56/~jnz1568/getInfo.php?workbook=06_02.xlsx&amp;sheet=A0&amp;row=344&amp;col=7&amp;number=&amp;sourceID=34","")</f>
        <v/>
      </c>
      <c r="H344" s="4" t="str">
        <f>HYPERLINK("http://141.218.60.56/~jnz1568/getInfo.php?workbook=06_02.xlsx&amp;sheet=A0&amp;row=344&amp;col=8&amp;number=&amp;sourceID=34","")</f>
        <v/>
      </c>
      <c r="I344" s="4" t="str">
        <f>HYPERLINK("http://141.218.60.56/~jnz1568/getInfo.php?workbook=06_02.xlsx&amp;sheet=A0&amp;row=344&amp;col=9&amp;number=&amp;sourceID=34","")</f>
        <v/>
      </c>
      <c r="J344" s="4" t="str">
        <f>HYPERLINK("http://141.218.60.56/~jnz1568/getInfo.php?workbook=06_02.xlsx&amp;sheet=A0&amp;row=344&amp;col=10&amp;number=&amp;sourceID=34","")</f>
        <v/>
      </c>
      <c r="K344" s="4" t="str">
        <f>HYPERLINK("http://141.218.60.56/~jnz1568/getInfo.php?workbook=06_02.xlsx&amp;sheet=A0&amp;row=344&amp;col=11&amp;number=&amp;sourceID=30","")</f>
        <v/>
      </c>
      <c r="L344" s="4" t="str">
        <f>HYPERLINK("http://141.218.60.56/~jnz1568/getInfo.php?workbook=06_02.xlsx&amp;sheet=A0&amp;row=344&amp;col=12&amp;number=12.06&amp;sourceID=30","12.06")</f>
        <v>12.06</v>
      </c>
      <c r="M344" s="4" t="str">
        <f>HYPERLINK("http://141.218.60.56/~jnz1568/getInfo.php?workbook=06_02.xlsx&amp;sheet=A0&amp;row=344&amp;col=13&amp;number=0.0001171&amp;sourceID=30","0.0001171")</f>
        <v>0.0001171</v>
      </c>
      <c r="N344" s="4" t="str">
        <f>HYPERLINK("http://141.218.60.56/~jnz1568/getInfo.php?workbook=06_02.xlsx&amp;sheet=A0&amp;row=344&amp;col=14&amp;number=&amp;sourceID=30","")</f>
        <v/>
      </c>
      <c r="O344" s="4" t="str">
        <f>HYPERLINK("http://141.218.60.56/~jnz1568/getInfo.php?workbook=06_02.xlsx&amp;sheet=A0&amp;row=344&amp;col=15&amp;number=&amp;sourceID=32","")</f>
        <v/>
      </c>
      <c r="P344" s="4" t="str">
        <f>HYPERLINK("http://141.218.60.56/~jnz1568/getInfo.php?workbook=06_02.xlsx&amp;sheet=A0&amp;row=344&amp;col=16&amp;number=16.5&amp;sourceID=32","16.5")</f>
        <v>16.5</v>
      </c>
      <c r="Q344" s="4" t="str">
        <f>HYPERLINK("http://141.218.60.56/~jnz1568/getInfo.php?workbook=06_02.xlsx&amp;sheet=A0&amp;row=344&amp;col=17&amp;number=0.0001168&amp;sourceID=32","0.0001168")</f>
        <v>0.0001168</v>
      </c>
      <c r="R344" s="4" t="str">
        <f>HYPERLINK("http://141.218.60.56/~jnz1568/getInfo.php?workbook=06_02.xlsx&amp;sheet=A0&amp;row=344&amp;col=18&amp;number=&amp;sourceID=32","")</f>
        <v/>
      </c>
    </row>
    <row r="345" spans="1:18">
      <c r="A345" s="3">
        <v>6</v>
      </c>
      <c r="B345" s="3">
        <v>2</v>
      </c>
      <c r="C345" s="3">
        <v>30</v>
      </c>
      <c r="D345" s="3">
        <v>14</v>
      </c>
      <c r="E345" s="3">
        <f>((1/(INDEX(E0!J$4:J$52,C345,1)-INDEX(E0!J$4:J$52,D345,1))))*100000000</f>
        <v>0</v>
      </c>
      <c r="F345" s="4" t="str">
        <f>HYPERLINK("http://141.218.60.56/~jnz1568/getInfo.php?workbook=06_02.xlsx&amp;sheet=A0&amp;row=345&amp;col=6&amp;number=&amp;sourceID=27","")</f>
        <v/>
      </c>
      <c r="G345" s="4" t="str">
        <f>HYPERLINK("http://141.218.60.56/~jnz1568/getInfo.php?workbook=06_02.xlsx&amp;sheet=A0&amp;row=345&amp;col=7&amp;number=&amp;sourceID=34","")</f>
        <v/>
      </c>
      <c r="H345" s="4" t="str">
        <f>HYPERLINK("http://141.218.60.56/~jnz1568/getInfo.php?workbook=06_02.xlsx&amp;sheet=A0&amp;row=345&amp;col=8&amp;number=&amp;sourceID=34","")</f>
        <v/>
      </c>
      <c r="I345" s="4" t="str">
        <f>HYPERLINK("http://141.218.60.56/~jnz1568/getInfo.php?workbook=06_02.xlsx&amp;sheet=A0&amp;row=345&amp;col=9&amp;number=&amp;sourceID=34","")</f>
        <v/>
      </c>
      <c r="J345" s="4" t="str">
        <f>HYPERLINK("http://141.218.60.56/~jnz1568/getInfo.php?workbook=06_02.xlsx&amp;sheet=A0&amp;row=345&amp;col=10&amp;number=&amp;sourceID=34","")</f>
        <v/>
      </c>
      <c r="K345" s="4" t="str">
        <f>HYPERLINK("http://141.218.60.56/~jnz1568/getInfo.php?workbook=06_02.xlsx&amp;sheet=A0&amp;row=345&amp;col=11&amp;number=&amp;sourceID=30","")</f>
        <v/>
      </c>
      <c r="L345" s="4" t="str">
        <f>HYPERLINK("http://141.218.60.56/~jnz1568/getInfo.php?workbook=06_02.xlsx&amp;sheet=A0&amp;row=345&amp;col=12&amp;number=22.2&amp;sourceID=30","22.2")</f>
        <v>22.2</v>
      </c>
      <c r="M345" s="4" t="str">
        <f>HYPERLINK("http://141.218.60.56/~jnz1568/getInfo.php?workbook=06_02.xlsx&amp;sheet=A0&amp;row=345&amp;col=13&amp;number=2.979e-06&amp;sourceID=30","2.979e-06")</f>
        <v>2.979e-06</v>
      </c>
      <c r="N345" s="4" t="str">
        <f>HYPERLINK("http://141.218.60.56/~jnz1568/getInfo.php?workbook=06_02.xlsx&amp;sheet=A0&amp;row=345&amp;col=14&amp;number=&amp;sourceID=30","")</f>
        <v/>
      </c>
      <c r="O345" s="4" t="str">
        <f>HYPERLINK("http://141.218.60.56/~jnz1568/getInfo.php?workbook=06_02.xlsx&amp;sheet=A0&amp;row=345&amp;col=15&amp;number=&amp;sourceID=32","")</f>
        <v/>
      </c>
      <c r="P345" s="4" t="str">
        <f>HYPERLINK("http://141.218.60.56/~jnz1568/getInfo.php?workbook=06_02.xlsx&amp;sheet=A0&amp;row=345&amp;col=16&amp;number=30.09&amp;sourceID=32","30.09")</f>
        <v>30.09</v>
      </c>
      <c r="Q345" s="4" t="str">
        <f>HYPERLINK("http://141.218.60.56/~jnz1568/getInfo.php?workbook=06_02.xlsx&amp;sheet=A0&amp;row=345&amp;col=17&amp;number=6.452e-06&amp;sourceID=32","6.452e-06")</f>
        <v>6.452e-06</v>
      </c>
      <c r="R345" s="4" t="str">
        <f>HYPERLINK("http://141.218.60.56/~jnz1568/getInfo.php?workbook=06_02.xlsx&amp;sheet=A0&amp;row=345&amp;col=18&amp;number=&amp;sourceID=32","")</f>
        <v/>
      </c>
    </row>
    <row r="346" spans="1:18">
      <c r="A346" s="3">
        <v>6</v>
      </c>
      <c r="B346" s="3">
        <v>2</v>
      </c>
      <c r="C346" s="3">
        <v>30</v>
      </c>
      <c r="D346" s="3">
        <v>15</v>
      </c>
      <c r="E346" s="3">
        <f>((1/(INDEX(E0!J$4:J$52,C346,1)-INDEX(E0!J$4:J$52,D346,1))))*100000000</f>
        <v>0</v>
      </c>
      <c r="F346" s="4" t="str">
        <f>HYPERLINK("http://141.218.60.56/~jnz1568/getInfo.php?workbook=06_02.xlsx&amp;sheet=A0&amp;row=346&amp;col=6&amp;number=&amp;sourceID=27","")</f>
        <v/>
      </c>
      <c r="G346" s="4" t="str">
        <f>HYPERLINK("http://141.218.60.56/~jnz1568/getInfo.php?workbook=06_02.xlsx&amp;sheet=A0&amp;row=346&amp;col=7&amp;number=&amp;sourceID=34","")</f>
        <v/>
      </c>
      <c r="H346" s="4" t="str">
        <f>HYPERLINK("http://141.218.60.56/~jnz1568/getInfo.php?workbook=06_02.xlsx&amp;sheet=A0&amp;row=346&amp;col=8&amp;number=&amp;sourceID=34","")</f>
        <v/>
      </c>
      <c r="I346" s="4" t="str">
        <f>HYPERLINK("http://141.218.60.56/~jnz1568/getInfo.php?workbook=06_02.xlsx&amp;sheet=A0&amp;row=346&amp;col=9&amp;number=&amp;sourceID=34","")</f>
        <v/>
      </c>
      <c r="J346" s="4" t="str">
        <f>HYPERLINK("http://141.218.60.56/~jnz1568/getInfo.php?workbook=06_02.xlsx&amp;sheet=A0&amp;row=346&amp;col=10&amp;number=&amp;sourceID=34","")</f>
        <v/>
      </c>
      <c r="K346" s="4" t="str">
        <f>HYPERLINK("http://141.218.60.56/~jnz1568/getInfo.php?workbook=06_02.xlsx&amp;sheet=A0&amp;row=346&amp;col=11&amp;number=&amp;sourceID=30","")</f>
        <v/>
      </c>
      <c r="L346" s="4" t="str">
        <f>HYPERLINK("http://141.218.60.56/~jnz1568/getInfo.php?workbook=06_02.xlsx&amp;sheet=A0&amp;row=346&amp;col=12&amp;number=13.77&amp;sourceID=30","13.77")</f>
        <v>13.77</v>
      </c>
      <c r="M346" s="4" t="str">
        <f>HYPERLINK("http://141.218.60.56/~jnz1568/getInfo.php?workbook=06_02.xlsx&amp;sheet=A0&amp;row=346&amp;col=13&amp;number=0.0005246&amp;sourceID=30","0.0005246")</f>
        <v>0.0005246</v>
      </c>
      <c r="N346" s="4" t="str">
        <f>HYPERLINK("http://141.218.60.56/~jnz1568/getInfo.php?workbook=06_02.xlsx&amp;sheet=A0&amp;row=346&amp;col=14&amp;number=&amp;sourceID=30","")</f>
        <v/>
      </c>
      <c r="O346" s="4" t="str">
        <f>HYPERLINK("http://141.218.60.56/~jnz1568/getInfo.php?workbook=06_02.xlsx&amp;sheet=A0&amp;row=346&amp;col=15&amp;number=&amp;sourceID=32","")</f>
        <v/>
      </c>
      <c r="P346" s="4" t="str">
        <f>HYPERLINK("http://141.218.60.56/~jnz1568/getInfo.php?workbook=06_02.xlsx&amp;sheet=A0&amp;row=346&amp;col=16&amp;number=18.85&amp;sourceID=32","18.85")</f>
        <v>18.85</v>
      </c>
      <c r="Q346" s="4" t="str">
        <f>HYPERLINK("http://141.218.60.56/~jnz1568/getInfo.php?workbook=06_02.xlsx&amp;sheet=A0&amp;row=346&amp;col=17&amp;number=0.0004865&amp;sourceID=32","0.0004865")</f>
        <v>0.0004865</v>
      </c>
      <c r="R346" s="4" t="str">
        <f>HYPERLINK("http://141.218.60.56/~jnz1568/getInfo.php?workbook=06_02.xlsx&amp;sheet=A0&amp;row=346&amp;col=18&amp;number=&amp;sourceID=32","")</f>
        <v/>
      </c>
    </row>
    <row r="347" spans="1:18">
      <c r="A347" s="3">
        <v>6</v>
      </c>
      <c r="B347" s="3">
        <v>2</v>
      </c>
      <c r="C347" s="3">
        <v>30</v>
      </c>
      <c r="D347" s="3">
        <v>16</v>
      </c>
      <c r="E347" s="3">
        <f>((1/(INDEX(E0!J$4:J$52,C347,1)-INDEX(E0!J$4:J$52,D347,1))))*100000000</f>
        <v>0</v>
      </c>
      <c r="F347" s="4" t="str">
        <f>HYPERLINK("http://141.218.60.56/~jnz1568/getInfo.php?workbook=06_02.xlsx&amp;sheet=A0&amp;row=347&amp;col=6&amp;number=&amp;sourceID=27","")</f>
        <v/>
      </c>
      <c r="G347" s="4" t="str">
        <f>HYPERLINK("http://141.218.60.56/~jnz1568/getInfo.php?workbook=06_02.xlsx&amp;sheet=A0&amp;row=347&amp;col=7&amp;number=&amp;sourceID=34","")</f>
        <v/>
      </c>
      <c r="H347" s="4" t="str">
        <f>HYPERLINK("http://141.218.60.56/~jnz1568/getInfo.php?workbook=06_02.xlsx&amp;sheet=A0&amp;row=347&amp;col=8&amp;number=&amp;sourceID=34","")</f>
        <v/>
      </c>
      <c r="I347" s="4" t="str">
        <f>HYPERLINK("http://141.218.60.56/~jnz1568/getInfo.php?workbook=06_02.xlsx&amp;sheet=A0&amp;row=347&amp;col=9&amp;number=&amp;sourceID=34","")</f>
        <v/>
      </c>
      <c r="J347" s="4" t="str">
        <f>HYPERLINK("http://141.218.60.56/~jnz1568/getInfo.php?workbook=06_02.xlsx&amp;sheet=A0&amp;row=347&amp;col=10&amp;number=&amp;sourceID=34","")</f>
        <v/>
      </c>
      <c r="K347" s="4" t="str">
        <f>HYPERLINK("http://141.218.60.56/~jnz1568/getInfo.php?workbook=06_02.xlsx&amp;sheet=A0&amp;row=347&amp;col=11&amp;number=&amp;sourceID=30","")</f>
        <v/>
      </c>
      <c r="L347" s="4" t="str">
        <f>HYPERLINK("http://141.218.60.56/~jnz1568/getInfo.php?workbook=06_02.xlsx&amp;sheet=A0&amp;row=347&amp;col=12&amp;number=18580&amp;sourceID=30","18580")</f>
        <v>18580</v>
      </c>
      <c r="M347" s="4" t="str">
        <f>HYPERLINK("http://141.218.60.56/~jnz1568/getInfo.php?workbook=06_02.xlsx&amp;sheet=A0&amp;row=347&amp;col=13&amp;number=0.0003451&amp;sourceID=30","0.0003451")</f>
        <v>0.0003451</v>
      </c>
      <c r="N347" s="4" t="str">
        <f>HYPERLINK("http://141.218.60.56/~jnz1568/getInfo.php?workbook=06_02.xlsx&amp;sheet=A0&amp;row=347&amp;col=14&amp;number=&amp;sourceID=30","")</f>
        <v/>
      </c>
      <c r="O347" s="4" t="str">
        <f>HYPERLINK("http://141.218.60.56/~jnz1568/getInfo.php?workbook=06_02.xlsx&amp;sheet=A0&amp;row=347&amp;col=15&amp;number=&amp;sourceID=32","")</f>
        <v/>
      </c>
      <c r="P347" s="4" t="str">
        <f>HYPERLINK("http://141.218.60.56/~jnz1568/getInfo.php?workbook=06_02.xlsx&amp;sheet=A0&amp;row=347&amp;col=16&amp;number=18540&amp;sourceID=32","18540")</f>
        <v>18540</v>
      </c>
      <c r="Q347" s="4" t="str">
        <f>HYPERLINK("http://141.218.60.56/~jnz1568/getInfo.php?workbook=06_02.xlsx&amp;sheet=A0&amp;row=347&amp;col=17&amp;number=0.0003432&amp;sourceID=32","0.0003432")</f>
        <v>0.0003432</v>
      </c>
      <c r="R347" s="4" t="str">
        <f>HYPERLINK("http://141.218.60.56/~jnz1568/getInfo.php?workbook=06_02.xlsx&amp;sheet=A0&amp;row=347&amp;col=18&amp;number=&amp;sourceID=32","")</f>
        <v/>
      </c>
    </row>
    <row r="348" spans="1:18">
      <c r="A348" s="3">
        <v>6</v>
      </c>
      <c r="B348" s="3">
        <v>2</v>
      </c>
      <c r="C348" s="3">
        <v>30</v>
      </c>
      <c r="D348" s="3">
        <v>17</v>
      </c>
      <c r="E348" s="3">
        <f>((1/(INDEX(E0!J$4:J$52,C348,1)-INDEX(E0!J$4:J$52,D348,1))))*100000000</f>
        <v>0</v>
      </c>
      <c r="F348" s="4" t="str">
        <f>HYPERLINK("http://141.218.60.56/~jnz1568/getInfo.php?workbook=06_02.xlsx&amp;sheet=A0&amp;row=348&amp;col=6&amp;number=&amp;sourceID=27","")</f>
        <v/>
      </c>
      <c r="G348" s="4" t="str">
        <f>HYPERLINK("http://141.218.60.56/~jnz1568/getInfo.php?workbook=06_02.xlsx&amp;sheet=A0&amp;row=348&amp;col=7&amp;number=4424000000&amp;sourceID=34","4424000000")</f>
        <v>4424000000</v>
      </c>
      <c r="H348" s="4" t="str">
        <f>HYPERLINK("http://141.218.60.56/~jnz1568/getInfo.php?workbook=06_02.xlsx&amp;sheet=A0&amp;row=348&amp;col=8&amp;number=&amp;sourceID=34","")</f>
        <v/>
      </c>
      <c r="I348" s="4" t="str">
        <f>HYPERLINK("http://141.218.60.56/~jnz1568/getInfo.php?workbook=06_02.xlsx&amp;sheet=A0&amp;row=348&amp;col=9&amp;number=&amp;sourceID=34","")</f>
        <v/>
      </c>
      <c r="J348" s="4" t="str">
        <f>HYPERLINK("http://141.218.60.56/~jnz1568/getInfo.php?workbook=06_02.xlsx&amp;sheet=A0&amp;row=348&amp;col=10&amp;number=&amp;sourceID=34","")</f>
        <v/>
      </c>
      <c r="K348" s="4" t="str">
        <f>HYPERLINK("http://141.218.60.56/~jnz1568/getInfo.php?workbook=06_02.xlsx&amp;sheet=A0&amp;row=348&amp;col=11&amp;number=4470000000&amp;sourceID=30","4470000000")</f>
        <v>4470000000</v>
      </c>
      <c r="L348" s="4" t="str">
        <f>HYPERLINK("http://141.218.60.56/~jnz1568/getInfo.php?workbook=06_02.xlsx&amp;sheet=A0&amp;row=348&amp;col=12&amp;number=&amp;sourceID=30","")</f>
        <v/>
      </c>
      <c r="M348" s="4" t="str">
        <f>HYPERLINK("http://141.218.60.56/~jnz1568/getInfo.php?workbook=06_02.xlsx&amp;sheet=A0&amp;row=348&amp;col=13&amp;number=&amp;sourceID=30","")</f>
        <v/>
      </c>
      <c r="N348" s="4" t="str">
        <f>HYPERLINK("http://141.218.60.56/~jnz1568/getInfo.php?workbook=06_02.xlsx&amp;sheet=A0&amp;row=348&amp;col=14&amp;number=0.2396&amp;sourceID=30","0.2396")</f>
        <v>0.2396</v>
      </c>
      <c r="O348" s="4" t="str">
        <f>HYPERLINK("http://141.218.60.56/~jnz1568/getInfo.php?workbook=06_02.xlsx&amp;sheet=A0&amp;row=348&amp;col=15&amp;number=4417000000&amp;sourceID=32","4417000000")</f>
        <v>4417000000</v>
      </c>
      <c r="P348" s="4" t="str">
        <f>HYPERLINK("http://141.218.60.56/~jnz1568/getInfo.php?workbook=06_02.xlsx&amp;sheet=A0&amp;row=348&amp;col=16&amp;number=&amp;sourceID=32","")</f>
        <v/>
      </c>
      <c r="Q348" s="4" t="str">
        <f>HYPERLINK("http://141.218.60.56/~jnz1568/getInfo.php?workbook=06_02.xlsx&amp;sheet=A0&amp;row=348&amp;col=17&amp;number=&amp;sourceID=32","")</f>
        <v/>
      </c>
      <c r="R348" s="4" t="str">
        <f>HYPERLINK("http://141.218.60.56/~jnz1568/getInfo.php?workbook=06_02.xlsx&amp;sheet=A0&amp;row=348&amp;col=18&amp;number=0.242&amp;sourceID=32","0.242")</f>
        <v>0.242</v>
      </c>
    </row>
    <row r="349" spans="1:18">
      <c r="A349" s="3">
        <v>6</v>
      </c>
      <c r="B349" s="3">
        <v>2</v>
      </c>
      <c r="C349" s="3">
        <v>30</v>
      </c>
      <c r="D349" s="3">
        <v>18</v>
      </c>
      <c r="E349" s="3">
        <f>((1/(INDEX(E0!J$4:J$52,C349,1)-INDEX(E0!J$4:J$52,D349,1))))*100000000</f>
        <v>0</v>
      </c>
      <c r="F349" s="4" t="str">
        <f>HYPERLINK("http://141.218.60.56/~jnz1568/getInfo.php?workbook=06_02.xlsx&amp;sheet=A0&amp;row=349&amp;col=6&amp;number=&amp;sourceID=27","")</f>
        <v/>
      </c>
      <c r="G349" s="4" t="str">
        <f>HYPERLINK("http://141.218.60.56/~jnz1568/getInfo.php?workbook=06_02.xlsx&amp;sheet=A0&amp;row=349&amp;col=7&amp;number=&amp;sourceID=34","")</f>
        <v/>
      </c>
      <c r="H349" s="4" t="str">
        <f>HYPERLINK("http://141.218.60.56/~jnz1568/getInfo.php?workbook=06_02.xlsx&amp;sheet=A0&amp;row=349&amp;col=8&amp;number=&amp;sourceID=34","")</f>
        <v/>
      </c>
      <c r="I349" s="4" t="str">
        <f>HYPERLINK("http://141.218.60.56/~jnz1568/getInfo.php?workbook=06_02.xlsx&amp;sheet=A0&amp;row=349&amp;col=9&amp;number=&amp;sourceID=34","")</f>
        <v/>
      </c>
      <c r="J349" s="4" t="str">
        <f>HYPERLINK("http://141.218.60.56/~jnz1568/getInfo.php?workbook=06_02.xlsx&amp;sheet=A0&amp;row=349&amp;col=10&amp;number=&amp;sourceID=34","")</f>
        <v/>
      </c>
      <c r="K349" s="4" t="str">
        <f>HYPERLINK("http://141.218.60.56/~jnz1568/getInfo.php?workbook=06_02.xlsx&amp;sheet=A0&amp;row=349&amp;col=11&amp;number=&amp;sourceID=30","")</f>
        <v/>
      </c>
      <c r="L349" s="4" t="str">
        <f>HYPERLINK("http://141.218.60.56/~jnz1568/getInfo.php?workbook=06_02.xlsx&amp;sheet=A0&amp;row=349&amp;col=12&amp;number=0.0004058&amp;sourceID=30","0.0004058")</f>
        <v>0.0004058</v>
      </c>
      <c r="M349" s="4" t="str">
        <f>HYPERLINK("http://141.218.60.56/~jnz1568/getInfo.php?workbook=06_02.xlsx&amp;sheet=A0&amp;row=349&amp;col=13&amp;number=8.88e-13&amp;sourceID=30","8.88e-13")</f>
        <v>8.88e-13</v>
      </c>
      <c r="N349" s="4" t="str">
        <f>HYPERLINK("http://141.218.60.56/~jnz1568/getInfo.php?workbook=06_02.xlsx&amp;sheet=A0&amp;row=349&amp;col=14&amp;number=&amp;sourceID=30","")</f>
        <v/>
      </c>
      <c r="O349" s="4" t="str">
        <f>HYPERLINK("http://141.218.60.56/~jnz1568/getInfo.php?workbook=06_02.xlsx&amp;sheet=A0&amp;row=349&amp;col=15&amp;number=&amp;sourceID=32","")</f>
        <v/>
      </c>
      <c r="P349" s="4" t="str">
        <f>HYPERLINK("http://141.218.60.56/~jnz1568/getInfo.php?workbook=06_02.xlsx&amp;sheet=A0&amp;row=349&amp;col=16&amp;number=0.0005623&amp;sourceID=32","0.0005623")</f>
        <v>0.0005623</v>
      </c>
      <c r="Q349" s="4" t="str">
        <f>HYPERLINK("http://141.218.60.56/~jnz1568/getInfo.php?workbook=06_02.xlsx&amp;sheet=A0&amp;row=349&amp;col=17&amp;number=1.036e-11&amp;sourceID=32","1.036e-11")</f>
        <v>1.036e-11</v>
      </c>
      <c r="R349" s="4" t="str">
        <f>HYPERLINK("http://141.218.60.56/~jnz1568/getInfo.php?workbook=06_02.xlsx&amp;sheet=A0&amp;row=349&amp;col=18&amp;number=&amp;sourceID=32","")</f>
        <v/>
      </c>
    </row>
    <row r="350" spans="1:18">
      <c r="A350" s="3">
        <v>6</v>
      </c>
      <c r="B350" s="3">
        <v>2</v>
      </c>
      <c r="C350" s="3">
        <v>30</v>
      </c>
      <c r="D350" s="3">
        <v>19</v>
      </c>
      <c r="E350" s="3">
        <f>((1/(INDEX(E0!J$4:J$52,C350,1)-INDEX(E0!J$4:J$52,D350,1))))*100000000</f>
        <v>0</v>
      </c>
      <c r="F350" s="4" t="str">
        <f>HYPERLINK("http://141.218.60.56/~jnz1568/getInfo.php?workbook=06_02.xlsx&amp;sheet=A0&amp;row=350&amp;col=6&amp;number=&amp;sourceID=27","")</f>
        <v/>
      </c>
      <c r="G350" s="4" t="str">
        <f>HYPERLINK("http://141.218.60.56/~jnz1568/getInfo.php?workbook=06_02.xlsx&amp;sheet=A0&amp;row=350&amp;col=7&amp;number=&amp;sourceID=34","")</f>
        <v/>
      </c>
      <c r="H350" s="4" t="str">
        <f>HYPERLINK("http://141.218.60.56/~jnz1568/getInfo.php?workbook=06_02.xlsx&amp;sheet=A0&amp;row=350&amp;col=8&amp;number=&amp;sourceID=34","")</f>
        <v/>
      </c>
      <c r="I350" s="4" t="str">
        <f>HYPERLINK("http://141.218.60.56/~jnz1568/getInfo.php?workbook=06_02.xlsx&amp;sheet=A0&amp;row=350&amp;col=9&amp;number=&amp;sourceID=34","")</f>
        <v/>
      </c>
      <c r="J350" s="4" t="str">
        <f>HYPERLINK("http://141.218.60.56/~jnz1568/getInfo.php?workbook=06_02.xlsx&amp;sheet=A0&amp;row=350&amp;col=10&amp;number=&amp;sourceID=34","")</f>
        <v/>
      </c>
      <c r="K350" s="4" t="str">
        <f>HYPERLINK("http://141.218.60.56/~jnz1568/getInfo.php?workbook=06_02.xlsx&amp;sheet=A0&amp;row=350&amp;col=11&amp;number=&amp;sourceID=30","")</f>
        <v/>
      </c>
      <c r="L350" s="4" t="str">
        <f>HYPERLINK("http://141.218.60.56/~jnz1568/getInfo.php?workbook=06_02.xlsx&amp;sheet=A0&amp;row=350&amp;col=12&amp;number=0.0002357&amp;sourceID=30","0.0002357")</f>
        <v>0.0002357</v>
      </c>
      <c r="M350" s="4" t="str">
        <f>HYPERLINK("http://141.218.60.56/~jnz1568/getInfo.php?workbook=06_02.xlsx&amp;sheet=A0&amp;row=350&amp;col=13&amp;number=&amp;sourceID=30","")</f>
        <v/>
      </c>
      <c r="N350" s="4" t="str">
        <f>HYPERLINK("http://141.218.60.56/~jnz1568/getInfo.php?workbook=06_02.xlsx&amp;sheet=A0&amp;row=350&amp;col=14&amp;number=&amp;sourceID=30","")</f>
        <v/>
      </c>
      <c r="O350" s="4" t="str">
        <f>HYPERLINK("http://141.218.60.56/~jnz1568/getInfo.php?workbook=06_02.xlsx&amp;sheet=A0&amp;row=350&amp;col=15&amp;number=&amp;sourceID=32","")</f>
        <v/>
      </c>
      <c r="P350" s="4" t="str">
        <f>HYPERLINK("http://141.218.60.56/~jnz1568/getInfo.php?workbook=06_02.xlsx&amp;sheet=A0&amp;row=350&amp;col=16&amp;number=0.001467&amp;sourceID=32","0.001467")</f>
        <v>0.001467</v>
      </c>
      <c r="Q350" s="4" t="str">
        <f>HYPERLINK("http://141.218.60.56/~jnz1568/getInfo.php?workbook=06_02.xlsx&amp;sheet=A0&amp;row=350&amp;col=17&amp;number=&amp;sourceID=32","")</f>
        <v/>
      </c>
      <c r="R350" s="4" t="str">
        <f>HYPERLINK("http://141.218.60.56/~jnz1568/getInfo.php?workbook=06_02.xlsx&amp;sheet=A0&amp;row=350&amp;col=18&amp;number=&amp;sourceID=32","")</f>
        <v/>
      </c>
    </row>
    <row r="351" spans="1:18">
      <c r="A351" s="3">
        <v>6</v>
      </c>
      <c r="B351" s="3">
        <v>2</v>
      </c>
      <c r="C351" s="3">
        <v>30</v>
      </c>
      <c r="D351" s="3">
        <v>20</v>
      </c>
      <c r="E351" s="3">
        <f>((1/(INDEX(E0!J$4:J$52,C351,1)-INDEX(E0!J$4:J$52,D351,1))))*100000000</f>
        <v>0</v>
      </c>
      <c r="F351" s="4" t="str">
        <f>HYPERLINK("http://141.218.60.56/~jnz1568/getInfo.php?workbook=06_02.xlsx&amp;sheet=A0&amp;row=351&amp;col=6&amp;number=&amp;sourceID=27","")</f>
        <v/>
      </c>
      <c r="G351" s="4" t="str">
        <f>HYPERLINK("http://141.218.60.56/~jnz1568/getInfo.php?workbook=06_02.xlsx&amp;sheet=A0&amp;row=351&amp;col=7&amp;number=&amp;sourceID=34","")</f>
        <v/>
      </c>
      <c r="H351" s="4" t="str">
        <f>HYPERLINK("http://141.218.60.56/~jnz1568/getInfo.php?workbook=06_02.xlsx&amp;sheet=A0&amp;row=351&amp;col=8&amp;number=&amp;sourceID=34","")</f>
        <v/>
      </c>
      <c r="I351" s="4" t="str">
        <f>HYPERLINK("http://141.218.60.56/~jnz1568/getInfo.php?workbook=06_02.xlsx&amp;sheet=A0&amp;row=351&amp;col=9&amp;number=&amp;sourceID=34","")</f>
        <v/>
      </c>
      <c r="J351" s="4" t="str">
        <f>HYPERLINK("http://141.218.60.56/~jnz1568/getInfo.php?workbook=06_02.xlsx&amp;sheet=A0&amp;row=351&amp;col=10&amp;number=&amp;sourceID=34","")</f>
        <v/>
      </c>
      <c r="K351" s="4" t="str">
        <f>HYPERLINK("http://141.218.60.56/~jnz1568/getInfo.php?workbook=06_02.xlsx&amp;sheet=A0&amp;row=351&amp;col=11&amp;number=&amp;sourceID=30","")</f>
        <v/>
      </c>
      <c r="L351" s="4" t="str">
        <f>HYPERLINK("http://141.218.60.56/~jnz1568/getInfo.php?workbook=06_02.xlsx&amp;sheet=A0&amp;row=351&amp;col=12&amp;number=&amp;sourceID=30","")</f>
        <v/>
      </c>
      <c r="M351" s="4" t="str">
        <f>HYPERLINK("http://141.218.60.56/~jnz1568/getInfo.php?workbook=06_02.xlsx&amp;sheet=A0&amp;row=351&amp;col=13&amp;number=&amp;sourceID=30","")</f>
        <v/>
      </c>
      <c r="N351" s="4" t="str">
        <f>HYPERLINK("http://141.218.60.56/~jnz1568/getInfo.php?workbook=06_02.xlsx&amp;sheet=A0&amp;row=351&amp;col=14&amp;number=2.037e-09&amp;sourceID=30","2.037e-09")</f>
        <v>2.037e-09</v>
      </c>
      <c r="O351" s="4" t="str">
        <f>HYPERLINK("http://141.218.60.56/~jnz1568/getInfo.php?workbook=06_02.xlsx&amp;sheet=A0&amp;row=351&amp;col=15&amp;number=&amp;sourceID=32","")</f>
        <v/>
      </c>
      <c r="P351" s="4" t="str">
        <f>HYPERLINK("http://141.218.60.56/~jnz1568/getInfo.php?workbook=06_02.xlsx&amp;sheet=A0&amp;row=351&amp;col=16&amp;number=&amp;sourceID=32","")</f>
        <v/>
      </c>
      <c r="Q351" s="4" t="str">
        <f>HYPERLINK("http://141.218.60.56/~jnz1568/getInfo.php?workbook=06_02.xlsx&amp;sheet=A0&amp;row=351&amp;col=17&amp;number=&amp;sourceID=32","")</f>
        <v/>
      </c>
      <c r="R351" s="4" t="str">
        <f>HYPERLINK("http://141.218.60.56/~jnz1568/getInfo.php?workbook=06_02.xlsx&amp;sheet=A0&amp;row=351&amp;col=18&amp;number=2.38e-09&amp;sourceID=32","2.38e-09")</f>
        <v>2.38e-09</v>
      </c>
    </row>
    <row r="352" spans="1:18">
      <c r="A352" s="3">
        <v>6</v>
      </c>
      <c r="B352" s="3">
        <v>2</v>
      </c>
      <c r="C352" s="3">
        <v>30</v>
      </c>
      <c r="D352" s="3">
        <v>21</v>
      </c>
      <c r="E352" s="3">
        <f>((1/(INDEX(E0!J$4:J$52,C352,1)-INDEX(E0!J$4:J$52,D352,1))))*100000000</f>
        <v>0</v>
      </c>
      <c r="F352" s="4" t="str">
        <f>HYPERLINK("http://141.218.60.56/~jnz1568/getInfo.php?workbook=06_02.xlsx&amp;sheet=A0&amp;row=352&amp;col=6&amp;number=&amp;sourceID=27","")</f>
        <v/>
      </c>
      <c r="G352" s="4" t="str">
        <f>HYPERLINK("http://141.218.60.56/~jnz1568/getInfo.php?workbook=06_02.xlsx&amp;sheet=A0&amp;row=352&amp;col=7&amp;number=&amp;sourceID=34","")</f>
        <v/>
      </c>
      <c r="H352" s="4" t="str">
        <f>HYPERLINK("http://141.218.60.56/~jnz1568/getInfo.php?workbook=06_02.xlsx&amp;sheet=A0&amp;row=352&amp;col=8&amp;number=&amp;sourceID=34","")</f>
        <v/>
      </c>
      <c r="I352" s="4" t="str">
        <f>HYPERLINK("http://141.218.60.56/~jnz1568/getInfo.php?workbook=06_02.xlsx&amp;sheet=A0&amp;row=352&amp;col=9&amp;number=&amp;sourceID=34","")</f>
        <v/>
      </c>
      <c r="J352" s="4" t="str">
        <f>HYPERLINK("http://141.218.60.56/~jnz1568/getInfo.php?workbook=06_02.xlsx&amp;sheet=A0&amp;row=352&amp;col=10&amp;number=&amp;sourceID=34","")</f>
        <v/>
      </c>
      <c r="K352" s="4" t="str">
        <f>HYPERLINK("http://141.218.60.56/~jnz1568/getInfo.php?workbook=06_02.xlsx&amp;sheet=A0&amp;row=352&amp;col=11&amp;number=221.9&amp;sourceID=30","221.9")</f>
        <v>221.9</v>
      </c>
      <c r="L352" s="4" t="str">
        <f>HYPERLINK("http://141.218.60.56/~jnz1568/getInfo.php?workbook=06_02.xlsx&amp;sheet=A0&amp;row=352&amp;col=12&amp;number=&amp;sourceID=30","")</f>
        <v/>
      </c>
      <c r="M352" s="4" t="str">
        <f>HYPERLINK("http://141.218.60.56/~jnz1568/getInfo.php?workbook=06_02.xlsx&amp;sheet=A0&amp;row=352&amp;col=13&amp;number=&amp;sourceID=30","")</f>
        <v/>
      </c>
      <c r="N352" s="4" t="str">
        <f>HYPERLINK("http://141.218.60.56/~jnz1568/getInfo.php?workbook=06_02.xlsx&amp;sheet=A0&amp;row=352&amp;col=14&amp;number=4.805e-09&amp;sourceID=30","4.805e-09")</f>
        <v>4.805e-09</v>
      </c>
      <c r="O352" s="4" t="str">
        <f>HYPERLINK("http://141.218.60.56/~jnz1568/getInfo.php?workbook=06_02.xlsx&amp;sheet=A0&amp;row=352&amp;col=15&amp;number=342.2&amp;sourceID=32","342.2")</f>
        <v>342.2</v>
      </c>
      <c r="P352" s="4" t="str">
        <f>HYPERLINK("http://141.218.60.56/~jnz1568/getInfo.php?workbook=06_02.xlsx&amp;sheet=A0&amp;row=352&amp;col=16&amp;number=&amp;sourceID=32","")</f>
        <v/>
      </c>
      <c r="Q352" s="4" t="str">
        <f>HYPERLINK("http://141.218.60.56/~jnz1568/getInfo.php?workbook=06_02.xlsx&amp;sheet=A0&amp;row=352&amp;col=17&amp;number=&amp;sourceID=32","")</f>
        <v/>
      </c>
      <c r="R352" s="4" t="str">
        <f>HYPERLINK("http://141.218.60.56/~jnz1568/getInfo.php?workbook=06_02.xlsx&amp;sheet=A0&amp;row=352&amp;col=18&amp;number=5.659e-09&amp;sourceID=32","5.659e-09")</f>
        <v>5.659e-09</v>
      </c>
    </row>
    <row r="353" spans="1:18">
      <c r="A353" s="3">
        <v>6</v>
      </c>
      <c r="B353" s="3">
        <v>2</v>
      </c>
      <c r="C353" s="3">
        <v>30</v>
      </c>
      <c r="D353" s="3">
        <v>22</v>
      </c>
      <c r="E353" s="3">
        <f>((1/(INDEX(E0!J$4:J$52,C353,1)-INDEX(E0!J$4:J$52,D353,1))))*100000000</f>
        <v>0</v>
      </c>
      <c r="F353" s="4" t="str">
        <f>HYPERLINK("http://141.218.60.56/~jnz1568/getInfo.php?workbook=06_02.xlsx&amp;sheet=A0&amp;row=353&amp;col=6&amp;number=&amp;sourceID=27","")</f>
        <v/>
      </c>
      <c r="G353" s="4" t="str">
        <f>HYPERLINK("http://141.218.60.56/~jnz1568/getInfo.php?workbook=06_02.xlsx&amp;sheet=A0&amp;row=353&amp;col=7&amp;number=&amp;sourceID=34","")</f>
        <v/>
      </c>
      <c r="H353" s="4" t="str">
        <f>HYPERLINK("http://141.218.60.56/~jnz1568/getInfo.php?workbook=06_02.xlsx&amp;sheet=A0&amp;row=353&amp;col=8&amp;number=&amp;sourceID=34","")</f>
        <v/>
      </c>
      <c r="I353" s="4" t="str">
        <f>HYPERLINK("http://141.218.60.56/~jnz1568/getInfo.php?workbook=06_02.xlsx&amp;sheet=A0&amp;row=353&amp;col=9&amp;number=&amp;sourceID=34","")</f>
        <v/>
      </c>
      <c r="J353" s="4" t="str">
        <f>HYPERLINK("http://141.218.60.56/~jnz1568/getInfo.php?workbook=06_02.xlsx&amp;sheet=A0&amp;row=353&amp;col=10&amp;number=&amp;sourceID=34","")</f>
        <v/>
      </c>
      <c r="K353" s="4" t="str">
        <f>HYPERLINK("http://141.218.60.56/~jnz1568/getInfo.php?workbook=06_02.xlsx&amp;sheet=A0&amp;row=353&amp;col=11&amp;number=98.45&amp;sourceID=30","98.45")</f>
        <v>98.45</v>
      </c>
      <c r="L353" s="4" t="str">
        <f>HYPERLINK("http://141.218.60.56/~jnz1568/getInfo.php?workbook=06_02.xlsx&amp;sheet=A0&amp;row=353&amp;col=12&amp;number=&amp;sourceID=30","")</f>
        <v/>
      </c>
      <c r="M353" s="4" t="str">
        <f>HYPERLINK("http://141.218.60.56/~jnz1568/getInfo.php?workbook=06_02.xlsx&amp;sheet=A0&amp;row=353&amp;col=13&amp;number=&amp;sourceID=30","")</f>
        <v/>
      </c>
      <c r="N353" s="4" t="str">
        <f>HYPERLINK("http://141.218.60.56/~jnz1568/getInfo.php?workbook=06_02.xlsx&amp;sheet=A0&amp;row=353&amp;col=14&amp;number=3.567e-09&amp;sourceID=30","3.567e-09")</f>
        <v>3.567e-09</v>
      </c>
      <c r="O353" s="4" t="str">
        <f>HYPERLINK("http://141.218.60.56/~jnz1568/getInfo.php?workbook=06_02.xlsx&amp;sheet=A0&amp;row=353&amp;col=15&amp;number=146.9&amp;sourceID=32","146.9")</f>
        <v>146.9</v>
      </c>
      <c r="P353" s="4" t="str">
        <f>HYPERLINK("http://141.218.60.56/~jnz1568/getInfo.php?workbook=06_02.xlsx&amp;sheet=A0&amp;row=353&amp;col=16&amp;number=&amp;sourceID=32","")</f>
        <v/>
      </c>
      <c r="Q353" s="4" t="str">
        <f>HYPERLINK("http://141.218.60.56/~jnz1568/getInfo.php?workbook=06_02.xlsx&amp;sheet=A0&amp;row=353&amp;col=17&amp;number=&amp;sourceID=32","")</f>
        <v/>
      </c>
      <c r="R353" s="4" t="str">
        <f>HYPERLINK("http://141.218.60.56/~jnz1568/getInfo.php?workbook=06_02.xlsx&amp;sheet=A0&amp;row=353&amp;col=18&amp;number=4.182e-09&amp;sourceID=32","4.182e-09")</f>
        <v>4.182e-09</v>
      </c>
    </row>
    <row r="354" spans="1:18">
      <c r="A354" s="3">
        <v>6</v>
      </c>
      <c r="B354" s="3">
        <v>2</v>
      </c>
      <c r="C354" s="3">
        <v>30</v>
      </c>
      <c r="D354" s="3">
        <v>23</v>
      </c>
      <c r="E354" s="3">
        <f>((1/(INDEX(E0!J$4:J$52,C354,1)-INDEX(E0!J$4:J$52,D354,1))))*100000000</f>
        <v>0</v>
      </c>
      <c r="F354" s="4" t="str">
        <f>HYPERLINK("http://141.218.60.56/~jnz1568/getInfo.php?workbook=06_02.xlsx&amp;sheet=A0&amp;row=354&amp;col=6&amp;number=&amp;sourceID=27","")</f>
        <v/>
      </c>
      <c r="G354" s="4" t="str">
        <f>HYPERLINK("http://141.218.60.56/~jnz1568/getInfo.php?workbook=06_02.xlsx&amp;sheet=A0&amp;row=354&amp;col=7&amp;number=&amp;sourceID=34","")</f>
        <v/>
      </c>
      <c r="H354" s="4" t="str">
        <f>HYPERLINK("http://141.218.60.56/~jnz1568/getInfo.php?workbook=06_02.xlsx&amp;sheet=A0&amp;row=354&amp;col=8&amp;number=&amp;sourceID=34","")</f>
        <v/>
      </c>
      <c r="I354" s="4" t="str">
        <f>HYPERLINK("http://141.218.60.56/~jnz1568/getInfo.php?workbook=06_02.xlsx&amp;sheet=A0&amp;row=354&amp;col=9&amp;number=&amp;sourceID=34","")</f>
        <v/>
      </c>
      <c r="J354" s="4" t="str">
        <f>HYPERLINK("http://141.218.60.56/~jnz1568/getInfo.php?workbook=06_02.xlsx&amp;sheet=A0&amp;row=354&amp;col=10&amp;number=&amp;sourceID=34","")</f>
        <v/>
      </c>
      <c r="K354" s="4" t="str">
        <f>HYPERLINK("http://141.218.60.56/~jnz1568/getInfo.php?workbook=06_02.xlsx&amp;sheet=A0&amp;row=354&amp;col=11&amp;number=&amp;sourceID=30","")</f>
        <v/>
      </c>
      <c r="L354" s="4" t="str">
        <f>HYPERLINK("http://141.218.60.56/~jnz1568/getInfo.php?workbook=06_02.xlsx&amp;sheet=A0&amp;row=354&amp;col=12&amp;number=6.87e-13&amp;sourceID=30","6.87e-13")</f>
        <v>6.87e-13</v>
      </c>
      <c r="M354" s="4" t="str">
        <f>HYPERLINK("http://141.218.60.56/~jnz1568/getInfo.php?workbook=06_02.xlsx&amp;sheet=A0&amp;row=354&amp;col=13&amp;number=1.619e-07&amp;sourceID=30","1.619e-07")</f>
        <v>1.619e-07</v>
      </c>
      <c r="N354" s="4" t="str">
        <f>HYPERLINK("http://141.218.60.56/~jnz1568/getInfo.php?workbook=06_02.xlsx&amp;sheet=A0&amp;row=354&amp;col=14&amp;number=&amp;sourceID=30","")</f>
        <v/>
      </c>
      <c r="O354" s="4" t="str">
        <f>HYPERLINK("http://141.218.60.56/~jnz1568/getInfo.php?workbook=06_02.xlsx&amp;sheet=A0&amp;row=354&amp;col=15&amp;number=&amp;sourceID=32","")</f>
        <v/>
      </c>
      <c r="P354" s="4" t="str">
        <f>HYPERLINK("http://141.218.60.56/~jnz1568/getInfo.php?workbook=06_02.xlsx&amp;sheet=A0&amp;row=354&amp;col=16&amp;number=3.81e-13&amp;sourceID=32","3.81e-13")</f>
        <v>3.81e-13</v>
      </c>
      <c r="Q354" s="4" t="str">
        <f>HYPERLINK("http://141.218.60.56/~jnz1568/getInfo.php?workbook=06_02.xlsx&amp;sheet=A0&amp;row=354&amp;col=17&amp;number=1.284e-07&amp;sourceID=32","1.284e-07")</f>
        <v>1.284e-07</v>
      </c>
      <c r="R354" s="4" t="str">
        <f>HYPERLINK("http://141.218.60.56/~jnz1568/getInfo.php?workbook=06_02.xlsx&amp;sheet=A0&amp;row=354&amp;col=18&amp;number=&amp;sourceID=32","")</f>
        <v/>
      </c>
    </row>
    <row r="355" spans="1:18">
      <c r="A355" s="3">
        <v>6</v>
      </c>
      <c r="B355" s="3">
        <v>2</v>
      </c>
      <c r="C355" s="3">
        <v>30</v>
      </c>
      <c r="D355" s="3">
        <v>24</v>
      </c>
      <c r="E355" s="3">
        <f>((1/(INDEX(E0!J$4:J$52,C355,1)-INDEX(E0!J$4:J$52,D355,1))))*100000000</f>
        <v>0</v>
      </c>
      <c r="F355" s="4" t="str">
        <f>HYPERLINK("http://141.218.60.56/~jnz1568/getInfo.php?workbook=06_02.xlsx&amp;sheet=A0&amp;row=355&amp;col=6&amp;number=&amp;sourceID=27","")</f>
        <v/>
      </c>
      <c r="G355" s="4" t="str">
        <f>HYPERLINK("http://141.218.60.56/~jnz1568/getInfo.php?workbook=06_02.xlsx&amp;sheet=A0&amp;row=355&amp;col=7&amp;number=&amp;sourceID=34","")</f>
        <v/>
      </c>
      <c r="H355" s="4" t="str">
        <f>HYPERLINK("http://141.218.60.56/~jnz1568/getInfo.php?workbook=06_02.xlsx&amp;sheet=A0&amp;row=355&amp;col=8&amp;number=&amp;sourceID=34","")</f>
        <v/>
      </c>
      <c r="I355" s="4" t="str">
        <f>HYPERLINK("http://141.218.60.56/~jnz1568/getInfo.php?workbook=06_02.xlsx&amp;sheet=A0&amp;row=355&amp;col=9&amp;number=&amp;sourceID=34","")</f>
        <v/>
      </c>
      <c r="J355" s="4" t="str">
        <f>HYPERLINK("http://141.218.60.56/~jnz1568/getInfo.php?workbook=06_02.xlsx&amp;sheet=A0&amp;row=355&amp;col=10&amp;number=&amp;sourceID=34","")</f>
        <v/>
      </c>
      <c r="K355" s="4" t="str">
        <f>HYPERLINK("http://141.218.60.56/~jnz1568/getInfo.php?workbook=06_02.xlsx&amp;sheet=A0&amp;row=355&amp;col=11&amp;number=&amp;sourceID=30","")</f>
        <v/>
      </c>
      <c r="L355" s="4" t="str">
        <f>HYPERLINK("http://141.218.60.56/~jnz1568/getInfo.php?workbook=06_02.xlsx&amp;sheet=A0&amp;row=355&amp;col=12&amp;number=4.82e-13&amp;sourceID=30","4.82e-13")</f>
        <v>4.82e-13</v>
      </c>
      <c r="M355" s="4" t="str">
        <f>HYPERLINK("http://141.218.60.56/~jnz1568/getInfo.php?workbook=06_02.xlsx&amp;sheet=A0&amp;row=355&amp;col=13&amp;number=3.104e-08&amp;sourceID=30","3.104e-08")</f>
        <v>3.104e-08</v>
      </c>
      <c r="N355" s="4" t="str">
        <f>HYPERLINK("http://141.218.60.56/~jnz1568/getInfo.php?workbook=06_02.xlsx&amp;sheet=A0&amp;row=355&amp;col=14&amp;number=&amp;sourceID=30","")</f>
        <v/>
      </c>
      <c r="O355" s="4" t="str">
        <f>HYPERLINK("http://141.218.60.56/~jnz1568/getInfo.php?workbook=06_02.xlsx&amp;sheet=A0&amp;row=355&amp;col=15&amp;number=&amp;sourceID=32","")</f>
        <v/>
      </c>
      <c r="P355" s="4" t="str">
        <f>HYPERLINK("http://141.218.60.56/~jnz1568/getInfo.php?workbook=06_02.xlsx&amp;sheet=A0&amp;row=355&amp;col=16&amp;number=2.67e-13&amp;sourceID=32","2.67e-13")</f>
        <v>2.67e-13</v>
      </c>
      <c r="Q355" s="4" t="str">
        <f>HYPERLINK("http://141.218.60.56/~jnz1568/getInfo.php?workbook=06_02.xlsx&amp;sheet=A0&amp;row=355&amp;col=17&amp;number=2.444e-08&amp;sourceID=32","2.444e-08")</f>
        <v>2.444e-08</v>
      </c>
      <c r="R355" s="4" t="str">
        <f>HYPERLINK("http://141.218.60.56/~jnz1568/getInfo.php?workbook=06_02.xlsx&amp;sheet=A0&amp;row=355&amp;col=18&amp;number=&amp;sourceID=32","")</f>
        <v/>
      </c>
    </row>
    <row r="356" spans="1:18">
      <c r="A356" s="3">
        <v>6</v>
      </c>
      <c r="B356" s="3">
        <v>2</v>
      </c>
      <c r="C356" s="3">
        <v>30</v>
      </c>
      <c r="D356" s="3">
        <v>25</v>
      </c>
      <c r="E356" s="3">
        <f>((1/(INDEX(E0!J$4:J$52,C356,1)-INDEX(E0!J$4:J$52,D356,1))))*100000000</f>
        <v>0</v>
      </c>
      <c r="F356" s="4" t="str">
        <f>HYPERLINK("http://141.218.60.56/~jnz1568/getInfo.php?workbook=06_02.xlsx&amp;sheet=A0&amp;row=356&amp;col=6&amp;number=&amp;sourceID=27","")</f>
        <v/>
      </c>
      <c r="G356" s="4" t="str">
        <f>HYPERLINK("http://141.218.60.56/~jnz1568/getInfo.php?workbook=06_02.xlsx&amp;sheet=A0&amp;row=356&amp;col=7&amp;number=&amp;sourceID=34","")</f>
        <v/>
      </c>
      <c r="H356" s="4" t="str">
        <f>HYPERLINK("http://141.218.60.56/~jnz1568/getInfo.php?workbook=06_02.xlsx&amp;sheet=A0&amp;row=356&amp;col=8&amp;number=&amp;sourceID=34","")</f>
        <v/>
      </c>
      <c r="I356" s="4" t="str">
        <f>HYPERLINK("http://141.218.60.56/~jnz1568/getInfo.php?workbook=06_02.xlsx&amp;sheet=A0&amp;row=356&amp;col=9&amp;number=&amp;sourceID=34","")</f>
        <v/>
      </c>
      <c r="J356" s="4" t="str">
        <f>HYPERLINK("http://141.218.60.56/~jnz1568/getInfo.php?workbook=06_02.xlsx&amp;sheet=A0&amp;row=356&amp;col=10&amp;number=&amp;sourceID=34","")</f>
        <v/>
      </c>
      <c r="K356" s="4" t="str">
        <f>HYPERLINK("http://141.218.60.56/~jnz1568/getInfo.php?workbook=06_02.xlsx&amp;sheet=A0&amp;row=356&amp;col=11&amp;number=&amp;sourceID=30","")</f>
        <v/>
      </c>
      <c r="L356" s="4" t="str">
        <f>HYPERLINK("http://141.218.60.56/~jnz1568/getInfo.php?workbook=06_02.xlsx&amp;sheet=A0&amp;row=356&amp;col=12&amp;number=6.63e-13&amp;sourceID=30","6.63e-13")</f>
        <v>6.63e-13</v>
      </c>
      <c r="M356" s="4" t="str">
        <f>HYPERLINK("http://141.218.60.56/~jnz1568/getInfo.php?workbook=06_02.xlsx&amp;sheet=A0&amp;row=356&amp;col=13&amp;number=1.431e-07&amp;sourceID=30","1.431e-07")</f>
        <v>1.431e-07</v>
      </c>
      <c r="N356" s="4" t="str">
        <f>HYPERLINK("http://141.218.60.56/~jnz1568/getInfo.php?workbook=06_02.xlsx&amp;sheet=A0&amp;row=356&amp;col=14&amp;number=&amp;sourceID=30","")</f>
        <v/>
      </c>
      <c r="O356" s="4" t="str">
        <f>HYPERLINK("http://141.218.60.56/~jnz1568/getInfo.php?workbook=06_02.xlsx&amp;sheet=A0&amp;row=356&amp;col=15&amp;number=&amp;sourceID=32","")</f>
        <v/>
      </c>
      <c r="P356" s="4" t="str">
        <f>HYPERLINK("http://141.218.60.56/~jnz1568/getInfo.php?workbook=06_02.xlsx&amp;sheet=A0&amp;row=356&amp;col=16&amp;number=3.52e-13&amp;sourceID=32","3.52e-13")</f>
        <v>3.52e-13</v>
      </c>
      <c r="Q356" s="4" t="str">
        <f>HYPERLINK("http://141.218.60.56/~jnz1568/getInfo.php?workbook=06_02.xlsx&amp;sheet=A0&amp;row=356&amp;col=17&amp;number=1.116e-07&amp;sourceID=32","1.116e-07")</f>
        <v>1.116e-07</v>
      </c>
      <c r="R356" s="4" t="str">
        <f>HYPERLINK("http://141.218.60.56/~jnz1568/getInfo.php?workbook=06_02.xlsx&amp;sheet=A0&amp;row=356&amp;col=18&amp;number=&amp;sourceID=32","")</f>
        <v/>
      </c>
    </row>
    <row r="357" spans="1:18">
      <c r="A357" s="3">
        <v>6</v>
      </c>
      <c r="B357" s="3">
        <v>2</v>
      </c>
      <c r="C357" s="3">
        <v>30</v>
      </c>
      <c r="D357" s="3">
        <v>26</v>
      </c>
      <c r="E357" s="3">
        <f>((1/(INDEX(E0!J$4:J$52,C357,1)-INDEX(E0!J$4:J$52,D357,1))))*100000000</f>
        <v>0</v>
      </c>
      <c r="F357" s="4" t="str">
        <f>HYPERLINK("http://141.218.60.56/~jnz1568/getInfo.php?workbook=06_02.xlsx&amp;sheet=A0&amp;row=357&amp;col=6&amp;number=&amp;sourceID=27","")</f>
        <v/>
      </c>
      <c r="G357" s="4" t="str">
        <f>HYPERLINK("http://141.218.60.56/~jnz1568/getInfo.php?workbook=06_02.xlsx&amp;sheet=A0&amp;row=357&amp;col=7&amp;number=&amp;sourceID=34","")</f>
        <v/>
      </c>
      <c r="H357" s="4" t="str">
        <f>HYPERLINK("http://141.218.60.56/~jnz1568/getInfo.php?workbook=06_02.xlsx&amp;sheet=A0&amp;row=357&amp;col=8&amp;number=&amp;sourceID=34","")</f>
        <v/>
      </c>
      <c r="I357" s="4" t="str">
        <f>HYPERLINK("http://141.218.60.56/~jnz1568/getInfo.php?workbook=06_02.xlsx&amp;sheet=A0&amp;row=357&amp;col=9&amp;number=&amp;sourceID=34","")</f>
        <v/>
      </c>
      <c r="J357" s="4" t="str">
        <f>HYPERLINK("http://141.218.60.56/~jnz1568/getInfo.php?workbook=06_02.xlsx&amp;sheet=A0&amp;row=357&amp;col=10&amp;number=&amp;sourceID=34","")</f>
        <v/>
      </c>
      <c r="K357" s="4" t="str">
        <f>HYPERLINK("http://141.218.60.56/~jnz1568/getInfo.php?workbook=06_02.xlsx&amp;sheet=A0&amp;row=357&amp;col=11&amp;number=0.5768&amp;sourceID=30","0.5768")</f>
        <v>0.5768</v>
      </c>
      <c r="L357" s="4" t="str">
        <f>HYPERLINK("http://141.218.60.56/~jnz1568/getInfo.php?workbook=06_02.xlsx&amp;sheet=A0&amp;row=357&amp;col=12&amp;number=&amp;sourceID=30","")</f>
        <v/>
      </c>
      <c r="M357" s="4" t="str">
        <f>HYPERLINK("http://141.218.60.56/~jnz1568/getInfo.php?workbook=06_02.xlsx&amp;sheet=A0&amp;row=357&amp;col=13&amp;number=&amp;sourceID=30","")</f>
        <v/>
      </c>
      <c r="N357" s="4" t="str">
        <f>HYPERLINK("http://141.218.60.56/~jnz1568/getInfo.php?workbook=06_02.xlsx&amp;sheet=A0&amp;row=357&amp;col=14&amp;number=0&amp;sourceID=30","0")</f>
        <v>0</v>
      </c>
      <c r="O357" s="4" t="str">
        <f>HYPERLINK("http://141.218.60.56/~jnz1568/getInfo.php?workbook=06_02.xlsx&amp;sheet=A0&amp;row=357&amp;col=15&amp;number=&amp;sourceID=32","")</f>
        <v/>
      </c>
      <c r="P357" s="4" t="str">
        <f>HYPERLINK("http://141.218.60.56/~jnz1568/getInfo.php?workbook=06_02.xlsx&amp;sheet=A0&amp;row=357&amp;col=16&amp;number=&amp;sourceID=32","")</f>
        <v/>
      </c>
      <c r="Q357" s="4" t="str">
        <f>HYPERLINK("http://141.218.60.56/~jnz1568/getInfo.php?workbook=06_02.xlsx&amp;sheet=A0&amp;row=357&amp;col=17&amp;number=&amp;sourceID=32","")</f>
        <v/>
      </c>
      <c r="R357" s="4" t="str">
        <f>HYPERLINK("http://141.218.60.56/~jnz1568/getInfo.php?workbook=06_02.xlsx&amp;sheet=A0&amp;row=357&amp;col=18&amp;number=&amp;sourceID=32","")</f>
        <v/>
      </c>
    </row>
    <row r="358" spans="1:18">
      <c r="A358" s="3">
        <v>6</v>
      </c>
      <c r="B358" s="3">
        <v>2</v>
      </c>
      <c r="C358" s="3">
        <v>30</v>
      </c>
      <c r="D358" s="3">
        <v>27</v>
      </c>
      <c r="E358" s="3">
        <f>((1/(INDEX(E0!J$4:J$52,C358,1)-INDEX(E0!J$4:J$52,D358,1))))*100000000</f>
        <v>0</v>
      </c>
      <c r="F358" s="4" t="str">
        <f>HYPERLINK("http://141.218.60.56/~jnz1568/getInfo.php?workbook=06_02.xlsx&amp;sheet=A0&amp;row=358&amp;col=6&amp;number=&amp;sourceID=27","")</f>
        <v/>
      </c>
      <c r="G358" s="4" t="str">
        <f>HYPERLINK("http://141.218.60.56/~jnz1568/getInfo.php?workbook=06_02.xlsx&amp;sheet=A0&amp;row=358&amp;col=7&amp;number=&amp;sourceID=34","")</f>
        <v/>
      </c>
      <c r="H358" s="4" t="str">
        <f>HYPERLINK("http://141.218.60.56/~jnz1568/getInfo.php?workbook=06_02.xlsx&amp;sheet=A0&amp;row=358&amp;col=8&amp;number=&amp;sourceID=34","")</f>
        <v/>
      </c>
      <c r="I358" s="4" t="str">
        <f>HYPERLINK("http://141.218.60.56/~jnz1568/getInfo.php?workbook=06_02.xlsx&amp;sheet=A0&amp;row=358&amp;col=9&amp;number=&amp;sourceID=34","")</f>
        <v/>
      </c>
      <c r="J358" s="4" t="str">
        <f>HYPERLINK("http://141.218.60.56/~jnz1568/getInfo.php?workbook=06_02.xlsx&amp;sheet=A0&amp;row=358&amp;col=10&amp;number=&amp;sourceID=34","")</f>
        <v/>
      </c>
      <c r="K358" s="4" t="str">
        <f>HYPERLINK("http://141.218.60.56/~jnz1568/getInfo.php?workbook=06_02.xlsx&amp;sheet=A0&amp;row=358&amp;col=11&amp;number=0.000246&amp;sourceID=30","0.000246")</f>
        <v>0.000246</v>
      </c>
      <c r="L358" s="4" t="str">
        <f>HYPERLINK("http://141.218.60.56/~jnz1568/getInfo.php?workbook=06_02.xlsx&amp;sheet=A0&amp;row=358&amp;col=12&amp;number=&amp;sourceID=30","")</f>
        <v/>
      </c>
      <c r="M358" s="4" t="str">
        <f>HYPERLINK("http://141.218.60.56/~jnz1568/getInfo.php?workbook=06_02.xlsx&amp;sheet=A0&amp;row=358&amp;col=13&amp;number=&amp;sourceID=30","")</f>
        <v/>
      </c>
      <c r="N358" s="4" t="str">
        <f>HYPERLINK("http://141.218.60.56/~jnz1568/getInfo.php?workbook=06_02.xlsx&amp;sheet=A0&amp;row=358&amp;col=14&amp;number=0&amp;sourceID=30","0")</f>
        <v>0</v>
      </c>
      <c r="O358" s="4" t="str">
        <f>HYPERLINK("http://141.218.60.56/~jnz1568/getInfo.php?workbook=06_02.xlsx&amp;sheet=A0&amp;row=358&amp;col=15&amp;number=&amp;sourceID=32","")</f>
        <v/>
      </c>
      <c r="P358" s="4" t="str">
        <f>HYPERLINK("http://141.218.60.56/~jnz1568/getInfo.php?workbook=06_02.xlsx&amp;sheet=A0&amp;row=358&amp;col=16&amp;number=&amp;sourceID=32","")</f>
        <v/>
      </c>
      <c r="Q358" s="4" t="str">
        <f>HYPERLINK("http://141.218.60.56/~jnz1568/getInfo.php?workbook=06_02.xlsx&amp;sheet=A0&amp;row=358&amp;col=17&amp;number=&amp;sourceID=32","")</f>
        <v/>
      </c>
      <c r="R358" s="4" t="str">
        <f>HYPERLINK("http://141.218.60.56/~jnz1568/getInfo.php?workbook=06_02.xlsx&amp;sheet=A0&amp;row=358&amp;col=18&amp;number=&amp;sourceID=32","")</f>
        <v/>
      </c>
    </row>
    <row r="359" spans="1:18">
      <c r="A359" s="3">
        <v>6</v>
      </c>
      <c r="B359" s="3">
        <v>2</v>
      </c>
      <c r="C359" s="3">
        <v>30</v>
      </c>
      <c r="D359" s="3">
        <v>28</v>
      </c>
      <c r="E359" s="3">
        <f>((1/(INDEX(E0!J$4:J$52,C359,1)-INDEX(E0!J$4:J$52,D359,1))))*100000000</f>
        <v>0</v>
      </c>
      <c r="F359" s="4" t="str">
        <f>HYPERLINK("http://141.218.60.56/~jnz1568/getInfo.php?workbook=06_02.xlsx&amp;sheet=A0&amp;row=359&amp;col=6&amp;number=&amp;sourceID=27","")</f>
        <v/>
      </c>
      <c r="G359" s="4" t="str">
        <f>HYPERLINK("http://141.218.60.56/~jnz1568/getInfo.php?workbook=06_02.xlsx&amp;sheet=A0&amp;row=359&amp;col=7&amp;number=&amp;sourceID=34","")</f>
        <v/>
      </c>
      <c r="H359" s="4" t="str">
        <f>HYPERLINK("http://141.218.60.56/~jnz1568/getInfo.php?workbook=06_02.xlsx&amp;sheet=A0&amp;row=359&amp;col=8&amp;number=&amp;sourceID=34","")</f>
        <v/>
      </c>
      <c r="I359" s="4" t="str">
        <f>HYPERLINK("http://141.218.60.56/~jnz1568/getInfo.php?workbook=06_02.xlsx&amp;sheet=A0&amp;row=359&amp;col=9&amp;number=&amp;sourceID=34","")</f>
        <v/>
      </c>
      <c r="J359" s="4" t="str">
        <f>HYPERLINK("http://141.218.60.56/~jnz1568/getInfo.php?workbook=06_02.xlsx&amp;sheet=A0&amp;row=359&amp;col=10&amp;number=&amp;sourceID=34","")</f>
        <v/>
      </c>
      <c r="K359" s="4" t="str">
        <f>HYPERLINK("http://141.218.60.56/~jnz1568/getInfo.php?workbook=06_02.xlsx&amp;sheet=A0&amp;row=359&amp;col=11&amp;number=0.4023&amp;sourceID=30","0.4023")</f>
        <v>0.4023</v>
      </c>
      <c r="L359" s="4" t="str">
        <f>HYPERLINK("http://141.218.60.56/~jnz1568/getInfo.php?workbook=06_02.xlsx&amp;sheet=A0&amp;row=359&amp;col=12&amp;number=&amp;sourceID=30","")</f>
        <v/>
      </c>
      <c r="M359" s="4" t="str">
        <f>HYPERLINK("http://141.218.60.56/~jnz1568/getInfo.php?workbook=06_02.xlsx&amp;sheet=A0&amp;row=359&amp;col=13&amp;number=&amp;sourceID=30","")</f>
        <v/>
      </c>
      <c r="N359" s="4" t="str">
        <f>HYPERLINK("http://141.218.60.56/~jnz1568/getInfo.php?workbook=06_02.xlsx&amp;sheet=A0&amp;row=359&amp;col=14&amp;number=0&amp;sourceID=30","0")</f>
        <v>0</v>
      </c>
      <c r="O359" s="4" t="str">
        <f>HYPERLINK("http://141.218.60.56/~jnz1568/getInfo.php?workbook=06_02.xlsx&amp;sheet=A0&amp;row=359&amp;col=15&amp;number=&amp;sourceID=32","")</f>
        <v/>
      </c>
      <c r="P359" s="4" t="str">
        <f>HYPERLINK("http://141.218.60.56/~jnz1568/getInfo.php?workbook=06_02.xlsx&amp;sheet=A0&amp;row=359&amp;col=16&amp;number=&amp;sourceID=32","")</f>
        <v/>
      </c>
      <c r="Q359" s="4" t="str">
        <f>HYPERLINK("http://141.218.60.56/~jnz1568/getInfo.php?workbook=06_02.xlsx&amp;sheet=A0&amp;row=359&amp;col=17&amp;number=&amp;sourceID=32","")</f>
        <v/>
      </c>
      <c r="R359" s="4" t="str">
        <f>HYPERLINK("http://141.218.60.56/~jnz1568/getInfo.php?workbook=06_02.xlsx&amp;sheet=A0&amp;row=359&amp;col=18&amp;number=&amp;sourceID=32","")</f>
        <v/>
      </c>
    </row>
    <row r="360" spans="1:18">
      <c r="A360" s="3">
        <v>6</v>
      </c>
      <c r="B360" s="3">
        <v>2</v>
      </c>
      <c r="C360" s="3">
        <v>30</v>
      </c>
      <c r="D360" s="3">
        <v>29</v>
      </c>
      <c r="E360" s="3">
        <f>((1/(INDEX(E0!J$4:J$52,C360,1)-INDEX(E0!J$4:J$52,D360,1))))*100000000</f>
        <v>0</v>
      </c>
      <c r="F360" s="4" t="str">
        <f>HYPERLINK("http://141.218.60.56/~jnz1568/getInfo.php?workbook=06_02.xlsx&amp;sheet=A0&amp;row=360&amp;col=6&amp;number=&amp;sourceID=27","")</f>
        <v/>
      </c>
      <c r="G360" s="4" t="str">
        <f>HYPERLINK("http://141.218.60.56/~jnz1568/getInfo.php?workbook=06_02.xlsx&amp;sheet=A0&amp;row=360&amp;col=7&amp;number=&amp;sourceID=34","")</f>
        <v/>
      </c>
      <c r="H360" s="4" t="str">
        <f>HYPERLINK("http://141.218.60.56/~jnz1568/getInfo.php?workbook=06_02.xlsx&amp;sheet=A0&amp;row=360&amp;col=8&amp;number=&amp;sourceID=34","")</f>
        <v/>
      </c>
      <c r="I360" s="4" t="str">
        <f>HYPERLINK("http://141.218.60.56/~jnz1568/getInfo.php?workbook=06_02.xlsx&amp;sheet=A0&amp;row=360&amp;col=9&amp;number=&amp;sourceID=34","")</f>
        <v/>
      </c>
      <c r="J360" s="4" t="str">
        <f>HYPERLINK("http://141.218.60.56/~jnz1568/getInfo.php?workbook=06_02.xlsx&amp;sheet=A0&amp;row=360&amp;col=10&amp;number=&amp;sourceID=34","")</f>
        <v/>
      </c>
      <c r="K360" s="4" t="str">
        <f>HYPERLINK("http://141.218.60.56/~jnz1568/getInfo.php?workbook=06_02.xlsx&amp;sheet=A0&amp;row=360&amp;col=11&amp;number=&amp;sourceID=30","")</f>
        <v/>
      </c>
      <c r="L360" s="4" t="str">
        <f>HYPERLINK("http://141.218.60.56/~jnz1568/getInfo.php?workbook=06_02.xlsx&amp;sheet=A0&amp;row=360&amp;col=12&amp;number=&amp;sourceID=30","")</f>
        <v/>
      </c>
      <c r="M360" s="4" t="str">
        <f>HYPERLINK("http://141.218.60.56/~jnz1568/getInfo.php?workbook=06_02.xlsx&amp;sheet=A0&amp;row=360&amp;col=13&amp;number=&amp;sourceID=30","")</f>
        <v/>
      </c>
      <c r="N360" s="4" t="str">
        <f>HYPERLINK("http://141.218.60.56/~jnz1568/getInfo.php?workbook=06_02.xlsx&amp;sheet=A0&amp;row=360&amp;col=14&amp;number=0&amp;sourceID=30","0")</f>
        <v>0</v>
      </c>
      <c r="O360" s="4" t="str">
        <f>HYPERLINK("http://141.218.60.56/~jnz1568/getInfo.php?workbook=06_02.xlsx&amp;sheet=A0&amp;row=360&amp;col=15&amp;number=&amp;sourceID=32","")</f>
        <v/>
      </c>
      <c r="P360" s="4" t="str">
        <f>HYPERLINK("http://141.218.60.56/~jnz1568/getInfo.php?workbook=06_02.xlsx&amp;sheet=A0&amp;row=360&amp;col=16&amp;number=&amp;sourceID=32","")</f>
        <v/>
      </c>
      <c r="Q360" s="4" t="str">
        <f>HYPERLINK("http://141.218.60.56/~jnz1568/getInfo.php?workbook=06_02.xlsx&amp;sheet=A0&amp;row=360&amp;col=17&amp;number=&amp;sourceID=32","")</f>
        <v/>
      </c>
      <c r="R360" s="4" t="str">
        <f>HYPERLINK("http://141.218.60.56/~jnz1568/getInfo.php?workbook=06_02.xlsx&amp;sheet=A0&amp;row=360&amp;col=18&amp;number=&amp;sourceID=32","")</f>
        <v/>
      </c>
    </row>
    <row r="361" spans="1:18">
      <c r="A361" s="3">
        <v>6</v>
      </c>
      <c r="B361" s="3">
        <v>2</v>
      </c>
      <c r="C361" s="3">
        <v>31</v>
      </c>
      <c r="D361" s="3">
        <v>1</v>
      </c>
      <c r="E361" s="3">
        <f>((1/(INDEX(E0!J$4:J$52,C361,1)-INDEX(E0!J$4:J$52,D361,1))))*100000000</f>
        <v>0</v>
      </c>
      <c r="F361" s="4" t="str">
        <f>HYPERLINK("http://141.218.60.56/~jnz1568/getInfo.php?workbook=06_02.xlsx&amp;sheet=A0&amp;row=361&amp;col=6&amp;number=&amp;sourceID=27","")</f>
        <v/>
      </c>
      <c r="G361" s="4" t="str">
        <f>HYPERLINK("http://141.218.60.56/~jnz1568/getInfo.php?workbook=06_02.xlsx&amp;sheet=A0&amp;row=361&amp;col=7&amp;number=106500000000&amp;sourceID=34","106500000000")</f>
        <v>106500000000</v>
      </c>
      <c r="H361" s="4" t="str">
        <f>HYPERLINK("http://141.218.60.56/~jnz1568/getInfo.php?workbook=06_02.xlsx&amp;sheet=A0&amp;row=361&amp;col=8&amp;number=&amp;sourceID=34","")</f>
        <v/>
      </c>
      <c r="I361" s="4" t="str">
        <f>HYPERLINK("http://141.218.60.56/~jnz1568/getInfo.php?workbook=06_02.xlsx&amp;sheet=A0&amp;row=361&amp;col=9&amp;number=&amp;sourceID=34","")</f>
        <v/>
      </c>
      <c r="J361" s="4" t="str">
        <f>HYPERLINK("http://141.218.60.56/~jnz1568/getInfo.php?workbook=06_02.xlsx&amp;sheet=A0&amp;row=361&amp;col=10&amp;number=&amp;sourceID=34","")</f>
        <v/>
      </c>
      <c r="K361" s="4" t="str">
        <f>HYPERLINK("http://141.218.60.56/~jnz1568/getInfo.php?workbook=06_02.xlsx&amp;sheet=A0&amp;row=361&amp;col=11&amp;number=171900000000&amp;sourceID=30","171900000000")</f>
        <v>171900000000</v>
      </c>
      <c r="L361" s="4" t="str">
        <f>HYPERLINK("http://141.218.60.56/~jnz1568/getInfo.php?workbook=06_02.xlsx&amp;sheet=A0&amp;row=361&amp;col=12&amp;number=&amp;sourceID=30","")</f>
        <v/>
      </c>
      <c r="M361" s="4" t="str">
        <f>HYPERLINK("http://141.218.60.56/~jnz1568/getInfo.php?workbook=06_02.xlsx&amp;sheet=A0&amp;row=361&amp;col=13&amp;number=&amp;sourceID=30","")</f>
        <v/>
      </c>
      <c r="N361" s="4" t="str">
        <f>HYPERLINK("http://141.218.60.56/~jnz1568/getInfo.php?workbook=06_02.xlsx&amp;sheet=A0&amp;row=361&amp;col=14&amp;number=&amp;sourceID=30","")</f>
        <v/>
      </c>
      <c r="O361" s="4" t="str">
        <f>HYPERLINK("http://141.218.60.56/~jnz1568/getInfo.php?workbook=06_02.xlsx&amp;sheet=A0&amp;row=361&amp;col=15&amp;number=106400000000&amp;sourceID=32","106400000000")</f>
        <v>106400000000</v>
      </c>
      <c r="P361" s="4" t="str">
        <f>HYPERLINK("http://141.218.60.56/~jnz1568/getInfo.php?workbook=06_02.xlsx&amp;sheet=A0&amp;row=361&amp;col=16&amp;number=&amp;sourceID=32","")</f>
        <v/>
      </c>
      <c r="Q361" s="4" t="str">
        <f>HYPERLINK("http://141.218.60.56/~jnz1568/getInfo.php?workbook=06_02.xlsx&amp;sheet=A0&amp;row=361&amp;col=17&amp;number=&amp;sourceID=32","")</f>
        <v/>
      </c>
      <c r="R361" s="4" t="str">
        <f>HYPERLINK("http://141.218.60.56/~jnz1568/getInfo.php?workbook=06_02.xlsx&amp;sheet=A0&amp;row=361&amp;col=18&amp;number=&amp;sourceID=32","")</f>
        <v/>
      </c>
    </row>
    <row r="362" spans="1:18">
      <c r="A362" s="3">
        <v>6</v>
      </c>
      <c r="B362" s="3">
        <v>2</v>
      </c>
      <c r="C362" s="3">
        <v>31</v>
      </c>
      <c r="D362" s="3">
        <v>2</v>
      </c>
      <c r="E362" s="3">
        <f>((1/(INDEX(E0!J$4:J$52,C362,1)-INDEX(E0!J$4:J$52,D362,1))))*100000000</f>
        <v>0</v>
      </c>
      <c r="F362" s="4" t="str">
        <f>HYPERLINK("http://141.218.60.56/~jnz1568/getInfo.php?workbook=06_02.xlsx&amp;sheet=A0&amp;row=362&amp;col=6&amp;number=&amp;sourceID=27","")</f>
        <v/>
      </c>
      <c r="G362" s="4" t="str">
        <f>HYPERLINK("http://141.218.60.56/~jnz1568/getInfo.php?workbook=06_02.xlsx&amp;sheet=A0&amp;row=362&amp;col=7&amp;number=&amp;sourceID=34","")</f>
        <v/>
      </c>
      <c r="H362" s="4" t="str">
        <f>HYPERLINK("http://141.218.60.56/~jnz1568/getInfo.php?workbook=06_02.xlsx&amp;sheet=A0&amp;row=362&amp;col=8&amp;number=&amp;sourceID=34","")</f>
        <v/>
      </c>
      <c r="I362" s="4" t="str">
        <f>HYPERLINK("http://141.218.60.56/~jnz1568/getInfo.php?workbook=06_02.xlsx&amp;sheet=A0&amp;row=362&amp;col=9&amp;number=&amp;sourceID=34","")</f>
        <v/>
      </c>
      <c r="J362" s="4" t="str">
        <f>HYPERLINK("http://141.218.60.56/~jnz1568/getInfo.php?workbook=06_02.xlsx&amp;sheet=A0&amp;row=362&amp;col=10&amp;number=&amp;sourceID=34","")</f>
        <v/>
      </c>
      <c r="K362" s="4" t="str">
        <f>HYPERLINK("http://141.218.60.56/~jnz1568/getInfo.php?workbook=06_02.xlsx&amp;sheet=A0&amp;row=362&amp;col=11&amp;number=137800&amp;sourceID=30","137800")</f>
        <v>137800</v>
      </c>
      <c r="L362" s="4" t="str">
        <f>HYPERLINK("http://141.218.60.56/~jnz1568/getInfo.php?workbook=06_02.xlsx&amp;sheet=A0&amp;row=362&amp;col=12&amp;number=&amp;sourceID=30","")</f>
        <v/>
      </c>
      <c r="M362" s="4" t="str">
        <f>HYPERLINK("http://141.218.60.56/~jnz1568/getInfo.php?workbook=06_02.xlsx&amp;sheet=A0&amp;row=362&amp;col=13&amp;number=&amp;sourceID=30","")</f>
        <v/>
      </c>
      <c r="N362" s="4" t="str">
        <f>HYPERLINK("http://141.218.60.56/~jnz1568/getInfo.php?workbook=06_02.xlsx&amp;sheet=A0&amp;row=362&amp;col=14&amp;number=13.55&amp;sourceID=30","13.55")</f>
        <v>13.55</v>
      </c>
      <c r="O362" s="4" t="str">
        <f>HYPERLINK("http://141.218.60.56/~jnz1568/getInfo.php?workbook=06_02.xlsx&amp;sheet=A0&amp;row=362&amp;col=15&amp;number=166700&amp;sourceID=32","166700")</f>
        <v>166700</v>
      </c>
      <c r="P362" s="4" t="str">
        <f>HYPERLINK("http://141.218.60.56/~jnz1568/getInfo.php?workbook=06_02.xlsx&amp;sheet=A0&amp;row=362&amp;col=16&amp;number=&amp;sourceID=32","")</f>
        <v/>
      </c>
      <c r="Q362" s="4" t="str">
        <f>HYPERLINK("http://141.218.60.56/~jnz1568/getInfo.php?workbook=06_02.xlsx&amp;sheet=A0&amp;row=362&amp;col=17&amp;number=&amp;sourceID=32","")</f>
        <v/>
      </c>
      <c r="R362" s="4" t="str">
        <f>HYPERLINK("http://141.218.60.56/~jnz1568/getInfo.php?workbook=06_02.xlsx&amp;sheet=A0&amp;row=362&amp;col=18&amp;number=13.13&amp;sourceID=32","13.13")</f>
        <v>13.13</v>
      </c>
    </row>
    <row r="363" spans="1:18">
      <c r="A363" s="3">
        <v>6</v>
      </c>
      <c r="B363" s="3">
        <v>2</v>
      </c>
      <c r="C363" s="3">
        <v>31</v>
      </c>
      <c r="D363" s="3">
        <v>3</v>
      </c>
      <c r="E363" s="3">
        <f>((1/(INDEX(E0!J$4:J$52,C363,1)-INDEX(E0!J$4:J$52,D363,1))))*100000000</f>
        <v>0</v>
      </c>
      <c r="F363" s="4" t="str">
        <f>HYPERLINK("http://141.218.60.56/~jnz1568/getInfo.php?workbook=06_02.xlsx&amp;sheet=A0&amp;row=363&amp;col=6&amp;number=&amp;sourceID=27","")</f>
        <v/>
      </c>
      <c r="G363" s="4" t="str">
        <f>HYPERLINK("http://141.218.60.56/~jnz1568/getInfo.php?workbook=06_02.xlsx&amp;sheet=A0&amp;row=363&amp;col=7&amp;number=5767000000&amp;sourceID=34","5767000000")</f>
        <v>5767000000</v>
      </c>
      <c r="H363" s="4" t="str">
        <f>HYPERLINK("http://141.218.60.56/~jnz1568/getInfo.php?workbook=06_02.xlsx&amp;sheet=A0&amp;row=363&amp;col=8&amp;number=&amp;sourceID=34","")</f>
        <v/>
      </c>
      <c r="I363" s="4" t="str">
        <f>HYPERLINK("http://141.218.60.56/~jnz1568/getInfo.php?workbook=06_02.xlsx&amp;sheet=A0&amp;row=363&amp;col=9&amp;number=&amp;sourceID=34","")</f>
        <v/>
      </c>
      <c r="J363" s="4" t="str">
        <f>HYPERLINK("http://141.218.60.56/~jnz1568/getInfo.php?workbook=06_02.xlsx&amp;sheet=A0&amp;row=363&amp;col=10&amp;number=&amp;sourceID=34","")</f>
        <v/>
      </c>
      <c r="K363" s="4" t="str">
        <f>HYPERLINK("http://141.218.60.56/~jnz1568/getInfo.php?workbook=06_02.xlsx&amp;sheet=A0&amp;row=363&amp;col=11&amp;number=7159000000&amp;sourceID=30","7159000000")</f>
        <v>7159000000</v>
      </c>
      <c r="L363" s="4" t="str">
        <f>HYPERLINK("http://141.218.60.56/~jnz1568/getInfo.php?workbook=06_02.xlsx&amp;sheet=A0&amp;row=363&amp;col=12&amp;number=&amp;sourceID=30","")</f>
        <v/>
      </c>
      <c r="M363" s="4" t="str">
        <f>HYPERLINK("http://141.218.60.56/~jnz1568/getInfo.php?workbook=06_02.xlsx&amp;sheet=A0&amp;row=363&amp;col=13&amp;number=&amp;sourceID=30","")</f>
        <v/>
      </c>
      <c r="N363" s="4" t="str">
        <f>HYPERLINK("http://141.218.60.56/~jnz1568/getInfo.php?workbook=06_02.xlsx&amp;sheet=A0&amp;row=363&amp;col=14&amp;number=&amp;sourceID=30","")</f>
        <v/>
      </c>
      <c r="O363" s="4" t="str">
        <f>HYPERLINK("http://141.218.60.56/~jnz1568/getInfo.php?workbook=06_02.xlsx&amp;sheet=A0&amp;row=363&amp;col=15&amp;number=5765000000&amp;sourceID=32","5765000000")</f>
        <v>5765000000</v>
      </c>
      <c r="P363" s="4" t="str">
        <f>HYPERLINK("http://141.218.60.56/~jnz1568/getInfo.php?workbook=06_02.xlsx&amp;sheet=A0&amp;row=363&amp;col=16&amp;number=&amp;sourceID=32","")</f>
        <v/>
      </c>
      <c r="Q363" s="4" t="str">
        <f>HYPERLINK("http://141.218.60.56/~jnz1568/getInfo.php?workbook=06_02.xlsx&amp;sheet=A0&amp;row=363&amp;col=17&amp;number=&amp;sourceID=32","")</f>
        <v/>
      </c>
      <c r="R363" s="4" t="str">
        <f>HYPERLINK("http://141.218.60.56/~jnz1568/getInfo.php?workbook=06_02.xlsx&amp;sheet=A0&amp;row=363&amp;col=18&amp;number=&amp;sourceID=32","")</f>
        <v/>
      </c>
    </row>
    <row r="364" spans="1:18">
      <c r="A364" s="3">
        <v>6</v>
      </c>
      <c r="B364" s="3">
        <v>2</v>
      </c>
      <c r="C364" s="3">
        <v>31</v>
      </c>
      <c r="D364" s="3">
        <v>4</v>
      </c>
      <c r="E364" s="3">
        <f>((1/(INDEX(E0!J$4:J$52,C364,1)-INDEX(E0!J$4:J$52,D364,1))))*100000000</f>
        <v>0</v>
      </c>
      <c r="F364" s="4" t="str">
        <f>HYPERLINK("http://141.218.60.56/~jnz1568/getInfo.php?workbook=06_02.xlsx&amp;sheet=A0&amp;row=364&amp;col=6&amp;number=&amp;sourceID=27","")</f>
        <v/>
      </c>
      <c r="G364" s="4" t="str">
        <f>HYPERLINK("http://141.218.60.56/~jnz1568/getInfo.php?workbook=06_02.xlsx&amp;sheet=A0&amp;row=364&amp;col=7&amp;number=&amp;sourceID=34","")</f>
        <v/>
      </c>
      <c r="H364" s="4" t="str">
        <f>HYPERLINK("http://141.218.60.56/~jnz1568/getInfo.php?workbook=06_02.xlsx&amp;sheet=A0&amp;row=364&amp;col=8&amp;number=&amp;sourceID=34","")</f>
        <v/>
      </c>
      <c r="I364" s="4" t="str">
        <f>HYPERLINK("http://141.218.60.56/~jnz1568/getInfo.php?workbook=06_02.xlsx&amp;sheet=A0&amp;row=364&amp;col=9&amp;number=&amp;sourceID=34","")</f>
        <v/>
      </c>
      <c r="J364" s="4" t="str">
        <f>HYPERLINK("http://141.218.60.56/~jnz1568/getInfo.php?workbook=06_02.xlsx&amp;sheet=A0&amp;row=364&amp;col=10&amp;number=&amp;sourceID=34","")</f>
        <v/>
      </c>
      <c r="K364" s="4" t="str">
        <f>HYPERLINK("http://141.218.60.56/~jnz1568/getInfo.php?workbook=06_02.xlsx&amp;sheet=A0&amp;row=364&amp;col=11&amp;number=&amp;sourceID=30","")</f>
        <v/>
      </c>
      <c r="L364" s="4" t="str">
        <f>HYPERLINK("http://141.218.60.56/~jnz1568/getInfo.php?workbook=06_02.xlsx&amp;sheet=A0&amp;row=364&amp;col=12&amp;number=13.11&amp;sourceID=30","13.11")</f>
        <v>13.11</v>
      </c>
      <c r="M364" s="4" t="str">
        <f>HYPERLINK("http://141.218.60.56/~jnz1568/getInfo.php?workbook=06_02.xlsx&amp;sheet=A0&amp;row=364&amp;col=13&amp;number=0.01127&amp;sourceID=30","0.01127")</f>
        <v>0.01127</v>
      </c>
      <c r="N364" s="4" t="str">
        <f>HYPERLINK("http://141.218.60.56/~jnz1568/getInfo.php?workbook=06_02.xlsx&amp;sheet=A0&amp;row=364&amp;col=14&amp;number=&amp;sourceID=30","")</f>
        <v/>
      </c>
      <c r="O364" s="4" t="str">
        <f>HYPERLINK("http://141.218.60.56/~jnz1568/getInfo.php?workbook=06_02.xlsx&amp;sheet=A0&amp;row=364&amp;col=15&amp;number=&amp;sourceID=32","")</f>
        <v/>
      </c>
      <c r="P364" s="4" t="str">
        <f>HYPERLINK("http://141.218.60.56/~jnz1568/getInfo.php?workbook=06_02.xlsx&amp;sheet=A0&amp;row=364&amp;col=16&amp;number=11.66&amp;sourceID=32","11.66")</f>
        <v>11.66</v>
      </c>
      <c r="Q364" s="4" t="str">
        <f>HYPERLINK("http://141.218.60.56/~jnz1568/getInfo.php?workbook=06_02.xlsx&amp;sheet=A0&amp;row=364&amp;col=17&amp;number=0.01095&amp;sourceID=32","0.01095")</f>
        <v>0.01095</v>
      </c>
      <c r="R364" s="4" t="str">
        <f>HYPERLINK("http://141.218.60.56/~jnz1568/getInfo.php?workbook=06_02.xlsx&amp;sheet=A0&amp;row=364&amp;col=18&amp;number=&amp;sourceID=32","")</f>
        <v/>
      </c>
    </row>
    <row r="365" spans="1:18">
      <c r="A365" s="3">
        <v>6</v>
      </c>
      <c r="B365" s="3">
        <v>2</v>
      </c>
      <c r="C365" s="3">
        <v>31</v>
      </c>
      <c r="D365" s="3">
        <v>5</v>
      </c>
      <c r="E365" s="3">
        <f>((1/(INDEX(E0!J$4:J$52,C365,1)-INDEX(E0!J$4:J$52,D365,1))))*100000000</f>
        <v>0</v>
      </c>
      <c r="F365" s="4" t="str">
        <f>HYPERLINK("http://141.218.60.56/~jnz1568/getInfo.php?workbook=06_02.xlsx&amp;sheet=A0&amp;row=365&amp;col=6&amp;number=&amp;sourceID=27","")</f>
        <v/>
      </c>
      <c r="G365" s="4" t="str">
        <f>HYPERLINK("http://141.218.60.56/~jnz1568/getInfo.php?workbook=06_02.xlsx&amp;sheet=A0&amp;row=365&amp;col=7&amp;number=&amp;sourceID=34","")</f>
        <v/>
      </c>
      <c r="H365" s="4" t="str">
        <f>HYPERLINK("http://141.218.60.56/~jnz1568/getInfo.php?workbook=06_02.xlsx&amp;sheet=A0&amp;row=365&amp;col=8&amp;number=&amp;sourceID=34","")</f>
        <v/>
      </c>
      <c r="I365" s="4" t="str">
        <f>HYPERLINK("http://141.218.60.56/~jnz1568/getInfo.php?workbook=06_02.xlsx&amp;sheet=A0&amp;row=365&amp;col=9&amp;number=&amp;sourceID=34","")</f>
        <v/>
      </c>
      <c r="J365" s="4" t="str">
        <f>HYPERLINK("http://141.218.60.56/~jnz1568/getInfo.php?workbook=06_02.xlsx&amp;sheet=A0&amp;row=365&amp;col=10&amp;number=&amp;sourceID=34","")</f>
        <v/>
      </c>
      <c r="K365" s="4" t="str">
        <f>HYPERLINK("http://141.218.60.56/~jnz1568/getInfo.php?workbook=06_02.xlsx&amp;sheet=A0&amp;row=365&amp;col=11&amp;number=&amp;sourceID=30","")</f>
        <v/>
      </c>
      <c r="L365" s="4" t="str">
        <f>HYPERLINK("http://141.218.60.56/~jnz1568/getInfo.php?workbook=06_02.xlsx&amp;sheet=A0&amp;row=365&amp;col=12&amp;number=&amp;sourceID=30","")</f>
        <v/>
      </c>
      <c r="M365" s="4" t="str">
        <f>HYPERLINK("http://141.218.60.56/~jnz1568/getInfo.php?workbook=06_02.xlsx&amp;sheet=A0&amp;row=365&amp;col=13&amp;number=0.01814&amp;sourceID=30","0.01814")</f>
        <v>0.01814</v>
      </c>
      <c r="N365" s="4" t="str">
        <f>HYPERLINK("http://141.218.60.56/~jnz1568/getInfo.php?workbook=06_02.xlsx&amp;sheet=A0&amp;row=365&amp;col=14&amp;number=&amp;sourceID=30","")</f>
        <v/>
      </c>
      <c r="O365" s="4" t="str">
        <f>HYPERLINK("http://141.218.60.56/~jnz1568/getInfo.php?workbook=06_02.xlsx&amp;sheet=A0&amp;row=365&amp;col=15&amp;number=&amp;sourceID=32","")</f>
        <v/>
      </c>
      <c r="P365" s="4" t="str">
        <f>HYPERLINK("http://141.218.60.56/~jnz1568/getInfo.php?workbook=06_02.xlsx&amp;sheet=A0&amp;row=365&amp;col=16&amp;number=&amp;sourceID=32","")</f>
        <v/>
      </c>
      <c r="Q365" s="4" t="str">
        <f>HYPERLINK("http://141.218.60.56/~jnz1568/getInfo.php?workbook=06_02.xlsx&amp;sheet=A0&amp;row=365&amp;col=17&amp;number=0.01445&amp;sourceID=32","0.01445")</f>
        <v>0.01445</v>
      </c>
      <c r="R365" s="4" t="str">
        <f>HYPERLINK("http://141.218.60.56/~jnz1568/getInfo.php?workbook=06_02.xlsx&amp;sheet=A0&amp;row=365&amp;col=18&amp;number=&amp;sourceID=32","")</f>
        <v/>
      </c>
    </row>
    <row r="366" spans="1:18">
      <c r="A366" s="3">
        <v>6</v>
      </c>
      <c r="B366" s="3">
        <v>2</v>
      </c>
      <c r="C366" s="3">
        <v>31</v>
      </c>
      <c r="D366" s="3">
        <v>6</v>
      </c>
      <c r="E366" s="3">
        <f>((1/(INDEX(E0!J$4:J$52,C366,1)-INDEX(E0!J$4:J$52,D366,1))))*100000000</f>
        <v>0</v>
      </c>
      <c r="F366" s="4" t="str">
        <f>HYPERLINK("http://141.218.60.56/~jnz1568/getInfo.php?workbook=06_02.xlsx&amp;sheet=A0&amp;row=366&amp;col=6&amp;number=&amp;sourceID=27","")</f>
        <v/>
      </c>
      <c r="G366" s="4" t="str">
        <f>HYPERLINK("http://141.218.60.56/~jnz1568/getInfo.php?workbook=06_02.xlsx&amp;sheet=A0&amp;row=366&amp;col=7&amp;number=&amp;sourceID=34","")</f>
        <v/>
      </c>
      <c r="H366" s="4" t="str">
        <f>HYPERLINK("http://141.218.60.56/~jnz1568/getInfo.php?workbook=06_02.xlsx&amp;sheet=A0&amp;row=366&amp;col=8&amp;number=&amp;sourceID=34","")</f>
        <v/>
      </c>
      <c r="I366" s="4" t="str">
        <f>HYPERLINK("http://141.218.60.56/~jnz1568/getInfo.php?workbook=06_02.xlsx&amp;sheet=A0&amp;row=366&amp;col=9&amp;number=&amp;sourceID=34","")</f>
        <v/>
      </c>
      <c r="J366" s="4" t="str">
        <f>HYPERLINK("http://141.218.60.56/~jnz1568/getInfo.php?workbook=06_02.xlsx&amp;sheet=A0&amp;row=366&amp;col=10&amp;number=&amp;sourceID=34","")</f>
        <v/>
      </c>
      <c r="K366" s="4" t="str">
        <f>HYPERLINK("http://141.218.60.56/~jnz1568/getInfo.php?workbook=06_02.xlsx&amp;sheet=A0&amp;row=366&amp;col=11&amp;number=&amp;sourceID=30","")</f>
        <v/>
      </c>
      <c r="L366" s="4" t="str">
        <f>HYPERLINK("http://141.218.60.56/~jnz1568/getInfo.php?workbook=06_02.xlsx&amp;sheet=A0&amp;row=366&amp;col=12&amp;number=3.181&amp;sourceID=30","3.181")</f>
        <v>3.181</v>
      </c>
      <c r="M366" s="4" t="str">
        <f>HYPERLINK("http://141.218.60.56/~jnz1568/getInfo.php?workbook=06_02.xlsx&amp;sheet=A0&amp;row=366&amp;col=13&amp;number=0.06614&amp;sourceID=30","0.06614")</f>
        <v>0.06614</v>
      </c>
      <c r="N366" s="4" t="str">
        <f>HYPERLINK("http://141.218.60.56/~jnz1568/getInfo.php?workbook=06_02.xlsx&amp;sheet=A0&amp;row=366&amp;col=14&amp;number=&amp;sourceID=30","")</f>
        <v/>
      </c>
      <c r="O366" s="4" t="str">
        <f>HYPERLINK("http://141.218.60.56/~jnz1568/getInfo.php?workbook=06_02.xlsx&amp;sheet=A0&amp;row=366&amp;col=15&amp;number=&amp;sourceID=32","")</f>
        <v/>
      </c>
      <c r="P366" s="4" t="str">
        <f>HYPERLINK("http://141.218.60.56/~jnz1568/getInfo.php?workbook=06_02.xlsx&amp;sheet=A0&amp;row=366&amp;col=16&amp;number=4.116&amp;sourceID=32","4.116")</f>
        <v>4.116</v>
      </c>
      <c r="Q366" s="4" t="str">
        <f>HYPERLINK("http://141.218.60.56/~jnz1568/getInfo.php?workbook=06_02.xlsx&amp;sheet=A0&amp;row=366&amp;col=17&amp;number=0.05384&amp;sourceID=32","0.05384")</f>
        <v>0.05384</v>
      </c>
      <c r="R366" s="4" t="str">
        <f>HYPERLINK("http://141.218.60.56/~jnz1568/getInfo.php?workbook=06_02.xlsx&amp;sheet=A0&amp;row=366&amp;col=18&amp;number=&amp;sourceID=32","")</f>
        <v/>
      </c>
    </row>
    <row r="367" spans="1:18">
      <c r="A367" s="3">
        <v>6</v>
      </c>
      <c r="B367" s="3">
        <v>2</v>
      </c>
      <c r="C367" s="3">
        <v>31</v>
      </c>
      <c r="D367" s="3">
        <v>7</v>
      </c>
      <c r="E367" s="3">
        <f>((1/(INDEX(E0!J$4:J$52,C367,1)-INDEX(E0!J$4:J$52,D367,1))))*100000000</f>
        <v>0</v>
      </c>
      <c r="F367" s="4" t="str">
        <f>HYPERLINK("http://141.218.60.56/~jnz1568/getInfo.php?workbook=06_02.xlsx&amp;sheet=A0&amp;row=367&amp;col=6&amp;number=&amp;sourceID=27","")</f>
        <v/>
      </c>
      <c r="G367" s="4" t="str">
        <f>HYPERLINK("http://141.218.60.56/~jnz1568/getInfo.php?workbook=06_02.xlsx&amp;sheet=A0&amp;row=367&amp;col=7&amp;number=&amp;sourceID=34","")</f>
        <v/>
      </c>
      <c r="H367" s="4" t="str">
        <f>HYPERLINK("http://141.218.60.56/~jnz1568/getInfo.php?workbook=06_02.xlsx&amp;sheet=A0&amp;row=367&amp;col=8&amp;number=&amp;sourceID=34","")</f>
        <v/>
      </c>
      <c r="I367" s="4" t="str">
        <f>HYPERLINK("http://141.218.60.56/~jnz1568/getInfo.php?workbook=06_02.xlsx&amp;sheet=A0&amp;row=367&amp;col=9&amp;number=&amp;sourceID=34","")</f>
        <v/>
      </c>
      <c r="J367" s="4" t="str">
        <f>HYPERLINK("http://141.218.60.56/~jnz1568/getInfo.php?workbook=06_02.xlsx&amp;sheet=A0&amp;row=367&amp;col=10&amp;number=&amp;sourceID=34","")</f>
        <v/>
      </c>
      <c r="K367" s="4" t="str">
        <f>HYPERLINK("http://141.218.60.56/~jnz1568/getInfo.php?workbook=06_02.xlsx&amp;sheet=A0&amp;row=367&amp;col=11&amp;number=&amp;sourceID=30","")</f>
        <v/>
      </c>
      <c r="L367" s="4" t="str">
        <f>HYPERLINK("http://141.218.60.56/~jnz1568/getInfo.php?workbook=06_02.xlsx&amp;sheet=A0&amp;row=367&amp;col=12&amp;number=226000&amp;sourceID=30","226000")</f>
        <v>226000</v>
      </c>
      <c r="M367" s="4" t="str">
        <f>HYPERLINK("http://141.218.60.56/~jnz1568/getInfo.php?workbook=06_02.xlsx&amp;sheet=A0&amp;row=367&amp;col=13&amp;number=0.0109&amp;sourceID=30","0.0109")</f>
        <v>0.0109</v>
      </c>
      <c r="N367" s="4" t="str">
        <f>HYPERLINK("http://141.218.60.56/~jnz1568/getInfo.php?workbook=06_02.xlsx&amp;sheet=A0&amp;row=367&amp;col=14&amp;number=&amp;sourceID=30","")</f>
        <v/>
      </c>
      <c r="O367" s="4" t="str">
        <f>HYPERLINK("http://141.218.60.56/~jnz1568/getInfo.php?workbook=06_02.xlsx&amp;sheet=A0&amp;row=367&amp;col=15&amp;number=&amp;sourceID=32","")</f>
        <v/>
      </c>
      <c r="P367" s="4" t="str">
        <f>HYPERLINK("http://141.218.60.56/~jnz1568/getInfo.php?workbook=06_02.xlsx&amp;sheet=A0&amp;row=367&amp;col=16&amp;number=157200&amp;sourceID=32","157200")</f>
        <v>157200</v>
      </c>
      <c r="Q367" s="4" t="str">
        <f>HYPERLINK("http://141.218.60.56/~jnz1568/getInfo.php?workbook=06_02.xlsx&amp;sheet=A0&amp;row=367&amp;col=17&amp;number=0.009307&amp;sourceID=32","0.009307")</f>
        <v>0.009307</v>
      </c>
      <c r="R367" s="4" t="str">
        <f>HYPERLINK("http://141.218.60.56/~jnz1568/getInfo.php?workbook=06_02.xlsx&amp;sheet=A0&amp;row=367&amp;col=18&amp;number=&amp;sourceID=32","")</f>
        <v/>
      </c>
    </row>
    <row r="368" spans="1:18">
      <c r="A368" s="3">
        <v>6</v>
      </c>
      <c r="B368" s="3">
        <v>2</v>
      </c>
      <c r="C368" s="3">
        <v>31</v>
      </c>
      <c r="D368" s="3">
        <v>8</v>
      </c>
      <c r="E368" s="3">
        <f>((1/(INDEX(E0!J$4:J$52,C368,1)-INDEX(E0!J$4:J$52,D368,1))))*100000000</f>
        <v>0</v>
      </c>
      <c r="F368" s="4" t="str">
        <f>HYPERLINK("http://141.218.60.56/~jnz1568/getInfo.php?workbook=06_02.xlsx&amp;sheet=A0&amp;row=368&amp;col=6&amp;number=&amp;sourceID=27","")</f>
        <v/>
      </c>
      <c r="G368" s="4" t="str">
        <f>HYPERLINK("http://141.218.60.56/~jnz1568/getInfo.php?workbook=06_02.xlsx&amp;sheet=A0&amp;row=368&amp;col=7&amp;number=&amp;sourceID=34","")</f>
        <v/>
      </c>
      <c r="H368" s="4" t="str">
        <f>HYPERLINK("http://141.218.60.56/~jnz1568/getInfo.php?workbook=06_02.xlsx&amp;sheet=A0&amp;row=368&amp;col=8&amp;number=&amp;sourceID=34","")</f>
        <v/>
      </c>
      <c r="I368" s="4" t="str">
        <f>HYPERLINK("http://141.218.60.56/~jnz1568/getInfo.php?workbook=06_02.xlsx&amp;sheet=A0&amp;row=368&amp;col=9&amp;number=&amp;sourceID=34","")</f>
        <v/>
      </c>
      <c r="J368" s="4" t="str">
        <f>HYPERLINK("http://141.218.60.56/~jnz1568/getInfo.php?workbook=06_02.xlsx&amp;sheet=A0&amp;row=368&amp;col=10&amp;number=&amp;sourceID=34","")</f>
        <v/>
      </c>
      <c r="K368" s="4" t="str">
        <f>HYPERLINK("http://141.218.60.56/~jnz1568/getInfo.php?workbook=06_02.xlsx&amp;sheet=A0&amp;row=368&amp;col=11&amp;number=35170&amp;sourceID=30","35170")</f>
        <v>35170</v>
      </c>
      <c r="L368" s="4" t="str">
        <f>HYPERLINK("http://141.218.60.56/~jnz1568/getInfo.php?workbook=06_02.xlsx&amp;sheet=A0&amp;row=368&amp;col=12&amp;number=&amp;sourceID=30","")</f>
        <v/>
      </c>
      <c r="M368" s="4" t="str">
        <f>HYPERLINK("http://141.218.60.56/~jnz1568/getInfo.php?workbook=06_02.xlsx&amp;sheet=A0&amp;row=368&amp;col=13&amp;number=&amp;sourceID=30","")</f>
        <v/>
      </c>
      <c r="N368" s="4" t="str">
        <f>HYPERLINK("http://141.218.60.56/~jnz1568/getInfo.php?workbook=06_02.xlsx&amp;sheet=A0&amp;row=368&amp;col=14&amp;number=0.2259&amp;sourceID=30","0.2259")</f>
        <v>0.2259</v>
      </c>
      <c r="O368" s="4" t="str">
        <f>HYPERLINK("http://141.218.60.56/~jnz1568/getInfo.php?workbook=06_02.xlsx&amp;sheet=A0&amp;row=368&amp;col=15&amp;number=41010&amp;sourceID=32","41010")</f>
        <v>41010</v>
      </c>
      <c r="P368" s="4" t="str">
        <f>HYPERLINK("http://141.218.60.56/~jnz1568/getInfo.php?workbook=06_02.xlsx&amp;sheet=A0&amp;row=368&amp;col=16&amp;number=&amp;sourceID=32","")</f>
        <v/>
      </c>
      <c r="Q368" s="4" t="str">
        <f>HYPERLINK("http://141.218.60.56/~jnz1568/getInfo.php?workbook=06_02.xlsx&amp;sheet=A0&amp;row=368&amp;col=17&amp;number=&amp;sourceID=32","")</f>
        <v/>
      </c>
      <c r="R368" s="4" t="str">
        <f>HYPERLINK("http://141.218.60.56/~jnz1568/getInfo.php?workbook=06_02.xlsx&amp;sheet=A0&amp;row=368&amp;col=18&amp;number=0.2242&amp;sourceID=32","0.2242")</f>
        <v>0.2242</v>
      </c>
    </row>
    <row r="369" spans="1:18">
      <c r="A369" s="3">
        <v>6</v>
      </c>
      <c r="B369" s="3">
        <v>2</v>
      </c>
      <c r="C369" s="3">
        <v>31</v>
      </c>
      <c r="D369" s="3">
        <v>9</v>
      </c>
      <c r="E369" s="3">
        <f>((1/(INDEX(E0!J$4:J$52,C369,1)-INDEX(E0!J$4:J$52,D369,1))))*100000000</f>
        <v>0</v>
      </c>
      <c r="F369" s="4" t="str">
        <f>HYPERLINK("http://141.218.60.56/~jnz1568/getInfo.php?workbook=06_02.xlsx&amp;sheet=A0&amp;row=369&amp;col=6&amp;number=&amp;sourceID=27","")</f>
        <v/>
      </c>
      <c r="G369" s="4" t="str">
        <f>HYPERLINK("http://141.218.60.56/~jnz1568/getInfo.php?workbook=06_02.xlsx&amp;sheet=A0&amp;row=369&amp;col=7&amp;number=1664000000&amp;sourceID=34","1664000000")</f>
        <v>1664000000</v>
      </c>
      <c r="H369" s="4" t="str">
        <f>HYPERLINK("http://141.218.60.56/~jnz1568/getInfo.php?workbook=06_02.xlsx&amp;sheet=A0&amp;row=369&amp;col=8&amp;number=&amp;sourceID=34","")</f>
        <v/>
      </c>
      <c r="I369" s="4" t="str">
        <f>HYPERLINK("http://141.218.60.56/~jnz1568/getInfo.php?workbook=06_02.xlsx&amp;sheet=A0&amp;row=369&amp;col=9&amp;number=&amp;sourceID=34","")</f>
        <v/>
      </c>
      <c r="J369" s="4" t="str">
        <f>HYPERLINK("http://141.218.60.56/~jnz1568/getInfo.php?workbook=06_02.xlsx&amp;sheet=A0&amp;row=369&amp;col=10&amp;number=&amp;sourceID=34","")</f>
        <v/>
      </c>
      <c r="K369" s="4" t="str">
        <f>HYPERLINK("http://141.218.60.56/~jnz1568/getInfo.php?workbook=06_02.xlsx&amp;sheet=A0&amp;row=369&amp;col=11&amp;number=1812000000&amp;sourceID=30","1812000000")</f>
        <v>1812000000</v>
      </c>
      <c r="L369" s="4" t="str">
        <f>HYPERLINK("http://141.218.60.56/~jnz1568/getInfo.php?workbook=06_02.xlsx&amp;sheet=A0&amp;row=369&amp;col=12&amp;number=&amp;sourceID=30","")</f>
        <v/>
      </c>
      <c r="M369" s="4" t="str">
        <f>HYPERLINK("http://141.218.60.56/~jnz1568/getInfo.php?workbook=06_02.xlsx&amp;sheet=A0&amp;row=369&amp;col=13&amp;number=&amp;sourceID=30","")</f>
        <v/>
      </c>
      <c r="N369" s="4" t="str">
        <f>HYPERLINK("http://141.218.60.56/~jnz1568/getInfo.php?workbook=06_02.xlsx&amp;sheet=A0&amp;row=369&amp;col=14&amp;number=&amp;sourceID=30","")</f>
        <v/>
      </c>
      <c r="O369" s="4" t="str">
        <f>HYPERLINK("http://141.218.60.56/~jnz1568/getInfo.php?workbook=06_02.xlsx&amp;sheet=A0&amp;row=369&amp;col=15&amp;number=1663000000&amp;sourceID=32","1663000000")</f>
        <v>1663000000</v>
      </c>
      <c r="P369" s="4" t="str">
        <f>HYPERLINK("http://141.218.60.56/~jnz1568/getInfo.php?workbook=06_02.xlsx&amp;sheet=A0&amp;row=369&amp;col=16&amp;number=&amp;sourceID=32","")</f>
        <v/>
      </c>
      <c r="Q369" s="4" t="str">
        <f>HYPERLINK("http://141.218.60.56/~jnz1568/getInfo.php?workbook=06_02.xlsx&amp;sheet=A0&amp;row=369&amp;col=17&amp;number=&amp;sourceID=32","")</f>
        <v/>
      </c>
      <c r="R369" s="4" t="str">
        <f>HYPERLINK("http://141.218.60.56/~jnz1568/getInfo.php?workbook=06_02.xlsx&amp;sheet=A0&amp;row=369&amp;col=18&amp;number=&amp;sourceID=32","")</f>
        <v/>
      </c>
    </row>
    <row r="370" spans="1:18">
      <c r="A370" s="3">
        <v>6</v>
      </c>
      <c r="B370" s="3">
        <v>2</v>
      </c>
      <c r="C370" s="3">
        <v>31</v>
      </c>
      <c r="D370" s="3">
        <v>10</v>
      </c>
      <c r="E370" s="3">
        <f>((1/(INDEX(E0!J$4:J$52,C370,1)-INDEX(E0!J$4:J$52,D370,1))))*100000000</f>
        <v>0</v>
      </c>
      <c r="F370" s="4" t="str">
        <f>HYPERLINK("http://141.218.60.56/~jnz1568/getInfo.php?workbook=06_02.xlsx&amp;sheet=A0&amp;row=370&amp;col=6&amp;number=&amp;sourceID=27","")</f>
        <v/>
      </c>
      <c r="G370" s="4" t="str">
        <f>HYPERLINK("http://141.218.60.56/~jnz1568/getInfo.php?workbook=06_02.xlsx&amp;sheet=A0&amp;row=370&amp;col=7&amp;number=&amp;sourceID=34","")</f>
        <v/>
      </c>
      <c r="H370" s="4" t="str">
        <f>HYPERLINK("http://141.218.60.56/~jnz1568/getInfo.php?workbook=06_02.xlsx&amp;sheet=A0&amp;row=370&amp;col=8&amp;number=&amp;sourceID=34","")</f>
        <v/>
      </c>
      <c r="I370" s="4" t="str">
        <f>HYPERLINK("http://141.218.60.56/~jnz1568/getInfo.php?workbook=06_02.xlsx&amp;sheet=A0&amp;row=370&amp;col=9&amp;number=&amp;sourceID=34","")</f>
        <v/>
      </c>
      <c r="J370" s="4" t="str">
        <f>HYPERLINK("http://141.218.60.56/~jnz1568/getInfo.php?workbook=06_02.xlsx&amp;sheet=A0&amp;row=370&amp;col=10&amp;number=&amp;sourceID=34","")</f>
        <v/>
      </c>
      <c r="K370" s="4" t="str">
        <f>HYPERLINK("http://141.218.60.56/~jnz1568/getInfo.php?workbook=06_02.xlsx&amp;sheet=A0&amp;row=370&amp;col=11&amp;number=&amp;sourceID=30","")</f>
        <v/>
      </c>
      <c r="L370" s="4" t="str">
        <f>HYPERLINK("http://141.218.60.56/~jnz1568/getInfo.php?workbook=06_02.xlsx&amp;sheet=A0&amp;row=370&amp;col=12&amp;number=2.637&amp;sourceID=30","2.637")</f>
        <v>2.637</v>
      </c>
      <c r="M370" s="4" t="str">
        <f>HYPERLINK("http://141.218.60.56/~jnz1568/getInfo.php?workbook=06_02.xlsx&amp;sheet=A0&amp;row=370&amp;col=13&amp;number=0.001616&amp;sourceID=30","0.001616")</f>
        <v>0.001616</v>
      </c>
      <c r="N370" s="4" t="str">
        <f>HYPERLINK("http://141.218.60.56/~jnz1568/getInfo.php?workbook=06_02.xlsx&amp;sheet=A0&amp;row=370&amp;col=14&amp;number=&amp;sourceID=30","")</f>
        <v/>
      </c>
      <c r="O370" s="4" t="str">
        <f>HYPERLINK("http://141.218.60.56/~jnz1568/getInfo.php?workbook=06_02.xlsx&amp;sheet=A0&amp;row=370&amp;col=15&amp;number=&amp;sourceID=32","")</f>
        <v/>
      </c>
      <c r="P370" s="4" t="str">
        <f>HYPERLINK("http://141.218.60.56/~jnz1568/getInfo.php?workbook=06_02.xlsx&amp;sheet=A0&amp;row=370&amp;col=16&amp;number=2.8&amp;sourceID=32","2.8")</f>
        <v>2.8</v>
      </c>
      <c r="Q370" s="4" t="str">
        <f>HYPERLINK("http://141.218.60.56/~jnz1568/getInfo.php?workbook=06_02.xlsx&amp;sheet=A0&amp;row=370&amp;col=17&amp;number=0.001495&amp;sourceID=32","0.001495")</f>
        <v>0.001495</v>
      </c>
      <c r="R370" s="4" t="str">
        <f>HYPERLINK("http://141.218.60.56/~jnz1568/getInfo.php?workbook=06_02.xlsx&amp;sheet=A0&amp;row=370&amp;col=18&amp;number=&amp;sourceID=32","")</f>
        <v/>
      </c>
    </row>
    <row r="371" spans="1:18">
      <c r="A371" s="3">
        <v>6</v>
      </c>
      <c r="B371" s="3">
        <v>2</v>
      </c>
      <c r="C371" s="3">
        <v>31</v>
      </c>
      <c r="D371" s="3">
        <v>11</v>
      </c>
      <c r="E371" s="3">
        <f>((1/(INDEX(E0!J$4:J$52,C371,1)-INDEX(E0!J$4:J$52,D371,1))))*100000000</f>
        <v>0</v>
      </c>
      <c r="F371" s="4" t="str">
        <f>HYPERLINK("http://141.218.60.56/~jnz1568/getInfo.php?workbook=06_02.xlsx&amp;sheet=A0&amp;row=371&amp;col=6&amp;number=&amp;sourceID=27","")</f>
        <v/>
      </c>
      <c r="G371" s="4" t="str">
        <f>HYPERLINK("http://141.218.60.56/~jnz1568/getInfo.php?workbook=06_02.xlsx&amp;sheet=A0&amp;row=371&amp;col=7&amp;number=&amp;sourceID=34","")</f>
        <v/>
      </c>
      <c r="H371" s="4" t="str">
        <f>HYPERLINK("http://141.218.60.56/~jnz1568/getInfo.php?workbook=06_02.xlsx&amp;sheet=A0&amp;row=371&amp;col=8&amp;number=&amp;sourceID=34","")</f>
        <v/>
      </c>
      <c r="I371" s="4" t="str">
        <f>HYPERLINK("http://141.218.60.56/~jnz1568/getInfo.php?workbook=06_02.xlsx&amp;sheet=A0&amp;row=371&amp;col=9&amp;number=&amp;sourceID=34","")</f>
        <v/>
      </c>
      <c r="J371" s="4" t="str">
        <f>HYPERLINK("http://141.218.60.56/~jnz1568/getInfo.php?workbook=06_02.xlsx&amp;sheet=A0&amp;row=371&amp;col=10&amp;number=&amp;sourceID=34","")</f>
        <v/>
      </c>
      <c r="K371" s="4" t="str">
        <f>HYPERLINK("http://141.218.60.56/~jnz1568/getInfo.php?workbook=06_02.xlsx&amp;sheet=A0&amp;row=371&amp;col=11&amp;number=&amp;sourceID=30","")</f>
        <v/>
      </c>
      <c r="L371" s="4" t="str">
        <f>HYPERLINK("http://141.218.60.56/~jnz1568/getInfo.php?workbook=06_02.xlsx&amp;sheet=A0&amp;row=371&amp;col=12&amp;number=&amp;sourceID=30","")</f>
        <v/>
      </c>
      <c r="M371" s="4" t="str">
        <f>HYPERLINK("http://141.218.60.56/~jnz1568/getInfo.php?workbook=06_02.xlsx&amp;sheet=A0&amp;row=371&amp;col=13&amp;number=0.00207&amp;sourceID=30","0.00207")</f>
        <v>0.00207</v>
      </c>
      <c r="N371" s="4" t="str">
        <f>HYPERLINK("http://141.218.60.56/~jnz1568/getInfo.php?workbook=06_02.xlsx&amp;sheet=A0&amp;row=371&amp;col=14&amp;number=&amp;sourceID=30","")</f>
        <v/>
      </c>
      <c r="O371" s="4" t="str">
        <f>HYPERLINK("http://141.218.60.56/~jnz1568/getInfo.php?workbook=06_02.xlsx&amp;sheet=A0&amp;row=371&amp;col=15&amp;number=&amp;sourceID=32","")</f>
        <v/>
      </c>
      <c r="P371" s="4" t="str">
        <f>HYPERLINK("http://141.218.60.56/~jnz1568/getInfo.php?workbook=06_02.xlsx&amp;sheet=A0&amp;row=371&amp;col=16&amp;number=&amp;sourceID=32","")</f>
        <v/>
      </c>
      <c r="Q371" s="4" t="str">
        <f>HYPERLINK("http://141.218.60.56/~jnz1568/getInfo.php?workbook=06_02.xlsx&amp;sheet=A0&amp;row=371&amp;col=17&amp;number=0.001802&amp;sourceID=32","0.001802")</f>
        <v>0.001802</v>
      </c>
      <c r="R371" s="4" t="str">
        <f>HYPERLINK("http://141.218.60.56/~jnz1568/getInfo.php?workbook=06_02.xlsx&amp;sheet=A0&amp;row=371&amp;col=18&amp;number=&amp;sourceID=32","")</f>
        <v/>
      </c>
    </row>
    <row r="372" spans="1:18">
      <c r="A372" s="3">
        <v>6</v>
      </c>
      <c r="B372" s="3">
        <v>2</v>
      </c>
      <c r="C372" s="3">
        <v>31</v>
      </c>
      <c r="D372" s="3">
        <v>12</v>
      </c>
      <c r="E372" s="3">
        <f>((1/(INDEX(E0!J$4:J$52,C372,1)-INDEX(E0!J$4:J$52,D372,1))))*100000000</f>
        <v>0</v>
      </c>
      <c r="F372" s="4" t="str">
        <f>HYPERLINK("http://141.218.60.56/~jnz1568/getInfo.php?workbook=06_02.xlsx&amp;sheet=A0&amp;row=372&amp;col=6&amp;number=&amp;sourceID=27","")</f>
        <v/>
      </c>
      <c r="G372" s="4" t="str">
        <f>HYPERLINK("http://141.218.60.56/~jnz1568/getInfo.php?workbook=06_02.xlsx&amp;sheet=A0&amp;row=372&amp;col=7&amp;number=&amp;sourceID=34","")</f>
        <v/>
      </c>
      <c r="H372" s="4" t="str">
        <f>HYPERLINK("http://141.218.60.56/~jnz1568/getInfo.php?workbook=06_02.xlsx&amp;sheet=A0&amp;row=372&amp;col=8&amp;number=&amp;sourceID=34","")</f>
        <v/>
      </c>
      <c r="I372" s="4" t="str">
        <f>HYPERLINK("http://141.218.60.56/~jnz1568/getInfo.php?workbook=06_02.xlsx&amp;sheet=A0&amp;row=372&amp;col=9&amp;number=&amp;sourceID=34","")</f>
        <v/>
      </c>
      <c r="J372" s="4" t="str">
        <f>HYPERLINK("http://141.218.60.56/~jnz1568/getInfo.php?workbook=06_02.xlsx&amp;sheet=A0&amp;row=372&amp;col=10&amp;number=&amp;sourceID=34","")</f>
        <v/>
      </c>
      <c r="K372" s="4" t="str">
        <f>HYPERLINK("http://141.218.60.56/~jnz1568/getInfo.php?workbook=06_02.xlsx&amp;sheet=A0&amp;row=372&amp;col=11&amp;number=&amp;sourceID=30","")</f>
        <v/>
      </c>
      <c r="L372" s="4" t="str">
        <f>HYPERLINK("http://141.218.60.56/~jnz1568/getInfo.php?workbook=06_02.xlsx&amp;sheet=A0&amp;row=372&amp;col=12&amp;number=0.8408&amp;sourceID=30","0.8408")</f>
        <v>0.8408</v>
      </c>
      <c r="M372" s="4" t="str">
        <f>HYPERLINK("http://141.218.60.56/~jnz1568/getInfo.php?workbook=06_02.xlsx&amp;sheet=A0&amp;row=372&amp;col=13&amp;number=0.003164&amp;sourceID=30","0.003164")</f>
        <v>0.003164</v>
      </c>
      <c r="N372" s="4" t="str">
        <f>HYPERLINK("http://141.218.60.56/~jnz1568/getInfo.php?workbook=06_02.xlsx&amp;sheet=A0&amp;row=372&amp;col=14&amp;number=&amp;sourceID=30","")</f>
        <v/>
      </c>
      <c r="O372" s="4" t="str">
        <f>HYPERLINK("http://141.218.60.56/~jnz1568/getInfo.php?workbook=06_02.xlsx&amp;sheet=A0&amp;row=372&amp;col=15&amp;number=&amp;sourceID=32","")</f>
        <v/>
      </c>
      <c r="P372" s="4" t="str">
        <f>HYPERLINK("http://141.218.60.56/~jnz1568/getInfo.php?workbook=06_02.xlsx&amp;sheet=A0&amp;row=372&amp;col=16&amp;number=0.9503&amp;sourceID=32","0.9503")</f>
        <v>0.9503</v>
      </c>
      <c r="Q372" s="4" t="str">
        <f>HYPERLINK("http://141.218.60.56/~jnz1568/getInfo.php?workbook=06_02.xlsx&amp;sheet=A0&amp;row=372&amp;col=17&amp;number=0.002753&amp;sourceID=32","0.002753")</f>
        <v>0.002753</v>
      </c>
      <c r="R372" s="4" t="str">
        <f>HYPERLINK("http://141.218.60.56/~jnz1568/getInfo.php?workbook=06_02.xlsx&amp;sheet=A0&amp;row=372&amp;col=18&amp;number=&amp;sourceID=32","")</f>
        <v/>
      </c>
    </row>
    <row r="373" spans="1:18">
      <c r="A373" s="3">
        <v>6</v>
      </c>
      <c r="B373" s="3">
        <v>2</v>
      </c>
      <c r="C373" s="3">
        <v>31</v>
      </c>
      <c r="D373" s="3">
        <v>13</v>
      </c>
      <c r="E373" s="3">
        <f>((1/(INDEX(E0!J$4:J$52,C373,1)-INDEX(E0!J$4:J$52,D373,1))))*100000000</f>
        <v>0</v>
      </c>
      <c r="F373" s="4" t="str">
        <f>HYPERLINK("http://141.218.60.56/~jnz1568/getInfo.php?workbook=06_02.xlsx&amp;sheet=A0&amp;row=373&amp;col=6&amp;number=&amp;sourceID=27","")</f>
        <v/>
      </c>
      <c r="G373" s="4" t="str">
        <f>HYPERLINK("http://141.218.60.56/~jnz1568/getInfo.php?workbook=06_02.xlsx&amp;sheet=A0&amp;row=373&amp;col=7&amp;number=&amp;sourceID=34","")</f>
        <v/>
      </c>
      <c r="H373" s="4" t="str">
        <f>HYPERLINK("http://141.218.60.56/~jnz1568/getInfo.php?workbook=06_02.xlsx&amp;sheet=A0&amp;row=373&amp;col=8&amp;number=&amp;sourceID=34","")</f>
        <v/>
      </c>
      <c r="I373" s="4" t="str">
        <f>HYPERLINK("http://141.218.60.56/~jnz1568/getInfo.php?workbook=06_02.xlsx&amp;sheet=A0&amp;row=373&amp;col=9&amp;number=&amp;sourceID=34","")</f>
        <v/>
      </c>
      <c r="J373" s="4" t="str">
        <f>HYPERLINK("http://141.218.60.56/~jnz1568/getInfo.php?workbook=06_02.xlsx&amp;sheet=A0&amp;row=373&amp;col=10&amp;number=&amp;sourceID=34","")</f>
        <v/>
      </c>
      <c r="K373" s="4" t="str">
        <f>HYPERLINK("http://141.218.60.56/~jnz1568/getInfo.php?workbook=06_02.xlsx&amp;sheet=A0&amp;row=373&amp;col=11&amp;number=1275&amp;sourceID=30","1275")</f>
        <v>1275</v>
      </c>
      <c r="L373" s="4" t="str">
        <f>HYPERLINK("http://141.218.60.56/~jnz1568/getInfo.php?workbook=06_02.xlsx&amp;sheet=A0&amp;row=373&amp;col=12&amp;number=&amp;sourceID=30","")</f>
        <v/>
      </c>
      <c r="M373" s="4" t="str">
        <f>HYPERLINK("http://141.218.60.56/~jnz1568/getInfo.php?workbook=06_02.xlsx&amp;sheet=A0&amp;row=373&amp;col=13&amp;number=&amp;sourceID=30","")</f>
        <v/>
      </c>
      <c r="N373" s="4" t="str">
        <f>HYPERLINK("http://141.218.60.56/~jnz1568/getInfo.php?workbook=06_02.xlsx&amp;sheet=A0&amp;row=373&amp;col=14&amp;number=0.0002457&amp;sourceID=30","0.0002457")</f>
        <v>0.0002457</v>
      </c>
      <c r="O373" s="4" t="str">
        <f>HYPERLINK("http://141.218.60.56/~jnz1568/getInfo.php?workbook=06_02.xlsx&amp;sheet=A0&amp;row=373&amp;col=15&amp;number=1508&amp;sourceID=32","1508")</f>
        <v>1508</v>
      </c>
      <c r="P373" s="4" t="str">
        <f>HYPERLINK("http://141.218.60.56/~jnz1568/getInfo.php?workbook=06_02.xlsx&amp;sheet=A0&amp;row=373&amp;col=16&amp;number=&amp;sourceID=32","")</f>
        <v/>
      </c>
      <c r="Q373" s="4" t="str">
        <f>HYPERLINK("http://141.218.60.56/~jnz1568/getInfo.php?workbook=06_02.xlsx&amp;sheet=A0&amp;row=373&amp;col=17&amp;number=&amp;sourceID=32","")</f>
        <v/>
      </c>
      <c r="R373" s="4" t="str">
        <f>HYPERLINK("http://141.218.60.56/~jnz1568/getInfo.php?workbook=06_02.xlsx&amp;sheet=A0&amp;row=373&amp;col=18&amp;number=0.0002506&amp;sourceID=32","0.0002506")</f>
        <v>0.0002506</v>
      </c>
    </row>
    <row r="374" spans="1:18">
      <c r="A374" s="3">
        <v>6</v>
      </c>
      <c r="B374" s="3">
        <v>2</v>
      </c>
      <c r="C374" s="3">
        <v>31</v>
      </c>
      <c r="D374" s="3">
        <v>14</v>
      </c>
      <c r="E374" s="3">
        <f>((1/(INDEX(E0!J$4:J$52,C374,1)-INDEX(E0!J$4:J$52,D374,1))))*100000000</f>
        <v>0</v>
      </c>
      <c r="F374" s="4" t="str">
        <f>HYPERLINK("http://141.218.60.56/~jnz1568/getInfo.php?workbook=06_02.xlsx&amp;sheet=A0&amp;row=374&amp;col=6&amp;number=&amp;sourceID=27","")</f>
        <v/>
      </c>
      <c r="G374" s="4" t="str">
        <f>HYPERLINK("http://141.218.60.56/~jnz1568/getInfo.php?workbook=06_02.xlsx&amp;sheet=A0&amp;row=374&amp;col=7&amp;number=&amp;sourceID=34","")</f>
        <v/>
      </c>
      <c r="H374" s="4" t="str">
        <f>HYPERLINK("http://141.218.60.56/~jnz1568/getInfo.php?workbook=06_02.xlsx&amp;sheet=A0&amp;row=374&amp;col=8&amp;number=&amp;sourceID=34","")</f>
        <v/>
      </c>
      <c r="I374" s="4" t="str">
        <f>HYPERLINK("http://141.218.60.56/~jnz1568/getInfo.php?workbook=06_02.xlsx&amp;sheet=A0&amp;row=374&amp;col=9&amp;number=&amp;sourceID=34","")</f>
        <v/>
      </c>
      <c r="J374" s="4" t="str">
        <f>HYPERLINK("http://141.218.60.56/~jnz1568/getInfo.php?workbook=06_02.xlsx&amp;sheet=A0&amp;row=374&amp;col=10&amp;number=&amp;sourceID=34","")</f>
        <v/>
      </c>
      <c r="K374" s="4" t="str">
        <f>HYPERLINK("http://141.218.60.56/~jnz1568/getInfo.php?workbook=06_02.xlsx&amp;sheet=A0&amp;row=374&amp;col=11&amp;number=504300&amp;sourceID=30","504300")</f>
        <v>504300</v>
      </c>
      <c r="L374" s="4" t="str">
        <f>HYPERLINK("http://141.218.60.56/~jnz1568/getInfo.php?workbook=06_02.xlsx&amp;sheet=A0&amp;row=374&amp;col=12&amp;number=&amp;sourceID=30","")</f>
        <v/>
      </c>
      <c r="M374" s="4" t="str">
        <f>HYPERLINK("http://141.218.60.56/~jnz1568/getInfo.php?workbook=06_02.xlsx&amp;sheet=A0&amp;row=374&amp;col=13&amp;number=&amp;sourceID=30","")</f>
        <v/>
      </c>
      <c r="N374" s="4" t="str">
        <f>HYPERLINK("http://141.218.60.56/~jnz1568/getInfo.php?workbook=06_02.xlsx&amp;sheet=A0&amp;row=374&amp;col=14&amp;number=0.003151&amp;sourceID=30","0.003151")</f>
        <v>0.003151</v>
      </c>
      <c r="O374" s="4" t="str">
        <f>HYPERLINK("http://141.218.60.56/~jnz1568/getInfo.php?workbook=06_02.xlsx&amp;sheet=A0&amp;row=374&amp;col=15&amp;number=705500&amp;sourceID=32","705500")</f>
        <v>705500</v>
      </c>
      <c r="P374" s="4" t="str">
        <f>HYPERLINK("http://141.218.60.56/~jnz1568/getInfo.php?workbook=06_02.xlsx&amp;sheet=A0&amp;row=374&amp;col=16&amp;number=&amp;sourceID=32","")</f>
        <v/>
      </c>
      <c r="Q374" s="4" t="str">
        <f>HYPERLINK("http://141.218.60.56/~jnz1568/getInfo.php?workbook=06_02.xlsx&amp;sheet=A0&amp;row=374&amp;col=17&amp;number=&amp;sourceID=32","")</f>
        <v/>
      </c>
      <c r="R374" s="4" t="str">
        <f>HYPERLINK("http://141.218.60.56/~jnz1568/getInfo.php?workbook=06_02.xlsx&amp;sheet=A0&amp;row=374&amp;col=18&amp;number=0.003115&amp;sourceID=32","0.003115")</f>
        <v>0.003115</v>
      </c>
    </row>
    <row r="375" spans="1:18">
      <c r="A375" s="3">
        <v>6</v>
      </c>
      <c r="B375" s="3">
        <v>2</v>
      </c>
      <c r="C375" s="3">
        <v>31</v>
      </c>
      <c r="D375" s="3">
        <v>15</v>
      </c>
      <c r="E375" s="3">
        <f>((1/(INDEX(E0!J$4:J$52,C375,1)-INDEX(E0!J$4:J$52,D375,1))))*100000000</f>
        <v>0</v>
      </c>
      <c r="F375" s="4" t="str">
        <f>HYPERLINK("http://141.218.60.56/~jnz1568/getInfo.php?workbook=06_02.xlsx&amp;sheet=A0&amp;row=375&amp;col=6&amp;number=&amp;sourceID=27","")</f>
        <v/>
      </c>
      <c r="G375" s="4" t="str">
        <f>HYPERLINK("http://141.218.60.56/~jnz1568/getInfo.php?workbook=06_02.xlsx&amp;sheet=A0&amp;row=375&amp;col=7&amp;number=&amp;sourceID=34","")</f>
        <v/>
      </c>
      <c r="H375" s="4" t="str">
        <f>HYPERLINK("http://141.218.60.56/~jnz1568/getInfo.php?workbook=06_02.xlsx&amp;sheet=A0&amp;row=375&amp;col=8&amp;number=&amp;sourceID=34","")</f>
        <v/>
      </c>
      <c r="I375" s="4" t="str">
        <f>HYPERLINK("http://141.218.60.56/~jnz1568/getInfo.php?workbook=06_02.xlsx&amp;sheet=A0&amp;row=375&amp;col=9&amp;number=&amp;sourceID=34","")</f>
        <v/>
      </c>
      <c r="J375" s="4" t="str">
        <f>HYPERLINK("http://141.218.60.56/~jnz1568/getInfo.php?workbook=06_02.xlsx&amp;sheet=A0&amp;row=375&amp;col=10&amp;number=&amp;sourceID=34","")</f>
        <v/>
      </c>
      <c r="K375" s="4" t="str">
        <f>HYPERLINK("http://141.218.60.56/~jnz1568/getInfo.php?workbook=06_02.xlsx&amp;sheet=A0&amp;row=375&amp;col=11&amp;number=&amp;sourceID=30","")</f>
        <v/>
      </c>
      <c r="L375" s="4" t="str">
        <f>HYPERLINK("http://141.218.60.56/~jnz1568/getInfo.php?workbook=06_02.xlsx&amp;sheet=A0&amp;row=375&amp;col=12&amp;number=&amp;sourceID=30","")</f>
        <v/>
      </c>
      <c r="M375" s="4" t="str">
        <f>HYPERLINK("http://141.218.60.56/~jnz1568/getInfo.php?workbook=06_02.xlsx&amp;sheet=A0&amp;row=375&amp;col=13&amp;number=&amp;sourceID=30","")</f>
        <v/>
      </c>
      <c r="N375" s="4" t="str">
        <f>HYPERLINK("http://141.218.60.56/~jnz1568/getInfo.php?workbook=06_02.xlsx&amp;sheet=A0&amp;row=375&amp;col=14&amp;number=0.021&amp;sourceID=30","0.021")</f>
        <v>0.021</v>
      </c>
      <c r="O375" s="4" t="str">
        <f>HYPERLINK("http://141.218.60.56/~jnz1568/getInfo.php?workbook=06_02.xlsx&amp;sheet=A0&amp;row=375&amp;col=15&amp;number=&amp;sourceID=32","")</f>
        <v/>
      </c>
      <c r="P375" s="4" t="str">
        <f>HYPERLINK("http://141.218.60.56/~jnz1568/getInfo.php?workbook=06_02.xlsx&amp;sheet=A0&amp;row=375&amp;col=16&amp;number=&amp;sourceID=32","")</f>
        <v/>
      </c>
      <c r="Q375" s="4" t="str">
        <f>HYPERLINK("http://141.218.60.56/~jnz1568/getInfo.php?workbook=06_02.xlsx&amp;sheet=A0&amp;row=375&amp;col=17&amp;number=&amp;sourceID=32","")</f>
        <v/>
      </c>
      <c r="R375" s="4" t="str">
        <f>HYPERLINK("http://141.218.60.56/~jnz1568/getInfo.php?workbook=06_02.xlsx&amp;sheet=A0&amp;row=375&amp;col=18&amp;number=0.02144&amp;sourceID=32","0.02144")</f>
        <v>0.02144</v>
      </c>
    </row>
    <row r="376" spans="1:18">
      <c r="A376" s="3">
        <v>6</v>
      </c>
      <c r="B376" s="3">
        <v>2</v>
      </c>
      <c r="C376" s="3">
        <v>31</v>
      </c>
      <c r="D376" s="3">
        <v>16</v>
      </c>
      <c r="E376" s="3">
        <f>((1/(INDEX(E0!J$4:J$52,C376,1)-INDEX(E0!J$4:J$52,D376,1))))*100000000</f>
        <v>0</v>
      </c>
      <c r="F376" s="4" t="str">
        <f>HYPERLINK("http://141.218.60.56/~jnz1568/getInfo.php?workbook=06_02.xlsx&amp;sheet=A0&amp;row=376&amp;col=6&amp;number=&amp;sourceID=27","")</f>
        <v/>
      </c>
      <c r="G376" s="4" t="str">
        <f>HYPERLINK("http://141.218.60.56/~jnz1568/getInfo.php?workbook=06_02.xlsx&amp;sheet=A0&amp;row=376&amp;col=7&amp;number=195600000&amp;sourceID=34","195600000")</f>
        <v>195600000</v>
      </c>
      <c r="H376" s="4" t="str">
        <f>HYPERLINK("http://141.218.60.56/~jnz1568/getInfo.php?workbook=06_02.xlsx&amp;sheet=A0&amp;row=376&amp;col=8&amp;number=&amp;sourceID=34","")</f>
        <v/>
      </c>
      <c r="I376" s="4" t="str">
        <f>HYPERLINK("http://141.218.60.56/~jnz1568/getInfo.php?workbook=06_02.xlsx&amp;sheet=A0&amp;row=376&amp;col=9&amp;number=&amp;sourceID=34","")</f>
        <v/>
      </c>
      <c r="J376" s="4" t="str">
        <f>HYPERLINK("http://141.218.60.56/~jnz1568/getInfo.php?workbook=06_02.xlsx&amp;sheet=A0&amp;row=376&amp;col=10&amp;number=&amp;sourceID=34","")</f>
        <v/>
      </c>
      <c r="K376" s="4" t="str">
        <f>HYPERLINK("http://141.218.60.56/~jnz1568/getInfo.php?workbook=06_02.xlsx&amp;sheet=A0&amp;row=376&amp;col=11&amp;number=193000000&amp;sourceID=30","193000000")</f>
        <v>193000000</v>
      </c>
      <c r="L376" s="4" t="str">
        <f>HYPERLINK("http://141.218.60.56/~jnz1568/getInfo.php?workbook=06_02.xlsx&amp;sheet=A0&amp;row=376&amp;col=12&amp;number=&amp;sourceID=30","")</f>
        <v/>
      </c>
      <c r="M376" s="4" t="str">
        <f>HYPERLINK("http://141.218.60.56/~jnz1568/getInfo.php?workbook=06_02.xlsx&amp;sheet=A0&amp;row=376&amp;col=13&amp;number=&amp;sourceID=30","")</f>
        <v/>
      </c>
      <c r="N376" s="4" t="str">
        <f>HYPERLINK("http://141.218.60.56/~jnz1568/getInfo.php?workbook=06_02.xlsx&amp;sheet=A0&amp;row=376&amp;col=14&amp;number=0.0111&amp;sourceID=30","0.0111")</f>
        <v>0.0111</v>
      </c>
      <c r="O376" s="4" t="str">
        <f>HYPERLINK("http://141.218.60.56/~jnz1568/getInfo.php?workbook=06_02.xlsx&amp;sheet=A0&amp;row=376&amp;col=15&amp;number=194400000&amp;sourceID=32","194400000")</f>
        <v>194400000</v>
      </c>
      <c r="P376" s="4" t="str">
        <f>HYPERLINK("http://141.218.60.56/~jnz1568/getInfo.php?workbook=06_02.xlsx&amp;sheet=A0&amp;row=376&amp;col=16&amp;number=&amp;sourceID=32","")</f>
        <v/>
      </c>
      <c r="Q376" s="4" t="str">
        <f>HYPERLINK("http://141.218.60.56/~jnz1568/getInfo.php?workbook=06_02.xlsx&amp;sheet=A0&amp;row=376&amp;col=17&amp;number=&amp;sourceID=32","")</f>
        <v/>
      </c>
      <c r="R376" s="4" t="str">
        <f>HYPERLINK("http://141.218.60.56/~jnz1568/getInfo.php?workbook=06_02.xlsx&amp;sheet=A0&amp;row=376&amp;col=18&amp;number=0.01129&amp;sourceID=32","0.01129")</f>
        <v>0.01129</v>
      </c>
    </row>
    <row r="377" spans="1:18">
      <c r="A377" s="3">
        <v>6</v>
      </c>
      <c r="B377" s="3">
        <v>2</v>
      </c>
      <c r="C377" s="3">
        <v>31</v>
      </c>
      <c r="D377" s="3">
        <v>17</v>
      </c>
      <c r="E377" s="3">
        <f>((1/(INDEX(E0!J$4:J$52,C377,1)-INDEX(E0!J$4:J$52,D377,1))))*100000000</f>
        <v>0</v>
      </c>
      <c r="F377" s="4" t="str">
        <f>HYPERLINK("http://141.218.60.56/~jnz1568/getInfo.php?workbook=06_02.xlsx&amp;sheet=A0&amp;row=377&amp;col=6&amp;number=&amp;sourceID=27","")</f>
        <v/>
      </c>
      <c r="G377" s="4" t="str">
        <f>HYPERLINK("http://141.218.60.56/~jnz1568/getInfo.php?workbook=06_02.xlsx&amp;sheet=A0&amp;row=377&amp;col=7&amp;number=&amp;sourceID=34","")</f>
        <v/>
      </c>
      <c r="H377" s="4" t="str">
        <f>HYPERLINK("http://141.218.60.56/~jnz1568/getInfo.php?workbook=06_02.xlsx&amp;sheet=A0&amp;row=377&amp;col=8&amp;number=&amp;sourceID=34","")</f>
        <v/>
      </c>
      <c r="I377" s="4" t="str">
        <f>HYPERLINK("http://141.218.60.56/~jnz1568/getInfo.php?workbook=06_02.xlsx&amp;sheet=A0&amp;row=377&amp;col=9&amp;number=&amp;sourceID=34","")</f>
        <v/>
      </c>
      <c r="J377" s="4" t="str">
        <f>HYPERLINK("http://141.218.60.56/~jnz1568/getInfo.php?workbook=06_02.xlsx&amp;sheet=A0&amp;row=377&amp;col=10&amp;number=&amp;sourceID=34","")</f>
        <v/>
      </c>
      <c r="K377" s="4" t="str">
        <f>HYPERLINK("http://141.218.60.56/~jnz1568/getInfo.php?workbook=06_02.xlsx&amp;sheet=A0&amp;row=377&amp;col=11&amp;number=&amp;sourceID=30","")</f>
        <v/>
      </c>
      <c r="L377" s="4" t="str">
        <f>HYPERLINK("http://141.218.60.56/~jnz1568/getInfo.php?workbook=06_02.xlsx&amp;sheet=A0&amp;row=377&amp;col=12&amp;number=40720&amp;sourceID=30","40720")</f>
        <v>40720</v>
      </c>
      <c r="M377" s="4" t="str">
        <f>HYPERLINK("http://141.218.60.56/~jnz1568/getInfo.php?workbook=06_02.xlsx&amp;sheet=A0&amp;row=377&amp;col=13&amp;number=0.000198&amp;sourceID=30","0.000198")</f>
        <v>0.000198</v>
      </c>
      <c r="N377" s="4" t="str">
        <f>HYPERLINK("http://141.218.60.56/~jnz1568/getInfo.php?workbook=06_02.xlsx&amp;sheet=A0&amp;row=377&amp;col=14&amp;number=&amp;sourceID=30","")</f>
        <v/>
      </c>
      <c r="O377" s="4" t="str">
        <f>HYPERLINK("http://141.218.60.56/~jnz1568/getInfo.php?workbook=06_02.xlsx&amp;sheet=A0&amp;row=377&amp;col=15&amp;number=&amp;sourceID=32","")</f>
        <v/>
      </c>
      <c r="P377" s="4" t="str">
        <f>HYPERLINK("http://141.218.60.56/~jnz1568/getInfo.php?workbook=06_02.xlsx&amp;sheet=A0&amp;row=377&amp;col=16&amp;number=39170&amp;sourceID=32","39170")</f>
        <v>39170</v>
      </c>
      <c r="Q377" s="4" t="str">
        <f>HYPERLINK("http://141.218.60.56/~jnz1568/getInfo.php?workbook=06_02.xlsx&amp;sheet=A0&amp;row=377&amp;col=17&amp;number=0.0001609&amp;sourceID=32","0.0001609")</f>
        <v>0.0001609</v>
      </c>
      <c r="R377" s="4" t="str">
        <f>HYPERLINK("http://141.218.60.56/~jnz1568/getInfo.php?workbook=06_02.xlsx&amp;sheet=A0&amp;row=377&amp;col=18&amp;number=&amp;sourceID=32","")</f>
        <v/>
      </c>
    </row>
    <row r="378" spans="1:18">
      <c r="A378" s="3">
        <v>6</v>
      </c>
      <c r="B378" s="3">
        <v>2</v>
      </c>
      <c r="C378" s="3">
        <v>31</v>
      </c>
      <c r="D378" s="3">
        <v>18</v>
      </c>
      <c r="E378" s="3">
        <f>((1/(INDEX(E0!J$4:J$52,C378,1)-INDEX(E0!J$4:J$52,D378,1))))*100000000</f>
        <v>0</v>
      </c>
      <c r="F378" s="4" t="str">
        <f>HYPERLINK("http://141.218.60.56/~jnz1568/getInfo.php?workbook=06_02.xlsx&amp;sheet=A0&amp;row=378&amp;col=6&amp;number=&amp;sourceID=27","")</f>
        <v/>
      </c>
      <c r="G378" s="4" t="str">
        <f>HYPERLINK("http://141.218.60.56/~jnz1568/getInfo.php?workbook=06_02.xlsx&amp;sheet=A0&amp;row=378&amp;col=7&amp;number=&amp;sourceID=34","")</f>
        <v/>
      </c>
      <c r="H378" s="4" t="str">
        <f>HYPERLINK("http://141.218.60.56/~jnz1568/getInfo.php?workbook=06_02.xlsx&amp;sheet=A0&amp;row=378&amp;col=8&amp;number=&amp;sourceID=34","")</f>
        <v/>
      </c>
      <c r="I378" s="4" t="str">
        <f>HYPERLINK("http://141.218.60.56/~jnz1568/getInfo.php?workbook=06_02.xlsx&amp;sheet=A0&amp;row=378&amp;col=9&amp;number=&amp;sourceID=34","")</f>
        <v/>
      </c>
      <c r="J378" s="4" t="str">
        <f>HYPERLINK("http://141.218.60.56/~jnz1568/getInfo.php?workbook=06_02.xlsx&amp;sheet=A0&amp;row=378&amp;col=10&amp;number=&amp;sourceID=34","")</f>
        <v/>
      </c>
      <c r="K378" s="4" t="str">
        <f>HYPERLINK("http://141.218.60.56/~jnz1568/getInfo.php?workbook=06_02.xlsx&amp;sheet=A0&amp;row=378&amp;col=11&amp;number=247.7&amp;sourceID=30","247.7")</f>
        <v>247.7</v>
      </c>
      <c r="L378" s="4" t="str">
        <f>HYPERLINK("http://141.218.60.56/~jnz1568/getInfo.php?workbook=06_02.xlsx&amp;sheet=A0&amp;row=378&amp;col=12&amp;number=&amp;sourceID=30","")</f>
        <v/>
      </c>
      <c r="M378" s="4" t="str">
        <f>HYPERLINK("http://141.218.60.56/~jnz1568/getInfo.php?workbook=06_02.xlsx&amp;sheet=A0&amp;row=378&amp;col=13&amp;number=&amp;sourceID=30","")</f>
        <v/>
      </c>
      <c r="N378" s="4" t="str">
        <f>HYPERLINK("http://141.218.60.56/~jnz1568/getInfo.php?workbook=06_02.xlsx&amp;sheet=A0&amp;row=378&amp;col=14&amp;number=4.626e-06&amp;sourceID=30","4.626e-06")</f>
        <v>4.626e-06</v>
      </c>
      <c r="O378" s="4" t="str">
        <f>HYPERLINK("http://141.218.60.56/~jnz1568/getInfo.php?workbook=06_02.xlsx&amp;sheet=A0&amp;row=378&amp;col=15&amp;number=239.8&amp;sourceID=32","239.8")</f>
        <v>239.8</v>
      </c>
      <c r="P378" s="4" t="str">
        <f>HYPERLINK("http://141.218.60.56/~jnz1568/getInfo.php?workbook=06_02.xlsx&amp;sheet=A0&amp;row=378&amp;col=16&amp;number=&amp;sourceID=32","")</f>
        <v/>
      </c>
      <c r="Q378" s="4" t="str">
        <f>HYPERLINK("http://141.218.60.56/~jnz1568/getInfo.php?workbook=06_02.xlsx&amp;sheet=A0&amp;row=378&amp;col=17&amp;number=&amp;sourceID=32","")</f>
        <v/>
      </c>
      <c r="R378" s="4" t="str">
        <f>HYPERLINK("http://141.218.60.56/~jnz1568/getInfo.php?workbook=06_02.xlsx&amp;sheet=A0&amp;row=378&amp;col=18&amp;number=3.77e-06&amp;sourceID=32","3.77e-06")</f>
        <v>3.77e-06</v>
      </c>
    </row>
    <row r="379" spans="1:18">
      <c r="A379" s="3">
        <v>6</v>
      </c>
      <c r="B379" s="3">
        <v>2</v>
      </c>
      <c r="C379" s="3">
        <v>31</v>
      </c>
      <c r="D379" s="3">
        <v>19</v>
      </c>
      <c r="E379" s="3">
        <f>((1/(INDEX(E0!J$4:J$52,C379,1)-INDEX(E0!J$4:J$52,D379,1))))*100000000</f>
        <v>0</v>
      </c>
      <c r="F379" s="4" t="str">
        <f>HYPERLINK("http://141.218.60.56/~jnz1568/getInfo.php?workbook=06_02.xlsx&amp;sheet=A0&amp;row=379&amp;col=6&amp;number=&amp;sourceID=27","")</f>
        <v/>
      </c>
      <c r="G379" s="4" t="str">
        <f>HYPERLINK("http://141.218.60.56/~jnz1568/getInfo.php?workbook=06_02.xlsx&amp;sheet=A0&amp;row=379&amp;col=7&amp;number=&amp;sourceID=34","")</f>
        <v/>
      </c>
      <c r="H379" s="4" t="str">
        <f>HYPERLINK("http://141.218.60.56/~jnz1568/getInfo.php?workbook=06_02.xlsx&amp;sheet=A0&amp;row=379&amp;col=8&amp;number=&amp;sourceID=34","")</f>
        <v/>
      </c>
      <c r="I379" s="4" t="str">
        <f>HYPERLINK("http://141.218.60.56/~jnz1568/getInfo.php?workbook=06_02.xlsx&amp;sheet=A0&amp;row=379&amp;col=9&amp;number=&amp;sourceID=34","")</f>
        <v/>
      </c>
      <c r="J379" s="4" t="str">
        <f>HYPERLINK("http://141.218.60.56/~jnz1568/getInfo.php?workbook=06_02.xlsx&amp;sheet=A0&amp;row=379&amp;col=10&amp;number=&amp;sourceID=34","")</f>
        <v/>
      </c>
      <c r="K379" s="4" t="str">
        <f>HYPERLINK("http://141.218.60.56/~jnz1568/getInfo.php?workbook=06_02.xlsx&amp;sheet=A0&amp;row=379&amp;col=11&amp;number=384200&amp;sourceID=30","384200")</f>
        <v>384200</v>
      </c>
      <c r="L379" s="4" t="str">
        <f>HYPERLINK("http://141.218.60.56/~jnz1568/getInfo.php?workbook=06_02.xlsx&amp;sheet=A0&amp;row=379&amp;col=12&amp;number=&amp;sourceID=30","")</f>
        <v/>
      </c>
      <c r="M379" s="4" t="str">
        <f>HYPERLINK("http://141.218.60.56/~jnz1568/getInfo.php?workbook=06_02.xlsx&amp;sheet=A0&amp;row=379&amp;col=13&amp;number=&amp;sourceID=30","")</f>
        <v/>
      </c>
      <c r="N379" s="4" t="str">
        <f>HYPERLINK("http://141.218.60.56/~jnz1568/getInfo.php?workbook=06_02.xlsx&amp;sheet=A0&amp;row=379&amp;col=14&amp;number=&amp;sourceID=30","")</f>
        <v/>
      </c>
      <c r="O379" s="4" t="str">
        <f>HYPERLINK("http://141.218.60.56/~jnz1568/getInfo.php?workbook=06_02.xlsx&amp;sheet=A0&amp;row=379&amp;col=15&amp;number=593800&amp;sourceID=32","593800")</f>
        <v>593800</v>
      </c>
      <c r="P379" s="4" t="str">
        <f>HYPERLINK("http://141.218.60.56/~jnz1568/getInfo.php?workbook=06_02.xlsx&amp;sheet=A0&amp;row=379&amp;col=16&amp;number=&amp;sourceID=32","")</f>
        <v/>
      </c>
      <c r="Q379" s="4" t="str">
        <f>HYPERLINK("http://141.218.60.56/~jnz1568/getInfo.php?workbook=06_02.xlsx&amp;sheet=A0&amp;row=379&amp;col=17&amp;number=&amp;sourceID=32","")</f>
        <v/>
      </c>
      <c r="R379" s="4" t="str">
        <f>HYPERLINK("http://141.218.60.56/~jnz1568/getInfo.php?workbook=06_02.xlsx&amp;sheet=A0&amp;row=379&amp;col=18&amp;number=&amp;sourceID=32","")</f>
        <v/>
      </c>
    </row>
    <row r="380" spans="1:18">
      <c r="A380" s="3">
        <v>6</v>
      </c>
      <c r="B380" s="3">
        <v>2</v>
      </c>
      <c r="C380" s="3">
        <v>31</v>
      </c>
      <c r="D380" s="3">
        <v>20</v>
      </c>
      <c r="E380" s="3">
        <f>((1/(INDEX(E0!J$4:J$52,C380,1)-INDEX(E0!J$4:J$52,D380,1))))*100000000</f>
        <v>0</v>
      </c>
      <c r="F380" s="4" t="str">
        <f>HYPERLINK("http://141.218.60.56/~jnz1568/getInfo.php?workbook=06_02.xlsx&amp;sheet=A0&amp;row=380&amp;col=6&amp;number=&amp;sourceID=27","")</f>
        <v/>
      </c>
      <c r="G380" s="4" t="str">
        <f>HYPERLINK("http://141.218.60.56/~jnz1568/getInfo.php?workbook=06_02.xlsx&amp;sheet=A0&amp;row=380&amp;col=7&amp;number=&amp;sourceID=34","")</f>
        <v/>
      </c>
      <c r="H380" s="4" t="str">
        <f>HYPERLINK("http://141.218.60.56/~jnz1568/getInfo.php?workbook=06_02.xlsx&amp;sheet=A0&amp;row=380&amp;col=8&amp;number=&amp;sourceID=34","")</f>
        <v/>
      </c>
      <c r="I380" s="4" t="str">
        <f>HYPERLINK("http://141.218.60.56/~jnz1568/getInfo.php?workbook=06_02.xlsx&amp;sheet=A0&amp;row=380&amp;col=9&amp;number=&amp;sourceID=34","")</f>
        <v/>
      </c>
      <c r="J380" s="4" t="str">
        <f>HYPERLINK("http://141.218.60.56/~jnz1568/getInfo.php?workbook=06_02.xlsx&amp;sheet=A0&amp;row=380&amp;col=10&amp;number=&amp;sourceID=34","")</f>
        <v/>
      </c>
      <c r="K380" s="4" t="str">
        <f>HYPERLINK("http://141.218.60.56/~jnz1568/getInfo.php?workbook=06_02.xlsx&amp;sheet=A0&amp;row=380&amp;col=11&amp;number=&amp;sourceID=30","")</f>
        <v/>
      </c>
      <c r="L380" s="4" t="str">
        <f>HYPERLINK("http://141.218.60.56/~jnz1568/getInfo.php?workbook=06_02.xlsx&amp;sheet=A0&amp;row=380&amp;col=12&amp;number=&amp;sourceID=30","")</f>
        <v/>
      </c>
      <c r="M380" s="4" t="str">
        <f>HYPERLINK("http://141.218.60.56/~jnz1568/getInfo.php?workbook=06_02.xlsx&amp;sheet=A0&amp;row=380&amp;col=13&amp;number=2.74e-05&amp;sourceID=30","2.74e-05")</f>
        <v>2.74e-05</v>
      </c>
      <c r="N380" s="4" t="str">
        <f>HYPERLINK("http://141.218.60.56/~jnz1568/getInfo.php?workbook=06_02.xlsx&amp;sheet=A0&amp;row=380&amp;col=14&amp;number=&amp;sourceID=30","")</f>
        <v/>
      </c>
      <c r="O380" s="4" t="str">
        <f>HYPERLINK("http://141.218.60.56/~jnz1568/getInfo.php?workbook=06_02.xlsx&amp;sheet=A0&amp;row=380&amp;col=15&amp;number=&amp;sourceID=32","")</f>
        <v/>
      </c>
      <c r="P380" s="4" t="str">
        <f>HYPERLINK("http://141.218.60.56/~jnz1568/getInfo.php?workbook=06_02.xlsx&amp;sheet=A0&amp;row=380&amp;col=16&amp;number=&amp;sourceID=32","")</f>
        <v/>
      </c>
      <c r="Q380" s="4" t="str">
        <f>HYPERLINK("http://141.218.60.56/~jnz1568/getInfo.php?workbook=06_02.xlsx&amp;sheet=A0&amp;row=380&amp;col=17&amp;number=2.316e-05&amp;sourceID=32","2.316e-05")</f>
        <v>2.316e-05</v>
      </c>
      <c r="R380" s="4" t="str">
        <f>HYPERLINK("http://141.218.60.56/~jnz1568/getInfo.php?workbook=06_02.xlsx&amp;sheet=A0&amp;row=380&amp;col=18&amp;number=&amp;sourceID=32","")</f>
        <v/>
      </c>
    </row>
    <row r="381" spans="1:18">
      <c r="A381" s="3">
        <v>6</v>
      </c>
      <c r="B381" s="3">
        <v>2</v>
      </c>
      <c r="C381" s="3">
        <v>31</v>
      </c>
      <c r="D381" s="3">
        <v>21</v>
      </c>
      <c r="E381" s="3">
        <f>((1/(INDEX(E0!J$4:J$52,C381,1)-INDEX(E0!J$4:J$52,D381,1))))*100000000</f>
        <v>0</v>
      </c>
      <c r="F381" s="4" t="str">
        <f>HYPERLINK("http://141.218.60.56/~jnz1568/getInfo.php?workbook=06_02.xlsx&amp;sheet=A0&amp;row=381&amp;col=6&amp;number=&amp;sourceID=27","")</f>
        <v/>
      </c>
      <c r="G381" s="4" t="str">
        <f>HYPERLINK("http://141.218.60.56/~jnz1568/getInfo.php?workbook=06_02.xlsx&amp;sheet=A0&amp;row=381&amp;col=7&amp;number=&amp;sourceID=34","")</f>
        <v/>
      </c>
      <c r="H381" s="4" t="str">
        <f>HYPERLINK("http://141.218.60.56/~jnz1568/getInfo.php?workbook=06_02.xlsx&amp;sheet=A0&amp;row=381&amp;col=8&amp;number=&amp;sourceID=34","")</f>
        <v/>
      </c>
      <c r="I381" s="4" t="str">
        <f>HYPERLINK("http://141.218.60.56/~jnz1568/getInfo.php?workbook=06_02.xlsx&amp;sheet=A0&amp;row=381&amp;col=9&amp;number=&amp;sourceID=34","")</f>
        <v/>
      </c>
      <c r="J381" s="4" t="str">
        <f>HYPERLINK("http://141.218.60.56/~jnz1568/getInfo.php?workbook=06_02.xlsx&amp;sheet=A0&amp;row=381&amp;col=10&amp;number=&amp;sourceID=34","")</f>
        <v/>
      </c>
      <c r="K381" s="4" t="str">
        <f>HYPERLINK("http://141.218.60.56/~jnz1568/getInfo.php?workbook=06_02.xlsx&amp;sheet=A0&amp;row=381&amp;col=11&amp;number=&amp;sourceID=30","")</f>
        <v/>
      </c>
      <c r="L381" s="4" t="str">
        <f>HYPERLINK("http://141.218.60.56/~jnz1568/getInfo.php?workbook=06_02.xlsx&amp;sheet=A0&amp;row=381&amp;col=12&amp;number=9.608e-07&amp;sourceID=30","9.608e-07")</f>
        <v>9.608e-07</v>
      </c>
      <c r="M381" s="4" t="str">
        <f>HYPERLINK("http://141.218.60.56/~jnz1568/getInfo.php?workbook=06_02.xlsx&amp;sheet=A0&amp;row=381&amp;col=13&amp;number=2.391e-05&amp;sourceID=30","2.391e-05")</f>
        <v>2.391e-05</v>
      </c>
      <c r="N381" s="4" t="str">
        <f>HYPERLINK("http://141.218.60.56/~jnz1568/getInfo.php?workbook=06_02.xlsx&amp;sheet=A0&amp;row=381&amp;col=14&amp;number=&amp;sourceID=30","")</f>
        <v/>
      </c>
      <c r="O381" s="4" t="str">
        <f>HYPERLINK("http://141.218.60.56/~jnz1568/getInfo.php?workbook=06_02.xlsx&amp;sheet=A0&amp;row=381&amp;col=15&amp;number=&amp;sourceID=32","")</f>
        <v/>
      </c>
      <c r="P381" s="4" t="str">
        <f>HYPERLINK("http://141.218.60.56/~jnz1568/getInfo.php?workbook=06_02.xlsx&amp;sheet=A0&amp;row=381&amp;col=16&amp;number=6.9e-07&amp;sourceID=32","6.9e-07")</f>
        <v>6.9e-07</v>
      </c>
      <c r="Q381" s="4" t="str">
        <f>HYPERLINK("http://141.218.60.56/~jnz1568/getInfo.php?workbook=06_02.xlsx&amp;sheet=A0&amp;row=381&amp;col=17&amp;number=2.015e-05&amp;sourceID=32","2.015e-05")</f>
        <v>2.015e-05</v>
      </c>
      <c r="R381" s="4" t="str">
        <f>HYPERLINK("http://141.218.60.56/~jnz1568/getInfo.php?workbook=06_02.xlsx&amp;sheet=A0&amp;row=381&amp;col=18&amp;number=&amp;sourceID=32","")</f>
        <v/>
      </c>
    </row>
    <row r="382" spans="1:18">
      <c r="A382" s="3">
        <v>6</v>
      </c>
      <c r="B382" s="3">
        <v>2</v>
      </c>
      <c r="C382" s="3">
        <v>31</v>
      </c>
      <c r="D382" s="3">
        <v>22</v>
      </c>
      <c r="E382" s="3">
        <f>((1/(INDEX(E0!J$4:J$52,C382,1)-INDEX(E0!J$4:J$52,D382,1))))*100000000</f>
        <v>0</v>
      </c>
      <c r="F382" s="4" t="str">
        <f>HYPERLINK("http://141.218.60.56/~jnz1568/getInfo.php?workbook=06_02.xlsx&amp;sheet=A0&amp;row=382&amp;col=6&amp;number=&amp;sourceID=27","")</f>
        <v/>
      </c>
      <c r="G382" s="4" t="str">
        <f>HYPERLINK("http://141.218.60.56/~jnz1568/getInfo.php?workbook=06_02.xlsx&amp;sheet=A0&amp;row=382&amp;col=7&amp;number=&amp;sourceID=34","")</f>
        <v/>
      </c>
      <c r="H382" s="4" t="str">
        <f>HYPERLINK("http://141.218.60.56/~jnz1568/getInfo.php?workbook=06_02.xlsx&amp;sheet=A0&amp;row=382&amp;col=8&amp;number=&amp;sourceID=34","")</f>
        <v/>
      </c>
      <c r="I382" s="4" t="str">
        <f>HYPERLINK("http://141.218.60.56/~jnz1568/getInfo.php?workbook=06_02.xlsx&amp;sheet=A0&amp;row=382&amp;col=9&amp;number=&amp;sourceID=34","")</f>
        <v/>
      </c>
      <c r="J382" s="4" t="str">
        <f>HYPERLINK("http://141.218.60.56/~jnz1568/getInfo.php?workbook=06_02.xlsx&amp;sheet=A0&amp;row=382&amp;col=10&amp;number=&amp;sourceID=34","")</f>
        <v/>
      </c>
      <c r="K382" s="4" t="str">
        <f>HYPERLINK("http://141.218.60.56/~jnz1568/getInfo.php?workbook=06_02.xlsx&amp;sheet=A0&amp;row=382&amp;col=11&amp;number=&amp;sourceID=30","")</f>
        <v/>
      </c>
      <c r="L382" s="4" t="str">
        <f>HYPERLINK("http://141.218.60.56/~jnz1568/getInfo.php?workbook=06_02.xlsx&amp;sheet=A0&amp;row=382&amp;col=12&amp;number=3.173e-07&amp;sourceID=30","3.173e-07")</f>
        <v>3.173e-07</v>
      </c>
      <c r="M382" s="4" t="str">
        <f>HYPERLINK("http://141.218.60.56/~jnz1568/getInfo.php?workbook=06_02.xlsx&amp;sheet=A0&amp;row=382&amp;col=13&amp;number=2.037e-05&amp;sourceID=30","2.037e-05")</f>
        <v>2.037e-05</v>
      </c>
      <c r="N382" s="4" t="str">
        <f>HYPERLINK("http://141.218.60.56/~jnz1568/getInfo.php?workbook=06_02.xlsx&amp;sheet=A0&amp;row=382&amp;col=14&amp;number=&amp;sourceID=30","")</f>
        <v/>
      </c>
      <c r="O382" s="4" t="str">
        <f>HYPERLINK("http://141.218.60.56/~jnz1568/getInfo.php?workbook=06_02.xlsx&amp;sheet=A0&amp;row=382&amp;col=15&amp;number=&amp;sourceID=32","")</f>
        <v/>
      </c>
      <c r="P382" s="4" t="str">
        <f>HYPERLINK("http://141.218.60.56/~jnz1568/getInfo.php?workbook=06_02.xlsx&amp;sheet=A0&amp;row=382&amp;col=16&amp;number=2.241e-07&amp;sourceID=32","2.241e-07")</f>
        <v>2.241e-07</v>
      </c>
      <c r="Q382" s="4" t="str">
        <f>HYPERLINK("http://141.218.60.56/~jnz1568/getInfo.php?workbook=06_02.xlsx&amp;sheet=A0&amp;row=382&amp;col=17&amp;number=1.756e-05&amp;sourceID=32","1.756e-05")</f>
        <v>1.756e-05</v>
      </c>
      <c r="R382" s="4" t="str">
        <f>HYPERLINK("http://141.218.60.56/~jnz1568/getInfo.php?workbook=06_02.xlsx&amp;sheet=A0&amp;row=382&amp;col=18&amp;number=&amp;sourceID=32","")</f>
        <v/>
      </c>
    </row>
    <row r="383" spans="1:18">
      <c r="A383" s="3">
        <v>6</v>
      </c>
      <c r="B383" s="3">
        <v>2</v>
      </c>
      <c r="C383" s="3">
        <v>31</v>
      </c>
      <c r="D383" s="3">
        <v>23</v>
      </c>
      <c r="E383" s="3">
        <f>((1/(INDEX(E0!J$4:J$52,C383,1)-INDEX(E0!J$4:J$52,D383,1))))*100000000</f>
        <v>0</v>
      </c>
      <c r="F383" s="4" t="str">
        <f>HYPERLINK("http://141.218.60.56/~jnz1568/getInfo.php?workbook=06_02.xlsx&amp;sheet=A0&amp;row=383&amp;col=6&amp;number=&amp;sourceID=27","")</f>
        <v/>
      </c>
      <c r="G383" s="4" t="str">
        <f>HYPERLINK("http://141.218.60.56/~jnz1568/getInfo.php?workbook=06_02.xlsx&amp;sheet=A0&amp;row=383&amp;col=7&amp;number=&amp;sourceID=34","")</f>
        <v/>
      </c>
      <c r="H383" s="4" t="str">
        <f>HYPERLINK("http://141.218.60.56/~jnz1568/getInfo.php?workbook=06_02.xlsx&amp;sheet=A0&amp;row=383&amp;col=8&amp;number=&amp;sourceID=34","")</f>
        <v/>
      </c>
      <c r="I383" s="4" t="str">
        <f>HYPERLINK("http://141.218.60.56/~jnz1568/getInfo.php?workbook=06_02.xlsx&amp;sheet=A0&amp;row=383&amp;col=9&amp;number=&amp;sourceID=34","")</f>
        <v/>
      </c>
      <c r="J383" s="4" t="str">
        <f>HYPERLINK("http://141.218.60.56/~jnz1568/getInfo.php?workbook=06_02.xlsx&amp;sheet=A0&amp;row=383&amp;col=10&amp;number=&amp;sourceID=34","")</f>
        <v/>
      </c>
      <c r="K383" s="4" t="str">
        <f>HYPERLINK("http://141.218.60.56/~jnz1568/getInfo.php?workbook=06_02.xlsx&amp;sheet=A0&amp;row=383&amp;col=11&amp;number=0.3326&amp;sourceID=30","0.3326")</f>
        <v>0.3326</v>
      </c>
      <c r="L383" s="4" t="str">
        <f>HYPERLINK("http://141.218.60.56/~jnz1568/getInfo.php?workbook=06_02.xlsx&amp;sheet=A0&amp;row=383&amp;col=12&amp;number=&amp;sourceID=30","")</f>
        <v/>
      </c>
      <c r="M383" s="4" t="str">
        <f>HYPERLINK("http://141.218.60.56/~jnz1568/getInfo.php?workbook=06_02.xlsx&amp;sheet=A0&amp;row=383&amp;col=13&amp;number=&amp;sourceID=30","")</f>
        <v/>
      </c>
      <c r="N383" s="4" t="str">
        <f>HYPERLINK("http://141.218.60.56/~jnz1568/getInfo.php?workbook=06_02.xlsx&amp;sheet=A0&amp;row=383&amp;col=14&amp;number=5.46e-12&amp;sourceID=30","5.46e-12")</f>
        <v>5.46e-12</v>
      </c>
      <c r="O383" s="4" t="str">
        <f>HYPERLINK("http://141.218.60.56/~jnz1568/getInfo.php?workbook=06_02.xlsx&amp;sheet=A0&amp;row=383&amp;col=15&amp;number=0.1173&amp;sourceID=32","0.1173")</f>
        <v>0.1173</v>
      </c>
      <c r="P383" s="4" t="str">
        <f>HYPERLINK("http://141.218.60.56/~jnz1568/getInfo.php?workbook=06_02.xlsx&amp;sheet=A0&amp;row=383&amp;col=16&amp;number=&amp;sourceID=32","")</f>
        <v/>
      </c>
      <c r="Q383" s="4" t="str">
        <f>HYPERLINK("http://141.218.60.56/~jnz1568/getInfo.php?workbook=06_02.xlsx&amp;sheet=A0&amp;row=383&amp;col=17&amp;number=&amp;sourceID=32","")</f>
        <v/>
      </c>
      <c r="R383" s="4" t="str">
        <f>HYPERLINK("http://141.218.60.56/~jnz1568/getInfo.php?workbook=06_02.xlsx&amp;sheet=A0&amp;row=383&amp;col=18&amp;number=8.15e-13&amp;sourceID=32","8.15e-13")</f>
        <v>8.15e-13</v>
      </c>
    </row>
    <row r="384" spans="1:18">
      <c r="A384" s="3">
        <v>6</v>
      </c>
      <c r="B384" s="3">
        <v>2</v>
      </c>
      <c r="C384" s="3">
        <v>31</v>
      </c>
      <c r="D384" s="3">
        <v>24</v>
      </c>
      <c r="E384" s="3">
        <f>((1/(INDEX(E0!J$4:J$52,C384,1)-INDEX(E0!J$4:J$52,D384,1))))*100000000</f>
        <v>0</v>
      </c>
      <c r="F384" s="4" t="str">
        <f>HYPERLINK("http://141.218.60.56/~jnz1568/getInfo.php?workbook=06_02.xlsx&amp;sheet=A0&amp;row=384&amp;col=6&amp;number=&amp;sourceID=27","")</f>
        <v/>
      </c>
      <c r="G384" s="4" t="str">
        <f>HYPERLINK("http://141.218.60.56/~jnz1568/getInfo.php?workbook=06_02.xlsx&amp;sheet=A0&amp;row=384&amp;col=7&amp;number=&amp;sourceID=34","")</f>
        <v/>
      </c>
      <c r="H384" s="4" t="str">
        <f>HYPERLINK("http://141.218.60.56/~jnz1568/getInfo.php?workbook=06_02.xlsx&amp;sheet=A0&amp;row=384&amp;col=8&amp;number=&amp;sourceID=34","")</f>
        <v/>
      </c>
      <c r="I384" s="4" t="str">
        <f>HYPERLINK("http://141.218.60.56/~jnz1568/getInfo.php?workbook=06_02.xlsx&amp;sheet=A0&amp;row=384&amp;col=9&amp;number=&amp;sourceID=34","")</f>
        <v/>
      </c>
      <c r="J384" s="4" t="str">
        <f>HYPERLINK("http://141.218.60.56/~jnz1568/getInfo.php?workbook=06_02.xlsx&amp;sheet=A0&amp;row=384&amp;col=10&amp;number=&amp;sourceID=34","")</f>
        <v/>
      </c>
      <c r="K384" s="4" t="str">
        <f>HYPERLINK("http://141.218.60.56/~jnz1568/getInfo.php?workbook=06_02.xlsx&amp;sheet=A0&amp;row=384&amp;col=11&amp;number=69.22&amp;sourceID=30","69.22")</f>
        <v>69.22</v>
      </c>
      <c r="L384" s="4" t="str">
        <f>HYPERLINK("http://141.218.60.56/~jnz1568/getInfo.php?workbook=06_02.xlsx&amp;sheet=A0&amp;row=384&amp;col=12&amp;number=&amp;sourceID=30","")</f>
        <v/>
      </c>
      <c r="M384" s="4" t="str">
        <f>HYPERLINK("http://141.218.60.56/~jnz1568/getInfo.php?workbook=06_02.xlsx&amp;sheet=A0&amp;row=384&amp;col=13&amp;number=&amp;sourceID=30","")</f>
        <v/>
      </c>
      <c r="N384" s="4" t="str">
        <f>HYPERLINK("http://141.218.60.56/~jnz1568/getInfo.php?workbook=06_02.xlsx&amp;sheet=A0&amp;row=384&amp;col=14&amp;number=7.32e-11&amp;sourceID=30","7.32e-11")</f>
        <v>7.32e-11</v>
      </c>
      <c r="O384" s="4" t="str">
        <f>HYPERLINK("http://141.218.60.56/~jnz1568/getInfo.php?workbook=06_02.xlsx&amp;sheet=A0&amp;row=384&amp;col=15&amp;number=31.06&amp;sourceID=32","31.06")</f>
        <v>31.06</v>
      </c>
      <c r="P384" s="4" t="str">
        <f>HYPERLINK("http://141.218.60.56/~jnz1568/getInfo.php?workbook=06_02.xlsx&amp;sheet=A0&amp;row=384&amp;col=16&amp;number=&amp;sourceID=32","")</f>
        <v/>
      </c>
      <c r="Q384" s="4" t="str">
        <f>HYPERLINK("http://141.218.60.56/~jnz1568/getInfo.php?workbook=06_02.xlsx&amp;sheet=A0&amp;row=384&amp;col=17&amp;number=&amp;sourceID=32","")</f>
        <v/>
      </c>
      <c r="R384" s="4" t="str">
        <f>HYPERLINK("http://141.218.60.56/~jnz1568/getInfo.php?workbook=06_02.xlsx&amp;sheet=A0&amp;row=384&amp;col=18&amp;number=1.065e-11&amp;sourceID=32","1.065e-11")</f>
        <v>1.065e-11</v>
      </c>
    </row>
    <row r="385" spans="1:18">
      <c r="A385" s="3">
        <v>6</v>
      </c>
      <c r="B385" s="3">
        <v>2</v>
      </c>
      <c r="C385" s="3">
        <v>31</v>
      </c>
      <c r="D385" s="3">
        <v>25</v>
      </c>
      <c r="E385" s="3">
        <f>((1/(INDEX(E0!J$4:J$52,C385,1)-INDEX(E0!J$4:J$52,D385,1))))*100000000</f>
        <v>0</v>
      </c>
      <c r="F385" s="4" t="str">
        <f>HYPERLINK("http://141.218.60.56/~jnz1568/getInfo.php?workbook=06_02.xlsx&amp;sheet=A0&amp;row=385&amp;col=6&amp;number=&amp;sourceID=27","")</f>
        <v/>
      </c>
      <c r="G385" s="4" t="str">
        <f>HYPERLINK("http://141.218.60.56/~jnz1568/getInfo.php?workbook=06_02.xlsx&amp;sheet=A0&amp;row=385&amp;col=7&amp;number=&amp;sourceID=34","")</f>
        <v/>
      </c>
      <c r="H385" s="4" t="str">
        <f>HYPERLINK("http://141.218.60.56/~jnz1568/getInfo.php?workbook=06_02.xlsx&amp;sheet=A0&amp;row=385&amp;col=8&amp;number=&amp;sourceID=34","")</f>
        <v/>
      </c>
      <c r="I385" s="4" t="str">
        <f>HYPERLINK("http://141.218.60.56/~jnz1568/getInfo.php?workbook=06_02.xlsx&amp;sheet=A0&amp;row=385&amp;col=9&amp;number=&amp;sourceID=34","")</f>
        <v/>
      </c>
      <c r="J385" s="4" t="str">
        <f>HYPERLINK("http://141.218.60.56/~jnz1568/getInfo.php?workbook=06_02.xlsx&amp;sheet=A0&amp;row=385&amp;col=10&amp;number=&amp;sourceID=34","")</f>
        <v/>
      </c>
      <c r="K385" s="4" t="str">
        <f>HYPERLINK("http://141.218.60.56/~jnz1568/getInfo.php?workbook=06_02.xlsx&amp;sheet=A0&amp;row=385&amp;col=11&amp;number=&amp;sourceID=30","")</f>
        <v/>
      </c>
      <c r="L385" s="4" t="str">
        <f>HYPERLINK("http://141.218.60.56/~jnz1568/getInfo.php?workbook=06_02.xlsx&amp;sheet=A0&amp;row=385&amp;col=12&amp;number=&amp;sourceID=30","")</f>
        <v/>
      </c>
      <c r="M385" s="4" t="str">
        <f>HYPERLINK("http://141.218.60.56/~jnz1568/getInfo.php?workbook=06_02.xlsx&amp;sheet=A0&amp;row=385&amp;col=13&amp;number=&amp;sourceID=30","")</f>
        <v/>
      </c>
      <c r="N385" s="4" t="str">
        <f>HYPERLINK("http://141.218.60.56/~jnz1568/getInfo.php?workbook=06_02.xlsx&amp;sheet=A0&amp;row=385&amp;col=14&amp;number=4.559e-10&amp;sourceID=30","4.559e-10")</f>
        <v>4.559e-10</v>
      </c>
      <c r="O385" s="4" t="str">
        <f>HYPERLINK("http://141.218.60.56/~jnz1568/getInfo.php?workbook=06_02.xlsx&amp;sheet=A0&amp;row=385&amp;col=15&amp;number=&amp;sourceID=32","")</f>
        <v/>
      </c>
      <c r="P385" s="4" t="str">
        <f>HYPERLINK("http://141.218.60.56/~jnz1568/getInfo.php?workbook=06_02.xlsx&amp;sheet=A0&amp;row=385&amp;col=16&amp;number=&amp;sourceID=32","")</f>
        <v/>
      </c>
      <c r="Q385" s="4" t="str">
        <f>HYPERLINK("http://141.218.60.56/~jnz1568/getInfo.php?workbook=06_02.xlsx&amp;sheet=A0&amp;row=385&amp;col=17&amp;number=&amp;sourceID=32","")</f>
        <v/>
      </c>
      <c r="R385" s="4" t="str">
        <f>HYPERLINK("http://141.218.60.56/~jnz1568/getInfo.php?workbook=06_02.xlsx&amp;sheet=A0&amp;row=385&amp;col=18&amp;number=6.739e-11&amp;sourceID=32","6.739e-11")</f>
        <v>6.739e-11</v>
      </c>
    </row>
    <row r="386" spans="1:18">
      <c r="A386" s="3">
        <v>6</v>
      </c>
      <c r="B386" s="3">
        <v>2</v>
      </c>
      <c r="C386" s="3">
        <v>31</v>
      </c>
      <c r="D386" s="3">
        <v>26</v>
      </c>
      <c r="E386" s="3">
        <f>((1/(INDEX(E0!J$4:J$52,C386,1)-INDEX(E0!J$4:J$52,D386,1))))*100000000</f>
        <v>0</v>
      </c>
      <c r="F386" s="4" t="str">
        <f>HYPERLINK("http://141.218.60.56/~jnz1568/getInfo.php?workbook=06_02.xlsx&amp;sheet=A0&amp;row=386&amp;col=6&amp;number=&amp;sourceID=27","")</f>
        <v/>
      </c>
      <c r="G386" s="4" t="str">
        <f>HYPERLINK("http://141.218.60.56/~jnz1568/getInfo.php?workbook=06_02.xlsx&amp;sheet=A0&amp;row=386&amp;col=7&amp;number=&amp;sourceID=34","")</f>
        <v/>
      </c>
      <c r="H386" s="4" t="str">
        <f>HYPERLINK("http://141.218.60.56/~jnz1568/getInfo.php?workbook=06_02.xlsx&amp;sheet=A0&amp;row=386&amp;col=8&amp;number=&amp;sourceID=34","")</f>
        <v/>
      </c>
      <c r="I386" s="4" t="str">
        <f>HYPERLINK("http://141.218.60.56/~jnz1568/getInfo.php?workbook=06_02.xlsx&amp;sheet=A0&amp;row=386&amp;col=9&amp;number=&amp;sourceID=34","")</f>
        <v/>
      </c>
      <c r="J386" s="4" t="str">
        <f>HYPERLINK("http://141.218.60.56/~jnz1568/getInfo.php?workbook=06_02.xlsx&amp;sheet=A0&amp;row=386&amp;col=10&amp;number=&amp;sourceID=34","")</f>
        <v/>
      </c>
      <c r="K386" s="4" t="str">
        <f>HYPERLINK("http://141.218.60.56/~jnz1568/getInfo.php?workbook=06_02.xlsx&amp;sheet=A0&amp;row=386&amp;col=11&amp;number=&amp;sourceID=30","")</f>
        <v/>
      </c>
      <c r="L386" s="4" t="str">
        <f>HYPERLINK("http://141.218.60.56/~jnz1568/getInfo.php?workbook=06_02.xlsx&amp;sheet=A0&amp;row=386&amp;col=12&amp;number=1.956e-05&amp;sourceID=30","1.956e-05")</f>
        <v>1.956e-05</v>
      </c>
      <c r="M386" s="4" t="str">
        <f>HYPERLINK("http://141.218.60.56/~jnz1568/getInfo.php?workbook=06_02.xlsx&amp;sheet=A0&amp;row=386&amp;col=13&amp;number=&amp;sourceID=30","")</f>
        <v/>
      </c>
      <c r="N386" s="4" t="str">
        <f>HYPERLINK("http://141.218.60.56/~jnz1568/getInfo.php?workbook=06_02.xlsx&amp;sheet=A0&amp;row=386&amp;col=14&amp;number=&amp;sourceID=30","")</f>
        <v/>
      </c>
      <c r="O386" s="4" t="str">
        <f>HYPERLINK("http://141.218.60.56/~jnz1568/getInfo.php?workbook=06_02.xlsx&amp;sheet=A0&amp;row=386&amp;col=15&amp;number=&amp;sourceID=32","")</f>
        <v/>
      </c>
      <c r="P386" s="4" t="str">
        <f>HYPERLINK("http://141.218.60.56/~jnz1568/getInfo.php?workbook=06_02.xlsx&amp;sheet=A0&amp;row=386&amp;col=16&amp;number=1.092e-06&amp;sourceID=32","1.092e-06")</f>
        <v>1.092e-06</v>
      </c>
      <c r="Q386" s="4" t="str">
        <f>HYPERLINK("http://141.218.60.56/~jnz1568/getInfo.php?workbook=06_02.xlsx&amp;sheet=A0&amp;row=386&amp;col=17&amp;number=&amp;sourceID=32","")</f>
        <v/>
      </c>
      <c r="R386" s="4" t="str">
        <f>HYPERLINK("http://141.218.60.56/~jnz1568/getInfo.php?workbook=06_02.xlsx&amp;sheet=A0&amp;row=386&amp;col=18&amp;number=&amp;sourceID=32","")</f>
        <v/>
      </c>
    </row>
    <row r="387" spans="1:18">
      <c r="A387" s="3">
        <v>6</v>
      </c>
      <c r="B387" s="3">
        <v>2</v>
      </c>
      <c r="C387" s="3">
        <v>31</v>
      </c>
      <c r="D387" s="3">
        <v>27</v>
      </c>
      <c r="E387" s="3">
        <f>((1/(INDEX(E0!J$4:J$52,C387,1)-INDEX(E0!J$4:J$52,D387,1))))*100000000</f>
        <v>0</v>
      </c>
      <c r="F387" s="4" t="str">
        <f>HYPERLINK("http://141.218.60.56/~jnz1568/getInfo.php?workbook=06_02.xlsx&amp;sheet=A0&amp;row=387&amp;col=6&amp;number=&amp;sourceID=27","")</f>
        <v/>
      </c>
      <c r="G387" s="4" t="str">
        <f>HYPERLINK("http://141.218.60.56/~jnz1568/getInfo.php?workbook=06_02.xlsx&amp;sheet=A0&amp;row=387&amp;col=7&amp;number=&amp;sourceID=34","")</f>
        <v/>
      </c>
      <c r="H387" s="4" t="str">
        <f>HYPERLINK("http://141.218.60.56/~jnz1568/getInfo.php?workbook=06_02.xlsx&amp;sheet=A0&amp;row=387&amp;col=8&amp;number=&amp;sourceID=34","")</f>
        <v/>
      </c>
      <c r="I387" s="4" t="str">
        <f>HYPERLINK("http://141.218.60.56/~jnz1568/getInfo.php?workbook=06_02.xlsx&amp;sheet=A0&amp;row=387&amp;col=9&amp;number=&amp;sourceID=34","")</f>
        <v/>
      </c>
      <c r="J387" s="4" t="str">
        <f>HYPERLINK("http://141.218.60.56/~jnz1568/getInfo.php?workbook=06_02.xlsx&amp;sheet=A0&amp;row=387&amp;col=10&amp;number=&amp;sourceID=34","")</f>
        <v/>
      </c>
      <c r="K387" s="4" t="str">
        <f>HYPERLINK("http://141.218.60.56/~jnz1568/getInfo.php?workbook=06_02.xlsx&amp;sheet=A0&amp;row=387&amp;col=11&amp;number=&amp;sourceID=30","")</f>
        <v/>
      </c>
      <c r="L387" s="4" t="str">
        <f>HYPERLINK("http://141.218.60.56/~jnz1568/getInfo.php?workbook=06_02.xlsx&amp;sheet=A0&amp;row=387&amp;col=12&amp;number=2.845e-10&amp;sourceID=30","2.845e-10")</f>
        <v>2.845e-10</v>
      </c>
      <c r="M387" s="4" t="str">
        <f>HYPERLINK("http://141.218.60.56/~jnz1568/getInfo.php?workbook=06_02.xlsx&amp;sheet=A0&amp;row=387&amp;col=13&amp;number=2.94e-13&amp;sourceID=30","2.94e-13")</f>
        <v>2.94e-13</v>
      </c>
      <c r="N387" s="4" t="str">
        <f>HYPERLINK("http://141.218.60.56/~jnz1568/getInfo.php?workbook=06_02.xlsx&amp;sheet=A0&amp;row=387&amp;col=14&amp;number=&amp;sourceID=30","")</f>
        <v/>
      </c>
      <c r="O387" s="4" t="str">
        <f>HYPERLINK("http://141.218.60.56/~jnz1568/getInfo.php?workbook=06_02.xlsx&amp;sheet=A0&amp;row=387&amp;col=15&amp;number=&amp;sourceID=32","")</f>
        <v/>
      </c>
      <c r="P387" s="4" t="str">
        <f>HYPERLINK("http://141.218.60.56/~jnz1568/getInfo.php?workbook=06_02.xlsx&amp;sheet=A0&amp;row=387&amp;col=16&amp;number=3.15e-11&amp;sourceID=32","3.15e-11")</f>
        <v>3.15e-11</v>
      </c>
      <c r="Q387" s="4" t="str">
        <f>HYPERLINK("http://141.218.60.56/~jnz1568/getInfo.php?workbook=06_02.xlsx&amp;sheet=A0&amp;row=387&amp;col=17&amp;number=1.51e-13&amp;sourceID=32","1.51e-13")</f>
        <v>1.51e-13</v>
      </c>
      <c r="R387" s="4" t="str">
        <f>HYPERLINK("http://141.218.60.56/~jnz1568/getInfo.php?workbook=06_02.xlsx&amp;sheet=A0&amp;row=387&amp;col=18&amp;number=&amp;sourceID=32","")</f>
        <v/>
      </c>
    </row>
    <row r="388" spans="1:18">
      <c r="A388" s="3">
        <v>6</v>
      </c>
      <c r="B388" s="3">
        <v>2</v>
      </c>
      <c r="C388" s="3">
        <v>31</v>
      </c>
      <c r="D388" s="3">
        <v>28</v>
      </c>
      <c r="E388" s="3">
        <f>((1/(INDEX(E0!J$4:J$52,C388,1)-INDEX(E0!J$4:J$52,D388,1))))*100000000</f>
        <v>0</v>
      </c>
      <c r="F388" s="4" t="str">
        <f>HYPERLINK("http://141.218.60.56/~jnz1568/getInfo.php?workbook=06_02.xlsx&amp;sheet=A0&amp;row=388&amp;col=6&amp;number=&amp;sourceID=27","")</f>
        <v/>
      </c>
      <c r="G388" s="4" t="str">
        <f>HYPERLINK("http://141.218.60.56/~jnz1568/getInfo.php?workbook=06_02.xlsx&amp;sheet=A0&amp;row=388&amp;col=7&amp;number=&amp;sourceID=34","")</f>
        <v/>
      </c>
      <c r="H388" s="4" t="str">
        <f>HYPERLINK("http://141.218.60.56/~jnz1568/getInfo.php?workbook=06_02.xlsx&amp;sheet=A0&amp;row=388&amp;col=8&amp;number=&amp;sourceID=34","")</f>
        <v/>
      </c>
      <c r="I388" s="4" t="str">
        <f>HYPERLINK("http://141.218.60.56/~jnz1568/getInfo.php?workbook=06_02.xlsx&amp;sheet=A0&amp;row=388&amp;col=9&amp;number=&amp;sourceID=34","")</f>
        <v/>
      </c>
      <c r="J388" s="4" t="str">
        <f>HYPERLINK("http://141.218.60.56/~jnz1568/getInfo.php?workbook=06_02.xlsx&amp;sheet=A0&amp;row=388&amp;col=10&amp;number=&amp;sourceID=34","")</f>
        <v/>
      </c>
      <c r="K388" s="4" t="str">
        <f>HYPERLINK("http://141.218.60.56/~jnz1568/getInfo.php?workbook=06_02.xlsx&amp;sheet=A0&amp;row=388&amp;col=11&amp;number=&amp;sourceID=30","")</f>
        <v/>
      </c>
      <c r="L388" s="4" t="str">
        <f>HYPERLINK("http://141.218.60.56/~jnz1568/getInfo.php?workbook=06_02.xlsx&amp;sheet=A0&amp;row=388&amp;col=12&amp;number=1.024e-05&amp;sourceID=30","1.024e-05")</f>
        <v>1.024e-05</v>
      </c>
      <c r="M388" s="4" t="str">
        <f>HYPERLINK("http://141.218.60.56/~jnz1568/getInfo.php?workbook=06_02.xlsx&amp;sheet=A0&amp;row=388&amp;col=13&amp;number=&amp;sourceID=30","")</f>
        <v/>
      </c>
      <c r="N388" s="4" t="str">
        <f>HYPERLINK("http://141.218.60.56/~jnz1568/getInfo.php?workbook=06_02.xlsx&amp;sheet=A0&amp;row=388&amp;col=14&amp;number=&amp;sourceID=30","")</f>
        <v/>
      </c>
      <c r="O388" s="4" t="str">
        <f>HYPERLINK("http://141.218.60.56/~jnz1568/getInfo.php?workbook=06_02.xlsx&amp;sheet=A0&amp;row=388&amp;col=15&amp;number=&amp;sourceID=32","")</f>
        <v/>
      </c>
      <c r="P388" s="4" t="str">
        <f>HYPERLINK("http://141.218.60.56/~jnz1568/getInfo.php?workbook=06_02.xlsx&amp;sheet=A0&amp;row=388&amp;col=16&amp;number=3&amp;sourceID=32","3")</f>
        <v>3</v>
      </c>
      <c r="Q388" s="4" t="str">
        <f>HYPERLINK("http://141.218.60.56/~jnz1568/getInfo.php?workbook=06_02.xlsx&amp;sheet=A0&amp;row=388&amp;col=17&amp;number=&amp;sourceID=32","")</f>
        <v/>
      </c>
      <c r="R388" s="4" t="str">
        <f>HYPERLINK("http://141.218.60.56/~jnz1568/getInfo.php?workbook=06_02.xlsx&amp;sheet=A0&amp;row=388&amp;col=18&amp;number=&amp;sourceID=32","")</f>
        <v/>
      </c>
    </row>
    <row r="389" spans="1:18">
      <c r="A389" s="3">
        <v>6</v>
      </c>
      <c r="B389" s="3">
        <v>2</v>
      </c>
      <c r="C389" s="3">
        <v>31</v>
      </c>
      <c r="D389" s="3">
        <v>30</v>
      </c>
      <c r="E389" s="3">
        <f>((1/(INDEX(E0!J$4:J$52,C389,1)-INDEX(E0!J$4:J$52,D389,1))))*100000000</f>
        <v>0</v>
      </c>
      <c r="F389" s="4" t="str">
        <f>HYPERLINK("http://141.218.60.56/~jnz1568/getInfo.php?workbook=06_02.xlsx&amp;sheet=A0&amp;row=389&amp;col=6&amp;number=&amp;sourceID=27","")</f>
        <v/>
      </c>
      <c r="G389" s="4" t="str">
        <f>HYPERLINK("http://141.218.60.56/~jnz1568/getInfo.php?workbook=06_02.xlsx&amp;sheet=A0&amp;row=389&amp;col=7&amp;number=9373&amp;sourceID=34","9373")</f>
        <v>9373</v>
      </c>
      <c r="H389" s="4" t="str">
        <f>HYPERLINK("http://141.218.60.56/~jnz1568/getInfo.php?workbook=06_02.xlsx&amp;sheet=A0&amp;row=389&amp;col=8&amp;number=&amp;sourceID=34","")</f>
        <v/>
      </c>
      <c r="I389" s="4" t="str">
        <f>HYPERLINK("http://141.218.60.56/~jnz1568/getInfo.php?workbook=06_02.xlsx&amp;sheet=A0&amp;row=389&amp;col=9&amp;number=&amp;sourceID=34","")</f>
        <v/>
      </c>
      <c r="J389" s="4" t="str">
        <f>HYPERLINK("http://141.218.60.56/~jnz1568/getInfo.php?workbook=06_02.xlsx&amp;sheet=A0&amp;row=389&amp;col=10&amp;number=&amp;sourceID=34","")</f>
        <v/>
      </c>
      <c r="K389" s="4" t="str">
        <f>HYPERLINK("http://141.218.60.56/~jnz1568/getInfo.php?workbook=06_02.xlsx&amp;sheet=A0&amp;row=389&amp;col=11&amp;number=32010&amp;sourceID=30","32010")</f>
        <v>32010</v>
      </c>
      <c r="L389" s="4" t="str">
        <f>HYPERLINK("http://141.218.60.56/~jnz1568/getInfo.php?workbook=06_02.xlsx&amp;sheet=A0&amp;row=389&amp;col=12&amp;number=&amp;sourceID=30","")</f>
        <v/>
      </c>
      <c r="M389" s="4" t="str">
        <f>HYPERLINK("http://141.218.60.56/~jnz1568/getInfo.php?workbook=06_02.xlsx&amp;sheet=A0&amp;row=389&amp;col=13&amp;number=&amp;sourceID=30","")</f>
        <v/>
      </c>
      <c r="N389" s="4" t="str">
        <f>HYPERLINK("http://141.218.60.56/~jnz1568/getInfo.php?workbook=06_02.xlsx&amp;sheet=A0&amp;row=389&amp;col=14&amp;number=1.248e-10&amp;sourceID=30","1.248e-10")</f>
        <v>1.248e-10</v>
      </c>
      <c r="O389" s="4" t="str">
        <f>HYPERLINK("http://141.218.60.56/~jnz1568/getInfo.php?workbook=06_02.xlsx&amp;sheet=A0&amp;row=389&amp;col=15&amp;number=9345&amp;sourceID=32","9345")</f>
        <v>9345</v>
      </c>
      <c r="P389" s="4" t="str">
        <f>HYPERLINK("http://141.218.60.56/~jnz1568/getInfo.php?workbook=06_02.xlsx&amp;sheet=A0&amp;row=389&amp;col=16&amp;number=&amp;sourceID=32","")</f>
        <v/>
      </c>
      <c r="Q389" s="4" t="str">
        <f>HYPERLINK("http://141.218.60.56/~jnz1568/getInfo.php?workbook=06_02.xlsx&amp;sheet=A0&amp;row=389&amp;col=17&amp;number=&amp;sourceID=32","")</f>
        <v/>
      </c>
      <c r="R389" s="4" t="str">
        <f>HYPERLINK("http://141.218.60.56/~jnz1568/getInfo.php?workbook=06_02.xlsx&amp;sheet=A0&amp;row=389&amp;col=18&amp;number=1.613e-11&amp;sourceID=32","1.613e-11")</f>
        <v>1.613e-11</v>
      </c>
    </row>
    <row r="390" spans="1:18">
      <c r="A390" s="3">
        <v>6</v>
      </c>
      <c r="B390" s="3">
        <v>2</v>
      </c>
      <c r="C390" s="3">
        <v>32</v>
      </c>
      <c r="D390" s="3">
        <v>1</v>
      </c>
      <c r="E390" s="3">
        <f>((1/(INDEX(E0!J$4:J$52,C390,1)-INDEX(E0!J$4:J$52,D390,1))))*100000000</f>
        <v>0</v>
      </c>
      <c r="F390" s="4" t="str">
        <f>HYPERLINK("http://141.218.60.56/~jnz1568/getInfo.php?workbook=06_02.xlsx&amp;sheet=A0&amp;row=390&amp;col=6&amp;number=&amp;sourceID=27","")</f>
        <v/>
      </c>
      <c r="G390" s="4" t="str">
        <f>HYPERLINK("http://141.218.60.56/~jnz1568/getInfo.php?workbook=06_02.xlsx&amp;sheet=A0&amp;row=390&amp;col=7&amp;number=&amp;sourceID=34","")</f>
        <v/>
      </c>
      <c r="H390" s="4" t="str">
        <f>HYPERLINK("http://141.218.60.56/~jnz1568/getInfo.php?workbook=06_02.xlsx&amp;sheet=A0&amp;row=390&amp;col=8&amp;number=&amp;sourceID=34","")</f>
        <v/>
      </c>
      <c r="I390" s="4" t="str">
        <f>HYPERLINK("http://141.218.60.56/~jnz1568/getInfo.php?workbook=06_02.xlsx&amp;sheet=A0&amp;row=390&amp;col=9&amp;number=&amp;sourceID=34","")</f>
        <v/>
      </c>
      <c r="J390" s="4" t="str">
        <f>HYPERLINK("http://141.218.60.56/~jnz1568/getInfo.php?workbook=06_02.xlsx&amp;sheet=A0&amp;row=390&amp;col=10&amp;number=&amp;sourceID=34","")</f>
        <v/>
      </c>
      <c r="K390" s="4" t="str">
        <f>HYPERLINK("http://141.218.60.56/~jnz1568/getInfo.php?workbook=06_02.xlsx&amp;sheet=A0&amp;row=390&amp;col=11&amp;number=&amp;sourceID=30","")</f>
        <v/>
      </c>
      <c r="L390" s="4" t="str">
        <f>HYPERLINK("http://141.218.60.56/~jnz1568/getInfo.php?workbook=06_02.xlsx&amp;sheet=A0&amp;row=390&amp;col=12&amp;number=&amp;sourceID=30","")</f>
        <v/>
      </c>
      <c r="M390" s="4" t="str">
        <f>HYPERLINK("http://141.218.60.56/~jnz1568/getInfo.php?workbook=06_02.xlsx&amp;sheet=A0&amp;row=390&amp;col=13&amp;number=191.2&amp;sourceID=30","191.2")</f>
        <v>191.2</v>
      </c>
      <c r="N390" s="4" t="str">
        <f>HYPERLINK("http://141.218.60.56/~jnz1568/getInfo.php?workbook=06_02.xlsx&amp;sheet=A0&amp;row=390&amp;col=14&amp;number=&amp;sourceID=30","")</f>
        <v/>
      </c>
      <c r="O390" s="4" t="str">
        <f>HYPERLINK("http://141.218.60.56/~jnz1568/getInfo.php?workbook=06_02.xlsx&amp;sheet=A0&amp;row=390&amp;col=15&amp;number=&amp;sourceID=32","")</f>
        <v/>
      </c>
      <c r="P390" s="4" t="str">
        <f>HYPERLINK("http://141.218.60.56/~jnz1568/getInfo.php?workbook=06_02.xlsx&amp;sheet=A0&amp;row=390&amp;col=16&amp;number=&amp;sourceID=32","")</f>
        <v/>
      </c>
      <c r="Q390" s="4" t="str">
        <f>HYPERLINK("http://141.218.60.56/~jnz1568/getInfo.php?workbook=06_02.xlsx&amp;sheet=A0&amp;row=390&amp;col=17&amp;number=4.791&amp;sourceID=32","4.791")</f>
        <v>4.791</v>
      </c>
      <c r="R390" s="4" t="str">
        <f>HYPERLINK("http://141.218.60.56/~jnz1568/getInfo.php?workbook=06_02.xlsx&amp;sheet=A0&amp;row=390&amp;col=18&amp;number=&amp;sourceID=32","")</f>
        <v/>
      </c>
    </row>
    <row r="391" spans="1:18">
      <c r="A391" s="3">
        <v>6</v>
      </c>
      <c r="B391" s="3">
        <v>2</v>
      </c>
      <c r="C391" s="3">
        <v>32</v>
      </c>
      <c r="D391" s="3">
        <v>2</v>
      </c>
      <c r="E391" s="3">
        <f>((1/(INDEX(E0!J$4:J$52,C391,1)-INDEX(E0!J$4:J$52,D391,1))))*100000000</f>
        <v>0</v>
      </c>
      <c r="F391" s="4" t="str">
        <f>HYPERLINK("http://141.218.60.56/~jnz1568/getInfo.php?workbook=06_02.xlsx&amp;sheet=A0&amp;row=391&amp;col=6&amp;number=&amp;sourceID=27","")</f>
        <v/>
      </c>
      <c r="G391" s="4" t="str">
        <f>HYPERLINK("http://141.218.60.56/~jnz1568/getInfo.php?workbook=06_02.xlsx&amp;sheet=A0&amp;row=391&amp;col=7&amp;number=&amp;sourceID=34","")</f>
        <v/>
      </c>
      <c r="H391" s="4" t="str">
        <f>HYPERLINK("http://141.218.60.56/~jnz1568/getInfo.php?workbook=06_02.xlsx&amp;sheet=A0&amp;row=391&amp;col=8&amp;number=&amp;sourceID=34","")</f>
        <v/>
      </c>
      <c r="I391" s="4" t="str">
        <f>HYPERLINK("http://141.218.60.56/~jnz1568/getInfo.php?workbook=06_02.xlsx&amp;sheet=A0&amp;row=391&amp;col=9&amp;number=&amp;sourceID=34","")</f>
        <v/>
      </c>
      <c r="J391" s="4" t="str">
        <f>HYPERLINK("http://141.218.60.56/~jnz1568/getInfo.php?workbook=06_02.xlsx&amp;sheet=A0&amp;row=391&amp;col=10&amp;number=&amp;sourceID=34","")</f>
        <v/>
      </c>
      <c r="K391" s="4" t="str">
        <f>HYPERLINK("http://141.218.60.56/~jnz1568/getInfo.php?workbook=06_02.xlsx&amp;sheet=A0&amp;row=391&amp;col=11&amp;number=&amp;sourceID=30","")</f>
        <v/>
      </c>
      <c r="L391" s="4" t="str">
        <f>HYPERLINK("http://141.218.60.56/~jnz1568/getInfo.php?workbook=06_02.xlsx&amp;sheet=A0&amp;row=391&amp;col=12&amp;number=0.05862&amp;sourceID=30","0.05862")</f>
        <v>0.05862</v>
      </c>
      <c r="M391" s="4" t="str">
        <f>HYPERLINK("http://141.218.60.56/~jnz1568/getInfo.php?workbook=06_02.xlsx&amp;sheet=A0&amp;row=391&amp;col=13&amp;number=0.01601&amp;sourceID=30","0.01601")</f>
        <v>0.01601</v>
      </c>
      <c r="N391" s="4" t="str">
        <f>HYPERLINK("http://141.218.60.56/~jnz1568/getInfo.php?workbook=06_02.xlsx&amp;sheet=A0&amp;row=391&amp;col=14&amp;number=&amp;sourceID=30","")</f>
        <v/>
      </c>
      <c r="O391" s="4" t="str">
        <f>HYPERLINK("http://141.218.60.56/~jnz1568/getInfo.php?workbook=06_02.xlsx&amp;sheet=A0&amp;row=391&amp;col=15&amp;number=&amp;sourceID=32","")</f>
        <v/>
      </c>
      <c r="P391" s="4" t="str">
        <f>HYPERLINK("http://141.218.60.56/~jnz1568/getInfo.php?workbook=06_02.xlsx&amp;sheet=A0&amp;row=391&amp;col=16&amp;number=9.278e-05&amp;sourceID=32","9.278e-05")</f>
        <v>9.278e-05</v>
      </c>
      <c r="Q391" s="4" t="str">
        <f>HYPERLINK("http://141.218.60.56/~jnz1568/getInfo.php?workbook=06_02.xlsx&amp;sheet=A0&amp;row=391&amp;col=17&amp;number=0.009837&amp;sourceID=32","0.009837")</f>
        <v>0.009837</v>
      </c>
      <c r="R391" s="4" t="str">
        <f>HYPERLINK("http://141.218.60.56/~jnz1568/getInfo.php?workbook=06_02.xlsx&amp;sheet=A0&amp;row=391&amp;col=18&amp;number=&amp;sourceID=32","")</f>
        <v/>
      </c>
    </row>
    <row r="392" spans="1:18">
      <c r="A392" s="3">
        <v>6</v>
      </c>
      <c r="B392" s="3">
        <v>2</v>
      </c>
      <c r="C392" s="3">
        <v>32</v>
      </c>
      <c r="D392" s="3">
        <v>3</v>
      </c>
      <c r="E392" s="3">
        <f>((1/(INDEX(E0!J$4:J$52,C392,1)-INDEX(E0!J$4:J$52,D392,1))))*100000000</f>
        <v>0</v>
      </c>
      <c r="F392" s="4" t="str">
        <f>HYPERLINK("http://141.218.60.56/~jnz1568/getInfo.php?workbook=06_02.xlsx&amp;sheet=A0&amp;row=392&amp;col=6&amp;number=&amp;sourceID=27","")</f>
        <v/>
      </c>
      <c r="G392" s="4" t="str">
        <f>HYPERLINK("http://141.218.60.56/~jnz1568/getInfo.php?workbook=06_02.xlsx&amp;sheet=A0&amp;row=392&amp;col=7&amp;number=&amp;sourceID=34","")</f>
        <v/>
      </c>
      <c r="H392" s="4" t="str">
        <f>HYPERLINK("http://141.218.60.56/~jnz1568/getInfo.php?workbook=06_02.xlsx&amp;sheet=A0&amp;row=392&amp;col=8&amp;number=&amp;sourceID=34","")</f>
        <v/>
      </c>
      <c r="I392" s="4" t="str">
        <f>HYPERLINK("http://141.218.60.56/~jnz1568/getInfo.php?workbook=06_02.xlsx&amp;sheet=A0&amp;row=392&amp;col=9&amp;number=&amp;sourceID=34","")</f>
        <v/>
      </c>
      <c r="J392" s="4" t="str">
        <f>HYPERLINK("http://141.218.60.56/~jnz1568/getInfo.php?workbook=06_02.xlsx&amp;sheet=A0&amp;row=392&amp;col=10&amp;number=&amp;sourceID=34","")</f>
        <v/>
      </c>
      <c r="K392" s="4" t="str">
        <f>HYPERLINK("http://141.218.60.56/~jnz1568/getInfo.php?workbook=06_02.xlsx&amp;sheet=A0&amp;row=392&amp;col=11&amp;number=&amp;sourceID=30","")</f>
        <v/>
      </c>
      <c r="L392" s="4" t="str">
        <f>HYPERLINK("http://141.218.60.56/~jnz1568/getInfo.php?workbook=06_02.xlsx&amp;sheet=A0&amp;row=392&amp;col=12&amp;number=&amp;sourceID=30","")</f>
        <v/>
      </c>
      <c r="M392" s="4" t="str">
        <f>HYPERLINK("http://141.218.60.56/~jnz1568/getInfo.php?workbook=06_02.xlsx&amp;sheet=A0&amp;row=392&amp;col=13&amp;number=0.0004098&amp;sourceID=30","0.0004098")</f>
        <v>0.0004098</v>
      </c>
      <c r="N392" s="4" t="str">
        <f>HYPERLINK("http://141.218.60.56/~jnz1568/getInfo.php?workbook=06_02.xlsx&amp;sheet=A0&amp;row=392&amp;col=14&amp;number=&amp;sourceID=30","")</f>
        <v/>
      </c>
      <c r="O392" s="4" t="str">
        <f>HYPERLINK("http://141.218.60.56/~jnz1568/getInfo.php?workbook=06_02.xlsx&amp;sheet=A0&amp;row=392&amp;col=15&amp;number=&amp;sourceID=32","")</f>
        <v/>
      </c>
      <c r="P392" s="4" t="str">
        <f>HYPERLINK("http://141.218.60.56/~jnz1568/getInfo.php?workbook=06_02.xlsx&amp;sheet=A0&amp;row=392&amp;col=16&amp;number=&amp;sourceID=32","")</f>
        <v/>
      </c>
      <c r="Q392" s="4" t="str">
        <f>HYPERLINK("http://141.218.60.56/~jnz1568/getInfo.php?workbook=06_02.xlsx&amp;sheet=A0&amp;row=392&amp;col=17&amp;number=0.007874&amp;sourceID=32","0.007874")</f>
        <v>0.007874</v>
      </c>
      <c r="R392" s="4" t="str">
        <f>HYPERLINK("http://141.218.60.56/~jnz1568/getInfo.php?workbook=06_02.xlsx&amp;sheet=A0&amp;row=392&amp;col=18&amp;number=&amp;sourceID=32","")</f>
        <v/>
      </c>
    </row>
    <row r="393" spans="1:18">
      <c r="A393" s="3">
        <v>6</v>
      </c>
      <c r="B393" s="3">
        <v>2</v>
      </c>
      <c r="C393" s="3">
        <v>32</v>
      </c>
      <c r="D393" s="3">
        <v>4</v>
      </c>
      <c r="E393" s="3">
        <f>((1/(INDEX(E0!J$4:J$52,C393,1)-INDEX(E0!J$4:J$52,D393,1))))*100000000</f>
        <v>0</v>
      </c>
      <c r="F393" s="4" t="str">
        <f>HYPERLINK("http://141.218.60.56/~jnz1568/getInfo.php?workbook=06_02.xlsx&amp;sheet=A0&amp;row=393&amp;col=6&amp;number=&amp;sourceID=27","")</f>
        <v/>
      </c>
      <c r="G393" s="4" t="str">
        <f>HYPERLINK("http://141.218.60.56/~jnz1568/getInfo.php?workbook=06_02.xlsx&amp;sheet=A0&amp;row=393&amp;col=7&amp;number=423300000&amp;sourceID=34","423300000")</f>
        <v>423300000</v>
      </c>
      <c r="H393" s="4" t="str">
        <f>HYPERLINK("http://141.218.60.56/~jnz1568/getInfo.php?workbook=06_02.xlsx&amp;sheet=A0&amp;row=393&amp;col=8&amp;number=&amp;sourceID=34","")</f>
        <v/>
      </c>
      <c r="I393" s="4" t="str">
        <f>HYPERLINK("http://141.218.60.56/~jnz1568/getInfo.php?workbook=06_02.xlsx&amp;sheet=A0&amp;row=393&amp;col=9&amp;number=&amp;sourceID=34","")</f>
        <v/>
      </c>
      <c r="J393" s="4" t="str">
        <f>HYPERLINK("http://141.218.60.56/~jnz1568/getInfo.php?workbook=06_02.xlsx&amp;sheet=A0&amp;row=393&amp;col=10&amp;number=&amp;sourceID=34","")</f>
        <v/>
      </c>
      <c r="K393" s="4" t="str">
        <f>HYPERLINK("http://141.218.60.56/~jnz1568/getInfo.php?workbook=06_02.xlsx&amp;sheet=A0&amp;row=393&amp;col=11&amp;number=247200000&amp;sourceID=30","247200000")</f>
        <v>247200000</v>
      </c>
      <c r="L393" s="4" t="str">
        <f>HYPERLINK("http://141.218.60.56/~jnz1568/getInfo.php?workbook=06_02.xlsx&amp;sheet=A0&amp;row=393&amp;col=12&amp;number=&amp;sourceID=30","")</f>
        <v/>
      </c>
      <c r="M393" s="4" t="str">
        <f>HYPERLINK("http://141.218.60.56/~jnz1568/getInfo.php?workbook=06_02.xlsx&amp;sheet=A0&amp;row=393&amp;col=13&amp;number=&amp;sourceID=30","")</f>
        <v/>
      </c>
      <c r="N393" s="4" t="str">
        <f>HYPERLINK("http://141.218.60.56/~jnz1568/getInfo.php?workbook=06_02.xlsx&amp;sheet=A0&amp;row=393&amp;col=14&amp;number=0.3106&amp;sourceID=30","0.3106")</f>
        <v>0.3106</v>
      </c>
      <c r="O393" s="4" t="str">
        <f>HYPERLINK("http://141.218.60.56/~jnz1568/getInfo.php?workbook=06_02.xlsx&amp;sheet=A0&amp;row=393&amp;col=15&amp;number=425800000&amp;sourceID=32","425800000")</f>
        <v>425800000</v>
      </c>
      <c r="P393" s="4" t="str">
        <f>HYPERLINK("http://141.218.60.56/~jnz1568/getInfo.php?workbook=06_02.xlsx&amp;sheet=A0&amp;row=393&amp;col=16&amp;number=&amp;sourceID=32","")</f>
        <v/>
      </c>
      <c r="Q393" s="4" t="str">
        <f>HYPERLINK("http://141.218.60.56/~jnz1568/getInfo.php?workbook=06_02.xlsx&amp;sheet=A0&amp;row=393&amp;col=17&amp;number=&amp;sourceID=32","")</f>
        <v/>
      </c>
      <c r="R393" s="4" t="str">
        <f>HYPERLINK("http://141.218.60.56/~jnz1568/getInfo.php?workbook=06_02.xlsx&amp;sheet=A0&amp;row=393&amp;col=18&amp;number=0.5443&amp;sourceID=32","0.5443")</f>
        <v>0.5443</v>
      </c>
    </row>
    <row r="394" spans="1:18">
      <c r="A394" s="3">
        <v>6</v>
      </c>
      <c r="B394" s="3">
        <v>2</v>
      </c>
      <c r="C394" s="3">
        <v>32</v>
      </c>
      <c r="D394" s="3">
        <v>5</v>
      </c>
      <c r="E394" s="3">
        <f>((1/(INDEX(E0!J$4:J$52,C394,1)-INDEX(E0!J$4:J$52,D394,1))))*100000000</f>
        <v>0</v>
      </c>
      <c r="F394" s="4" t="str">
        <f>HYPERLINK("http://141.218.60.56/~jnz1568/getInfo.php?workbook=06_02.xlsx&amp;sheet=A0&amp;row=394&amp;col=6&amp;number=&amp;sourceID=27","")</f>
        <v/>
      </c>
      <c r="G394" s="4" t="str">
        <f>HYPERLINK("http://141.218.60.56/~jnz1568/getInfo.php?workbook=06_02.xlsx&amp;sheet=A0&amp;row=394&amp;col=7&amp;number=141100000&amp;sourceID=34","141100000")</f>
        <v>141100000</v>
      </c>
      <c r="H394" s="4" t="str">
        <f>HYPERLINK("http://141.218.60.56/~jnz1568/getInfo.php?workbook=06_02.xlsx&amp;sheet=A0&amp;row=394&amp;col=8&amp;number=&amp;sourceID=34","")</f>
        <v/>
      </c>
      <c r="I394" s="4" t="str">
        <f>HYPERLINK("http://141.218.60.56/~jnz1568/getInfo.php?workbook=06_02.xlsx&amp;sheet=A0&amp;row=394&amp;col=9&amp;number=&amp;sourceID=34","")</f>
        <v/>
      </c>
      <c r="J394" s="4" t="str">
        <f>HYPERLINK("http://141.218.60.56/~jnz1568/getInfo.php?workbook=06_02.xlsx&amp;sheet=A0&amp;row=394&amp;col=10&amp;number=&amp;sourceID=34","")</f>
        <v/>
      </c>
      <c r="K394" s="4" t="str">
        <f>HYPERLINK("http://141.218.60.56/~jnz1568/getInfo.php?workbook=06_02.xlsx&amp;sheet=A0&amp;row=394&amp;col=11&amp;number=83020000&amp;sourceID=30","83020000")</f>
        <v>83020000</v>
      </c>
      <c r="L394" s="4" t="str">
        <f>HYPERLINK("http://141.218.60.56/~jnz1568/getInfo.php?workbook=06_02.xlsx&amp;sheet=A0&amp;row=394&amp;col=12&amp;number=&amp;sourceID=30","")</f>
        <v/>
      </c>
      <c r="M394" s="4" t="str">
        <f>HYPERLINK("http://141.218.60.56/~jnz1568/getInfo.php?workbook=06_02.xlsx&amp;sheet=A0&amp;row=394&amp;col=13&amp;number=&amp;sourceID=30","")</f>
        <v/>
      </c>
      <c r="N394" s="4" t="str">
        <f>HYPERLINK("http://141.218.60.56/~jnz1568/getInfo.php?workbook=06_02.xlsx&amp;sheet=A0&amp;row=394&amp;col=14&amp;number=&amp;sourceID=30","")</f>
        <v/>
      </c>
      <c r="O394" s="4" t="str">
        <f>HYPERLINK("http://141.218.60.56/~jnz1568/getInfo.php?workbook=06_02.xlsx&amp;sheet=A0&amp;row=394&amp;col=15&amp;number=142100000&amp;sourceID=32","142100000")</f>
        <v>142100000</v>
      </c>
      <c r="P394" s="4" t="str">
        <f>HYPERLINK("http://141.218.60.56/~jnz1568/getInfo.php?workbook=06_02.xlsx&amp;sheet=A0&amp;row=394&amp;col=16&amp;number=&amp;sourceID=32","")</f>
        <v/>
      </c>
      <c r="Q394" s="4" t="str">
        <f>HYPERLINK("http://141.218.60.56/~jnz1568/getInfo.php?workbook=06_02.xlsx&amp;sheet=A0&amp;row=394&amp;col=17&amp;number=&amp;sourceID=32","")</f>
        <v/>
      </c>
      <c r="R394" s="4" t="str">
        <f>HYPERLINK("http://141.218.60.56/~jnz1568/getInfo.php?workbook=06_02.xlsx&amp;sheet=A0&amp;row=394&amp;col=18&amp;number=&amp;sourceID=32","")</f>
        <v/>
      </c>
    </row>
    <row r="395" spans="1:18">
      <c r="A395" s="3">
        <v>6</v>
      </c>
      <c r="B395" s="3">
        <v>2</v>
      </c>
      <c r="C395" s="3">
        <v>32</v>
      </c>
      <c r="D395" s="3">
        <v>6</v>
      </c>
      <c r="E395" s="3">
        <f>((1/(INDEX(E0!J$4:J$52,C395,1)-INDEX(E0!J$4:J$52,D395,1))))*100000000</f>
        <v>0</v>
      </c>
      <c r="F395" s="4" t="str">
        <f>HYPERLINK("http://141.218.60.56/~jnz1568/getInfo.php?workbook=06_02.xlsx&amp;sheet=A0&amp;row=395&amp;col=6&amp;number=&amp;sourceID=27","")</f>
        <v/>
      </c>
      <c r="G395" s="4" t="str">
        <f>HYPERLINK("http://141.218.60.56/~jnz1568/getInfo.php?workbook=06_02.xlsx&amp;sheet=A0&amp;row=395&amp;col=7&amp;number=705000000&amp;sourceID=34","705000000")</f>
        <v>705000000</v>
      </c>
      <c r="H395" s="4" t="str">
        <f>HYPERLINK("http://141.218.60.56/~jnz1568/getInfo.php?workbook=06_02.xlsx&amp;sheet=A0&amp;row=395&amp;col=8&amp;number=&amp;sourceID=34","")</f>
        <v/>
      </c>
      <c r="I395" s="4" t="str">
        <f>HYPERLINK("http://141.218.60.56/~jnz1568/getInfo.php?workbook=06_02.xlsx&amp;sheet=A0&amp;row=395&amp;col=9&amp;number=&amp;sourceID=34","")</f>
        <v/>
      </c>
      <c r="J395" s="4" t="str">
        <f>HYPERLINK("http://141.218.60.56/~jnz1568/getInfo.php?workbook=06_02.xlsx&amp;sheet=A0&amp;row=395&amp;col=10&amp;number=&amp;sourceID=34","")</f>
        <v/>
      </c>
      <c r="K395" s="4" t="str">
        <f>HYPERLINK("http://141.218.60.56/~jnz1568/getInfo.php?workbook=06_02.xlsx&amp;sheet=A0&amp;row=395&amp;col=11&amp;number=411400000&amp;sourceID=30","411400000")</f>
        <v>411400000</v>
      </c>
      <c r="L395" s="4" t="str">
        <f>HYPERLINK("http://141.218.60.56/~jnz1568/getInfo.php?workbook=06_02.xlsx&amp;sheet=A0&amp;row=395&amp;col=12&amp;number=&amp;sourceID=30","")</f>
        <v/>
      </c>
      <c r="M395" s="4" t="str">
        <f>HYPERLINK("http://141.218.60.56/~jnz1568/getInfo.php?workbook=06_02.xlsx&amp;sheet=A0&amp;row=395&amp;col=13&amp;number=&amp;sourceID=30","")</f>
        <v/>
      </c>
      <c r="N395" s="4" t="str">
        <f>HYPERLINK("http://141.218.60.56/~jnz1568/getInfo.php?workbook=06_02.xlsx&amp;sheet=A0&amp;row=395&amp;col=14&amp;number=0.9566&amp;sourceID=30","0.9566")</f>
        <v>0.9566</v>
      </c>
      <c r="O395" s="4" t="str">
        <f>HYPERLINK("http://141.218.60.56/~jnz1568/getInfo.php?workbook=06_02.xlsx&amp;sheet=A0&amp;row=395&amp;col=15&amp;number=710600000&amp;sourceID=32","710600000")</f>
        <v>710600000</v>
      </c>
      <c r="P395" s="4" t="str">
        <f>HYPERLINK("http://141.218.60.56/~jnz1568/getInfo.php?workbook=06_02.xlsx&amp;sheet=A0&amp;row=395&amp;col=16&amp;number=&amp;sourceID=32","")</f>
        <v/>
      </c>
      <c r="Q395" s="4" t="str">
        <f>HYPERLINK("http://141.218.60.56/~jnz1568/getInfo.php?workbook=06_02.xlsx&amp;sheet=A0&amp;row=395&amp;col=17&amp;number=&amp;sourceID=32","")</f>
        <v/>
      </c>
      <c r="R395" s="4" t="str">
        <f>HYPERLINK("http://141.218.60.56/~jnz1568/getInfo.php?workbook=06_02.xlsx&amp;sheet=A0&amp;row=395&amp;col=18&amp;number=1.659&amp;sourceID=32","1.659")</f>
        <v>1.659</v>
      </c>
    </row>
    <row r="396" spans="1:18">
      <c r="A396" s="3">
        <v>6</v>
      </c>
      <c r="B396" s="3">
        <v>2</v>
      </c>
      <c r="C396" s="3">
        <v>32</v>
      </c>
      <c r="D396" s="3">
        <v>7</v>
      </c>
      <c r="E396" s="3">
        <f>((1/(INDEX(E0!J$4:J$52,C396,1)-INDEX(E0!J$4:J$52,D396,1))))*100000000</f>
        <v>0</v>
      </c>
      <c r="F396" s="4" t="str">
        <f>HYPERLINK("http://141.218.60.56/~jnz1568/getInfo.php?workbook=06_02.xlsx&amp;sheet=A0&amp;row=396&amp;col=6&amp;number=&amp;sourceID=27","")</f>
        <v/>
      </c>
      <c r="G396" s="4" t="str">
        <f>HYPERLINK("http://141.218.60.56/~jnz1568/getInfo.php?workbook=06_02.xlsx&amp;sheet=A0&amp;row=396&amp;col=7&amp;number=&amp;sourceID=34","")</f>
        <v/>
      </c>
      <c r="H396" s="4" t="str">
        <f>HYPERLINK("http://141.218.60.56/~jnz1568/getInfo.php?workbook=06_02.xlsx&amp;sheet=A0&amp;row=396&amp;col=8&amp;number=&amp;sourceID=34","")</f>
        <v/>
      </c>
      <c r="I396" s="4" t="str">
        <f>HYPERLINK("http://141.218.60.56/~jnz1568/getInfo.php?workbook=06_02.xlsx&amp;sheet=A0&amp;row=396&amp;col=9&amp;number=&amp;sourceID=34","")</f>
        <v/>
      </c>
      <c r="J396" s="4" t="str">
        <f>HYPERLINK("http://141.218.60.56/~jnz1568/getInfo.php?workbook=06_02.xlsx&amp;sheet=A0&amp;row=396&amp;col=10&amp;number=&amp;sourceID=34","")</f>
        <v/>
      </c>
      <c r="K396" s="4" t="str">
        <f>HYPERLINK("http://141.218.60.56/~jnz1568/getInfo.php?workbook=06_02.xlsx&amp;sheet=A0&amp;row=396&amp;col=11&amp;number=10740&amp;sourceID=30","10740")</f>
        <v>10740</v>
      </c>
      <c r="L396" s="4" t="str">
        <f>HYPERLINK("http://141.218.60.56/~jnz1568/getInfo.php?workbook=06_02.xlsx&amp;sheet=A0&amp;row=396&amp;col=12&amp;number=&amp;sourceID=30","")</f>
        <v/>
      </c>
      <c r="M396" s="4" t="str">
        <f>HYPERLINK("http://141.218.60.56/~jnz1568/getInfo.php?workbook=06_02.xlsx&amp;sheet=A0&amp;row=396&amp;col=13&amp;number=&amp;sourceID=30","")</f>
        <v/>
      </c>
      <c r="N396" s="4" t="str">
        <f>HYPERLINK("http://141.218.60.56/~jnz1568/getInfo.php?workbook=06_02.xlsx&amp;sheet=A0&amp;row=396&amp;col=14&amp;number=2.704&amp;sourceID=30","2.704")</f>
        <v>2.704</v>
      </c>
      <c r="O396" s="4" t="str">
        <f>HYPERLINK("http://141.218.60.56/~jnz1568/getInfo.php?workbook=06_02.xlsx&amp;sheet=A0&amp;row=396&amp;col=15&amp;number=14440&amp;sourceID=32","14440")</f>
        <v>14440</v>
      </c>
      <c r="P396" s="4" t="str">
        <f>HYPERLINK("http://141.218.60.56/~jnz1568/getInfo.php?workbook=06_02.xlsx&amp;sheet=A0&amp;row=396&amp;col=16&amp;number=&amp;sourceID=32","")</f>
        <v/>
      </c>
      <c r="Q396" s="4" t="str">
        <f>HYPERLINK("http://141.218.60.56/~jnz1568/getInfo.php?workbook=06_02.xlsx&amp;sheet=A0&amp;row=396&amp;col=17&amp;number=&amp;sourceID=32","")</f>
        <v/>
      </c>
      <c r="R396" s="4" t="str">
        <f>HYPERLINK("http://141.218.60.56/~jnz1568/getInfo.php?workbook=06_02.xlsx&amp;sheet=A0&amp;row=396&amp;col=18&amp;number=1.216&amp;sourceID=32","1.216")</f>
        <v>1.216</v>
      </c>
    </row>
    <row r="397" spans="1:18">
      <c r="A397" s="3">
        <v>6</v>
      </c>
      <c r="B397" s="3">
        <v>2</v>
      </c>
      <c r="C397" s="3">
        <v>32</v>
      </c>
      <c r="D397" s="3">
        <v>8</v>
      </c>
      <c r="E397" s="3">
        <f>((1/(INDEX(E0!J$4:J$52,C397,1)-INDEX(E0!J$4:J$52,D397,1))))*100000000</f>
        <v>0</v>
      </c>
      <c r="F397" s="4" t="str">
        <f>HYPERLINK("http://141.218.60.56/~jnz1568/getInfo.php?workbook=06_02.xlsx&amp;sheet=A0&amp;row=397&amp;col=6&amp;number=&amp;sourceID=27","")</f>
        <v/>
      </c>
      <c r="G397" s="4" t="str">
        <f>HYPERLINK("http://141.218.60.56/~jnz1568/getInfo.php?workbook=06_02.xlsx&amp;sheet=A0&amp;row=397&amp;col=7&amp;number=&amp;sourceID=34","")</f>
        <v/>
      </c>
      <c r="H397" s="4" t="str">
        <f>HYPERLINK("http://141.218.60.56/~jnz1568/getInfo.php?workbook=06_02.xlsx&amp;sheet=A0&amp;row=397&amp;col=8&amp;number=&amp;sourceID=34","")</f>
        <v/>
      </c>
      <c r="I397" s="4" t="str">
        <f>HYPERLINK("http://141.218.60.56/~jnz1568/getInfo.php?workbook=06_02.xlsx&amp;sheet=A0&amp;row=397&amp;col=9&amp;number=&amp;sourceID=34","")</f>
        <v/>
      </c>
      <c r="J397" s="4" t="str">
        <f>HYPERLINK("http://141.218.60.56/~jnz1568/getInfo.php?workbook=06_02.xlsx&amp;sheet=A0&amp;row=397&amp;col=10&amp;number=&amp;sourceID=34","")</f>
        <v/>
      </c>
      <c r="K397" s="4" t="str">
        <f>HYPERLINK("http://141.218.60.56/~jnz1568/getInfo.php?workbook=06_02.xlsx&amp;sheet=A0&amp;row=397&amp;col=11&amp;number=&amp;sourceID=30","")</f>
        <v/>
      </c>
      <c r="L397" s="4" t="str">
        <f>HYPERLINK("http://141.218.60.56/~jnz1568/getInfo.php?workbook=06_02.xlsx&amp;sheet=A0&amp;row=397&amp;col=12&amp;number=8.563e-06&amp;sourceID=30","8.563e-06")</f>
        <v>8.563e-06</v>
      </c>
      <c r="M397" s="4" t="str">
        <f>HYPERLINK("http://141.218.60.56/~jnz1568/getInfo.php?workbook=06_02.xlsx&amp;sheet=A0&amp;row=397&amp;col=13&amp;number=0.0002064&amp;sourceID=30","0.0002064")</f>
        <v>0.0002064</v>
      </c>
      <c r="N397" s="4" t="str">
        <f>HYPERLINK("http://141.218.60.56/~jnz1568/getInfo.php?workbook=06_02.xlsx&amp;sheet=A0&amp;row=397&amp;col=14&amp;number=&amp;sourceID=30","")</f>
        <v/>
      </c>
      <c r="O397" s="4" t="str">
        <f>HYPERLINK("http://141.218.60.56/~jnz1568/getInfo.php?workbook=06_02.xlsx&amp;sheet=A0&amp;row=397&amp;col=15&amp;number=&amp;sourceID=32","")</f>
        <v/>
      </c>
      <c r="P397" s="4" t="str">
        <f>HYPERLINK("http://141.218.60.56/~jnz1568/getInfo.php?workbook=06_02.xlsx&amp;sheet=A0&amp;row=397&amp;col=16&amp;number=0.0002726&amp;sourceID=32","0.0002726")</f>
        <v>0.0002726</v>
      </c>
      <c r="Q397" s="4" t="str">
        <f>HYPERLINK("http://141.218.60.56/~jnz1568/getInfo.php?workbook=06_02.xlsx&amp;sheet=A0&amp;row=397&amp;col=17&amp;number=0.0002005&amp;sourceID=32","0.0002005")</f>
        <v>0.0002005</v>
      </c>
      <c r="R397" s="4" t="str">
        <f>HYPERLINK("http://141.218.60.56/~jnz1568/getInfo.php?workbook=06_02.xlsx&amp;sheet=A0&amp;row=397&amp;col=18&amp;number=&amp;sourceID=32","")</f>
        <v/>
      </c>
    </row>
    <row r="398" spans="1:18">
      <c r="A398" s="3">
        <v>6</v>
      </c>
      <c r="B398" s="3">
        <v>2</v>
      </c>
      <c r="C398" s="3">
        <v>32</v>
      </c>
      <c r="D398" s="3">
        <v>9</v>
      </c>
      <c r="E398" s="3">
        <f>((1/(INDEX(E0!J$4:J$52,C398,1)-INDEX(E0!J$4:J$52,D398,1))))*100000000</f>
        <v>0</v>
      </c>
      <c r="F398" s="4" t="str">
        <f>HYPERLINK("http://141.218.60.56/~jnz1568/getInfo.php?workbook=06_02.xlsx&amp;sheet=A0&amp;row=398&amp;col=6&amp;number=&amp;sourceID=27","")</f>
        <v/>
      </c>
      <c r="G398" s="4" t="str">
        <f>HYPERLINK("http://141.218.60.56/~jnz1568/getInfo.php?workbook=06_02.xlsx&amp;sheet=A0&amp;row=398&amp;col=7&amp;number=&amp;sourceID=34","")</f>
        <v/>
      </c>
      <c r="H398" s="4" t="str">
        <f>HYPERLINK("http://141.218.60.56/~jnz1568/getInfo.php?workbook=06_02.xlsx&amp;sheet=A0&amp;row=398&amp;col=8&amp;number=&amp;sourceID=34","")</f>
        <v/>
      </c>
      <c r="I398" s="4" t="str">
        <f>HYPERLINK("http://141.218.60.56/~jnz1568/getInfo.php?workbook=06_02.xlsx&amp;sheet=A0&amp;row=398&amp;col=9&amp;number=&amp;sourceID=34","")</f>
        <v/>
      </c>
      <c r="J398" s="4" t="str">
        <f>HYPERLINK("http://141.218.60.56/~jnz1568/getInfo.php?workbook=06_02.xlsx&amp;sheet=A0&amp;row=398&amp;col=10&amp;number=&amp;sourceID=34","")</f>
        <v/>
      </c>
      <c r="K398" s="4" t="str">
        <f>HYPERLINK("http://141.218.60.56/~jnz1568/getInfo.php?workbook=06_02.xlsx&amp;sheet=A0&amp;row=398&amp;col=11&amp;number=&amp;sourceID=30","")</f>
        <v/>
      </c>
      <c r="L398" s="4" t="str">
        <f>HYPERLINK("http://141.218.60.56/~jnz1568/getInfo.php?workbook=06_02.xlsx&amp;sheet=A0&amp;row=398&amp;col=12&amp;number=&amp;sourceID=30","")</f>
        <v/>
      </c>
      <c r="M398" s="4" t="str">
        <f>HYPERLINK("http://141.218.60.56/~jnz1568/getInfo.php?workbook=06_02.xlsx&amp;sheet=A0&amp;row=398&amp;col=13&amp;number=0.0002629&amp;sourceID=30","0.0002629")</f>
        <v>0.0002629</v>
      </c>
      <c r="N398" s="4" t="str">
        <f>HYPERLINK("http://141.218.60.56/~jnz1568/getInfo.php?workbook=06_02.xlsx&amp;sheet=A0&amp;row=398&amp;col=14&amp;number=&amp;sourceID=30","")</f>
        <v/>
      </c>
      <c r="O398" s="4" t="str">
        <f>HYPERLINK("http://141.218.60.56/~jnz1568/getInfo.php?workbook=06_02.xlsx&amp;sheet=A0&amp;row=398&amp;col=15&amp;number=&amp;sourceID=32","")</f>
        <v/>
      </c>
      <c r="P398" s="4" t="str">
        <f>HYPERLINK("http://141.218.60.56/~jnz1568/getInfo.php?workbook=06_02.xlsx&amp;sheet=A0&amp;row=398&amp;col=16&amp;number=&amp;sourceID=32","")</f>
        <v/>
      </c>
      <c r="Q398" s="4" t="str">
        <f>HYPERLINK("http://141.218.60.56/~jnz1568/getInfo.php?workbook=06_02.xlsx&amp;sheet=A0&amp;row=398&amp;col=17&amp;number=0.000284&amp;sourceID=32","0.000284")</f>
        <v>0.000284</v>
      </c>
      <c r="R398" s="4" t="str">
        <f>HYPERLINK("http://141.218.60.56/~jnz1568/getInfo.php?workbook=06_02.xlsx&amp;sheet=A0&amp;row=398&amp;col=18&amp;number=&amp;sourceID=32","")</f>
        <v/>
      </c>
    </row>
    <row r="399" spans="1:18">
      <c r="A399" s="3">
        <v>6</v>
      </c>
      <c r="B399" s="3">
        <v>2</v>
      </c>
      <c r="C399" s="3">
        <v>32</v>
      </c>
      <c r="D399" s="3">
        <v>10</v>
      </c>
      <c r="E399" s="3">
        <f>((1/(INDEX(E0!J$4:J$52,C399,1)-INDEX(E0!J$4:J$52,D399,1))))*100000000</f>
        <v>0</v>
      </c>
      <c r="F399" s="4" t="str">
        <f>HYPERLINK("http://141.218.60.56/~jnz1568/getInfo.php?workbook=06_02.xlsx&amp;sheet=A0&amp;row=399&amp;col=6&amp;number=&amp;sourceID=27","")</f>
        <v/>
      </c>
      <c r="G399" s="4" t="str">
        <f>HYPERLINK("http://141.218.60.56/~jnz1568/getInfo.php?workbook=06_02.xlsx&amp;sheet=A0&amp;row=399&amp;col=7&amp;number=283400000&amp;sourceID=34","283400000")</f>
        <v>283400000</v>
      </c>
      <c r="H399" s="4" t="str">
        <f>HYPERLINK("http://141.218.60.56/~jnz1568/getInfo.php?workbook=06_02.xlsx&amp;sheet=A0&amp;row=399&amp;col=8&amp;number=&amp;sourceID=34","")</f>
        <v/>
      </c>
      <c r="I399" s="4" t="str">
        <f>HYPERLINK("http://141.218.60.56/~jnz1568/getInfo.php?workbook=06_02.xlsx&amp;sheet=A0&amp;row=399&amp;col=9&amp;number=&amp;sourceID=34","")</f>
        <v/>
      </c>
      <c r="J399" s="4" t="str">
        <f>HYPERLINK("http://141.218.60.56/~jnz1568/getInfo.php?workbook=06_02.xlsx&amp;sheet=A0&amp;row=399&amp;col=10&amp;number=&amp;sourceID=34","")</f>
        <v/>
      </c>
      <c r="K399" s="4" t="str">
        <f>HYPERLINK("http://141.218.60.56/~jnz1568/getInfo.php?workbook=06_02.xlsx&amp;sheet=A0&amp;row=399&amp;col=11&amp;number=241700000&amp;sourceID=30","241700000")</f>
        <v>241700000</v>
      </c>
      <c r="L399" s="4" t="str">
        <f>HYPERLINK("http://141.218.60.56/~jnz1568/getInfo.php?workbook=06_02.xlsx&amp;sheet=A0&amp;row=399&amp;col=12&amp;number=&amp;sourceID=30","")</f>
        <v/>
      </c>
      <c r="M399" s="4" t="str">
        <f>HYPERLINK("http://141.218.60.56/~jnz1568/getInfo.php?workbook=06_02.xlsx&amp;sheet=A0&amp;row=399&amp;col=13&amp;number=&amp;sourceID=30","")</f>
        <v/>
      </c>
      <c r="N399" s="4" t="str">
        <f>HYPERLINK("http://141.218.60.56/~jnz1568/getInfo.php?workbook=06_02.xlsx&amp;sheet=A0&amp;row=399&amp;col=14&amp;number=0.03397&amp;sourceID=30","0.03397")</f>
        <v>0.03397</v>
      </c>
      <c r="O399" s="4" t="str">
        <f>HYPERLINK("http://141.218.60.56/~jnz1568/getInfo.php?workbook=06_02.xlsx&amp;sheet=A0&amp;row=399&amp;col=15&amp;number=283900000&amp;sourceID=32","283900000")</f>
        <v>283900000</v>
      </c>
      <c r="P399" s="4" t="str">
        <f>HYPERLINK("http://141.218.60.56/~jnz1568/getInfo.php?workbook=06_02.xlsx&amp;sheet=A0&amp;row=399&amp;col=16&amp;number=&amp;sourceID=32","")</f>
        <v/>
      </c>
      <c r="Q399" s="4" t="str">
        <f>HYPERLINK("http://141.218.60.56/~jnz1568/getInfo.php?workbook=06_02.xlsx&amp;sheet=A0&amp;row=399&amp;col=17&amp;number=&amp;sourceID=32","")</f>
        <v/>
      </c>
      <c r="R399" s="4" t="str">
        <f>HYPERLINK("http://141.218.60.56/~jnz1568/getInfo.php?workbook=06_02.xlsx&amp;sheet=A0&amp;row=399&amp;col=18&amp;number=0.04013&amp;sourceID=32","0.04013")</f>
        <v>0.04013</v>
      </c>
    </row>
    <row r="400" spans="1:18">
      <c r="A400" s="3">
        <v>6</v>
      </c>
      <c r="B400" s="3">
        <v>2</v>
      </c>
      <c r="C400" s="3">
        <v>32</v>
      </c>
      <c r="D400" s="3">
        <v>11</v>
      </c>
      <c r="E400" s="3">
        <f>((1/(INDEX(E0!J$4:J$52,C400,1)-INDEX(E0!J$4:J$52,D400,1))))*100000000</f>
        <v>0</v>
      </c>
      <c r="F400" s="4" t="str">
        <f>HYPERLINK("http://141.218.60.56/~jnz1568/getInfo.php?workbook=06_02.xlsx&amp;sheet=A0&amp;row=400&amp;col=6&amp;number=&amp;sourceID=27","")</f>
        <v/>
      </c>
      <c r="G400" s="4" t="str">
        <f>HYPERLINK("http://141.218.60.56/~jnz1568/getInfo.php?workbook=06_02.xlsx&amp;sheet=A0&amp;row=400&amp;col=7&amp;number=94470000&amp;sourceID=34","94470000")</f>
        <v>94470000</v>
      </c>
      <c r="H400" s="4" t="str">
        <f>HYPERLINK("http://141.218.60.56/~jnz1568/getInfo.php?workbook=06_02.xlsx&amp;sheet=A0&amp;row=400&amp;col=8&amp;number=&amp;sourceID=34","")</f>
        <v/>
      </c>
      <c r="I400" s="4" t="str">
        <f>HYPERLINK("http://141.218.60.56/~jnz1568/getInfo.php?workbook=06_02.xlsx&amp;sheet=A0&amp;row=400&amp;col=9&amp;number=&amp;sourceID=34","")</f>
        <v/>
      </c>
      <c r="J400" s="4" t="str">
        <f>HYPERLINK("http://141.218.60.56/~jnz1568/getInfo.php?workbook=06_02.xlsx&amp;sheet=A0&amp;row=400&amp;col=10&amp;number=&amp;sourceID=34","")</f>
        <v/>
      </c>
      <c r="K400" s="4" t="str">
        <f>HYPERLINK("http://141.218.60.56/~jnz1568/getInfo.php?workbook=06_02.xlsx&amp;sheet=A0&amp;row=400&amp;col=11&amp;number=80760000&amp;sourceID=30","80760000")</f>
        <v>80760000</v>
      </c>
      <c r="L400" s="4" t="str">
        <f>HYPERLINK("http://141.218.60.56/~jnz1568/getInfo.php?workbook=06_02.xlsx&amp;sheet=A0&amp;row=400&amp;col=12&amp;number=&amp;sourceID=30","")</f>
        <v/>
      </c>
      <c r="M400" s="4" t="str">
        <f>HYPERLINK("http://141.218.60.56/~jnz1568/getInfo.php?workbook=06_02.xlsx&amp;sheet=A0&amp;row=400&amp;col=13&amp;number=&amp;sourceID=30","")</f>
        <v/>
      </c>
      <c r="N400" s="4" t="str">
        <f>HYPERLINK("http://141.218.60.56/~jnz1568/getInfo.php?workbook=06_02.xlsx&amp;sheet=A0&amp;row=400&amp;col=14&amp;number=&amp;sourceID=30","")</f>
        <v/>
      </c>
      <c r="O400" s="4" t="str">
        <f>HYPERLINK("http://141.218.60.56/~jnz1568/getInfo.php?workbook=06_02.xlsx&amp;sheet=A0&amp;row=400&amp;col=15&amp;number=94740000&amp;sourceID=32","94740000")</f>
        <v>94740000</v>
      </c>
      <c r="P400" s="4" t="str">
        <f>HYPERLINK("http://141.218.60.56/~jnz1568/getInfo.php?workbook=06_02.xlsx&amp;sheet=A0&amp;row=400&amp;col=16&amp;number=&amp;sourceID=32","")</f>
        <v/>
      </c>
      <c r="Q400" s="4" t="str">
        <f>HYPERLINK("http://141.218.60.56/~jnz1568/getInfo.php?workbook=06_02.xlsx&amp;sheet=A0&amp;row=400&amp;col=17&amp;number=&amp;sourceID=32","")</f>
        <v/>
      </c>
      <c r="R400" s="4" t="str">
        <f>HYPERLINK("http://141.218.60.56/~jnz1568/getInfo.php?workbook=06_02.xlsx&amp;sheet=A0&amp;row=400&amp;col=18&amp;number=&amp;sourceID=32","")</f>
        <v/>
      </c>
    </row>
    <row r="401" spans="1:18">
      <c r="A401" s="3">
        <v>6</v>
      </c>
      <c r="B401" s="3">
        <v>2</v>
      </c>
      <c r="C401" s="3">
        <v>32</v>
      </c>
      <c r="D401" s="3">
        <v>12</v>
      </c>
      <c r="E401" s="3">
        <f>((1/(INDEX(E0!J$4:J$52,C401,1)-INDEX(E0!J$4:J$52,D401,1))))*100000000</f>
        <v>0</v>
      </c>
      <c r="F401" s="4" t="str">
        <f>HYPERLINK("http://141.218.60.56/~jnz1568/getInfo.php?workbook=06_02.xlsx&amp;sheet=A0&amp;row=401&amp;col=6&amp;number=&amp;sourceID=27","")</f>
        <v/>
      </c>
      <c r="G401" s="4" t="str">
        <f>HYPERLINK("http://141.218.60.56/~jnz1568/getInfo.php?workbook=06_02.xlsx&amp;sheet=A0&amp;row=401&amp;col=7&amp;number=472000000&amp;sourceID=34","472000000")</f>
        <v>472000000</v>
      </c>
      <c r="H401" s="4" t="str">
        <f>HYPERLINK("http://141.218.60.56/~jnz1568/getInfo.php?workbook=06_02.xlsx&amp;sheet=A0&amp;row=401&amp;col=8&amp;number=&amp;sourceID=34","")</f>
        <v/>
      </c>
      <c r="I401" s="4" t="str">
        <f>HYPERLINK("http://141.218.60.56/~jnz1568/getInfo.php?workbook=06_02.xlsx&amp;sheet=A0&amp;row=401&amp;col=9&amp;number=&amp;sourceID=34","")</f>
        <v/>
      </c>
      <c r="J401" s="4" t="str">
        <f>HYPERLINK("http://141.218.60.56/~jnz1568/getInfo.php?workbook=06_02.xlsx&amp;sheet=A0&amp;row=401&amp;col=10&amp;number=&amp;sourceID=34","")</f>
        <v/>
      </c>
      <c r="K401" s="4" t="str">
        <f>HYPERLINK("http://141.218.60.56/~jnz1568/getInfo.php?workbook=06_02.xlsx&amp;sheet=A0&amp;row=401&amp;col=11&amp;number=403000000&amp;sourceID=30","403000000")</f>
        <v>403000000</v>
      </c>
      <c r="L401" s="4" t="str">
        <f>HYPERLINK("http://141.218.60.56/~jnz1568/getInfo.php?workbook=06_02.xlsx&amp;sheet=A0&amp;row=401&amp;col=12&amp;number=&amp;sourceID=30","")</f>
        <v/>
      </c>
      <c r="M401" s="4" t="str">
        <f>HYPERLINK("http://141.218.60.56/~jnz1568/getInfo.php?workbook=06_02.xlsx&amp;sheet=A0&amp;row=401&amp;col=13&amp;number=&amp;sourceID=30","")</f>
        <v/>
      </c>
      <c r="N401" s="4" t="str">
        <f>HYPERLINK("http://141.218.60.56/~jnz1568/getInfo.php?workbook=06_02.xlsx&amp;sheet=A0&amp;row=401&amp;col=14&amp;number=0.1038&amp;sourceID=30","0.1038")</f>
        <v>0.1038</v>
      </c>
      <c r="O401" s="4" t="str">
        <f>HYPERLINK("http://141.218.60.56/~jnz1568/getInfo.php?workbook=06_02.xlsx&amp;sheet=A0&amp;row=401&amp;col=15&amp;number=473800000&amp;sourceID=32","473800000")</f>
        <v>473800000</v>
      </c>
      <c r="P401" s="4" t="str">
        <f>HYPERLINK("http://141.218.60.56/~jnz1568/getInfo.php?workbook=06_02.xlsx&amp;sheet=A0&amp;row=401&amp;col=16&amp;number=&amp;sourceID=32","")</f>
        <v/>
      </c>
      <c r="Q401" s="4" t="str">
        <f>HYPERLINK("http://141.218.60.56/~jnz1568/getInfo.php?workbook=06_02.xlsx&amp;sheet=A0&amp;row=401&amp;col=17&amp;number=&amp;sourceID=32","")</f>
        <v/>
      </c>
      <c r="R401" s="4" t="str">
        <f>HYPERLINK("http://141.218.60.56/~jnz1568/getInfo.php?workbook=06_02.xlsx&amp;sheet=A0&amp;row=401&amp;col=18&amp;number=0.1224&amp;sourceID=32","0.1224")</f>
        <v>0.1224</v>
      </c>
    </row>
    <row r="402" spans="1:18">
      <c r="A402" s="3">
        <v>6</v>
      </c>
      <c r="B402" s="3">
        <v>2</v>
      </c>
      <c r="C402" s="3">
        <v>32</v>
      </c>
      <c r="D402" s="3">
        <v>13</v>
      </c>
      <c r="E402" s="3">
        <f>((1/(INDEX(E0!J$4:J$52,C402,1)-INDEX(E0!J$4:J$52,D402,1))))*100000000</f>
        <v>0</v>
      </c>
      <c r="F402" s="4" t="str">
        <f>HYPERLINK("http://141.218.60.56/~jnz1568/getInfo.php?workbook=06_02.xlsx&amp;sheet=A0&amp;row=402&amp;col=6&amp;number=&amp;sourceID=27","")</f>
        <v/>
      </c>
      <c r="G402" s="4" t="str">
        <f>HYPERLINK("http://141.218.60.56/~jnz1568/getInfo.php?workbook=06_02.xlsx&amp;sheet=A0&amp;row=402&amp;col=7&amp;number=&amp;sourceID=34","")</f>
        <v/>
      </c>
      <c r="H402" s="4" t="str">
        <f>HYPERLINK("http://141.218.60.56/~jnz1568/getInfo.php?workbook=06_02.xlsx&amp;sheet=A0&amp;row=402&amp;col=8&amp;number=&amp;sourceID=34","")</f>
        <v/>
      </c>
      <c r="I402" s="4" t="str">
        <f>HYPERLINK("http://141.218.60.56/~jnz1568/getInfo.php?workbook=06_02.xlsx&amp;sheet=A0&amp;row=402&amp;col=9&amp;number=&amp;sourceID=34","")</f>
        <v/>
      </c>
      <c r="J402" s="4" t="str">
        <f>HYPERLINK("http://141.218.60.56/~jnz1568/getInfo.php?workbook=06_02.xlsx&amp;sheet=A0&amp;row=402&amp;col=10&amp;number=&amp;sourceID=34","")</f>
        <v/>
      </c>
      <c r="K402" s="4" t="str">
        <f>HYPERLINK("http://141.218.60.56/~jnz1568/getInfo.php?workbook=06_02.xlsx&amp;sheet=A0&amp;row=402&amp;col=11&amp;number=&amp;sourceID=30","")</f>
        <v/>
      </c>
      <c r="L402" s="4" t="str">
        <f>HYPERLINK("http://141.218.60.56/~jnz1568/getInfo.php?workbook=06_02.xlsx&amp;sheet=A0&amp;row=402&amp;col=12&amp;number=2174&amp;sourceID=30","2174")</f>
        <v>2174</v>
      </c>
      <c r="M402" s="4" t="str">
        <f>HYPERLINK("http://141.218.60.56/~jnz1568/getInfo.php?workbook=06_02.xlsx&amp;sheet=A0&amp;row=402&amp;col=13&amp;number=7.527e-06&amp;sourceID=30","7.527e-06")</f>
        <v>7.527e-06</v>
      </c>
      <c r="N402" s="4" t="str">
        <f>HYPERLINK("http://141.218.60.56/~jnz1568/getInfo.php?workbook=06_02.xlsx&amp;sheet=A0&amp;row=402&amp;col=14&amp;number=&amp;sourceID=30","")</f>
        <v/>
      </c>
      <c r="O402" s="4" t="str">
        <f>HYPERLINK("http://141.218.60.56/~jnz1568/getInfo.php?workbook=06_02.xlsx&amp;sheet=A0&amp;row=402&amp;col=15&amp;number=&amp;sourceID=32","")</f>
        <v/>
      </c>
      <c r="P402" s="4" t="str">
        <f>HYPERLINK("http://141.218.60.56/~jnz1568/getInfo.php?workbook=06_02.xlsx&amp;sheet=A0&amp;row=402&amp;col=16&amp;number=2282&amp;sourceID=32","2282")</f>
        <v>2282</v>
      </c>
      <c r="Q402" s="4" t="str">
        <f>HYPERLINK("http://141.218.60.56/~jnz1568/getInfo.php?workbook=06_02.xlsx&amp;sheet=A0&amp;row=402&amp;col=17&amp;number=8.486e-06&amp;sourceID=32","8.486e-06")</f>
        <v>8.486e-06</v>
      </c>
      <c r="R402" s="4" t="str">
        <f>HYPERLINK("http://141.218.60.56/~jnz1568/getInfo.php?workbook=06_02.xlsx&amp;sheet=A0&amp;row=402&amp;col=18&amp;number=&amp;sourceID=32","")</f>
        <v/>
      </c>
    </row>
    <row r="403" spans="1:18">
      <c r="A403" s="3">
        <v>6</v>
      </c>
      <c r="B403" s="3">
        <v>2</v>
      </c>
      <c r="C403" s="3">
        <v>32</v>
      </c>
      <c r="D403" s="3">
        <v>14</v>
      </c>
      <c r="E403" s="3">
        <f>((1/(INDEX(E0!J$4:J$52,C403,1)-INDEX(E0!J$4:J$52,D403,1))))*100000000</f>
        <v>0</v>
      </c>
      <c r="F403" s="4" t="str">
        <f>HYPERLINK("http://141.218.60.56/~jnz1568/getInfo.php?workbook=06_02.xlsx&amp;sheet=A0&amp;row=403&amp;col=6&amp;number=&amp;sourceID=27","")</f>
        <v/>
      </c>
      <c r="G403" s="4" t="str">
        <f>HYPERLINK("http://141.218.60.56/~jnz1568/getInfo.php?workbook=06_02.xlsx&amp;sheet=A0&amp;row=403&amp;col=7&amp;number=&amp;sourceID=34","")</f>
        <v/>
      </c>
      <c r="H403" s="4" t="str">
        <f>HYPERLINK("http://141.218.60.56/~jnz1568/getInfo.php?workbook=06_02.xlsx&amp;sheet=A0&amp;row=403&amp;col=8&amp;number=&amp;sourceID=34","")</f>
        <v/>
      </c>
      <c r="I403" s="4" t="str">
        <f>HYPERLINK("http://141.218.60.56/~jnz1568/getInfo.php?workbook=06_02.xlsx&amp;sheet=A0&amp;row=403&amp;col=9&amp;number=&amp;sourceID=34","")</f>
        <v/>
      </c>
      <c r="J403" s="4" t="str">
        <f>HYPERLINK("http://141.218.60.56/~jnz1568/getInfo.php?workbook=06_02.xlsx&amp;sheet=A0&amp;row=403&amp;col=10&amp;number=&amp;sourceID=34","")</f>
        <v/>
      </c>
      <c r="K403" s="4" t="str">
        <f>HYPERLINK("http://141.218.60.56/~jnz1568/getInfo.php?workbook=06_02.xlsx&amp;sheet=A0&amp;row=403&amp;col=11&amp;number=&amp;sourceID=30","")</f>
        <v/>
      </c>
      <c r="L403" s="4" t="str">
        <f>HYPERLINK("http://141.218.60.56/~jnz1568/getInfo.php?workbook=06_02.xlsx&amp;sheet=A0&amp;row=403&amp;col=12&amp;number=3605&amp;sourceID=30","3605")</f>
        <v>3605</v>
      </c>
      <c r="M403" s="4" t="str">
        <f>HYPERLINK("http://141.218.60.56/~jnz1568/getInfo.php?workbook=06_02.xlsx&amp;sheet=A0&amp;row=403&amp;col=13&amp;number=1.823e-06&amp;sourceID=30","1.823e-06")</f>
        <v>1.823e-06</v>
      </c>
      <c r="N403" s="4" t="str">
        <f>HYPERLINK("http://141.218.60.56/~jnz1568/getInfo.php?workbook=06_02.xlsx&amp;sheet=A0&amp;row=403&amp;col=14&amp;number=&amp;sourceID=30","")</f>
        <v/>
      </c>
      <c r="O403" s="4" t="str">
        <f>HYPERLINK("http://141.218.60.56/~jnz1568/getInfo.php?workbook=06_02.xlsx&amp;sheet=A0&amp;row=403&amp;col=15&amp;number=&amp;sourceID=32","")</f>
        <v/>
      </c>
      <c r="P403" s="4" t="str">
        <f>HYPERLINK("http://141.218.60.56/~jnz1568/getInfo.php?workbook=06_02.xlsx&amp;sheet=A0&amp;row=403&amp;col=16&amp;number=3786&amp;sourceID=32","3786")</f>
        <v>3786</v>
      </c>
      <c r="Q403" s="4" t="str">
        <f>HYPERLINK("http://141.218.60.56/~jnz1568/getInfo.php?workbook=06_02.xlsx&amp;sheet=A0&amp;row=403&amp;col=17&amp;number=1.612e-06&amp;sourceID=32","1.612e-06")</f>
        <v>1.612e-06</v>
      </c>
      <c r="R403" s="4" t="str">
        <f>HYPERLINK("http://141.218.60.56/~jnz1568/getInfo.php?workbook=06_02.xlsx&amp;sheet=A0&amp;row=403&amp;col=18&amp;number=&amp;sourceID=32","")</f>
        <v/>
      </c>
    </row>
    <row r="404" spans="1:18">
      <c r="A404" s="3">
        <v>6</v>
      </c>
      <c r="B404" s="3">
        <v>2</v>
      </c>
      <c r="C404" s="3">
        <v>32</v>
      </c>
      <c r="D404" s="3">
        <v>15</v>
      </c>
      <c r="E404" s="3">
        <f>((1/(INDEX(E0!J$4:J$52,C404,1)-INDEX(E0!J$4:J$52,D404,1))))*100000000</f>
        <v>0</v>
      </c>
      <c r="F404" s="4" t="str">
        <f>HYPERLINK("http://141.218.60.56/~jnz1568/getInfo.php?workbook=06_02.xlsx&amp;sheet=A0&amp;row=404&amp;col=6&amp;number=&amp;sourceID=27","")</f>
        <v/>
      </c>
      <c r="G404" s="4" t="str">
        <f>HYPERLINK("http://141.218.60.56/~jnz1568/getInfo.php?workbook=06_02.xlsx&amp;sheet=A0&amp;row=404&amp;col=7&amp;number=&amp;sourceID=34","")</f>
        <v/>
      </c>
      <c r="H404" s="4" t="str">
        <f>HYPERLINK("http://141.218.60.56/~jnz1568/getInfo.php?workbook=06_02.xlsx&amp;sheet=A0&amp;row=404&amp;col=8&amp;number=&amp;sourceID=34","")</f>
        <v/>
      </c>
      <c r="I404" s="4" t="str">
        <f>HYPERLINK("http://141.218.60.56/~jnz1568/getInfo.php?workbook=06_02.xlsx&amp;sheet=A0&amp;row=404&amp;col=9&amp;number=&amp;sourceID=34","")</f>
        <v/>
      </c>
      <c r="J404" s="4" t="str">
        <f>HYPERLINK("http://141.218.60.56/~jnz1568/getInfo.php?workbook=06_02.xlsx&amp;sheet=A0&amp;row=404&amp;col=10&amp;number=&amp;sourceID=34","")</f>
        <v/>
      </c>
      <c r="K404" s="4" t="str">
        <f>HYPERLINK("http://141.218.60.56/~jnz1568/getInfo.php?workbook=06_02.xlsx&amp;sheet=A0&amp;row=404&amp;col=11&amp;number=&amp;sourceID=30","")</f>
        <v/>
      </c>
      <c r="L404" s="4" t="str">
        <f>HYPERLINK("http://141.218.60.56/~jnz1568/getInfo.php?workbook=06_02.xlsx&amp;sheet=A0&amp;row=404&amp;col=12&amp;number=5060&amp;sourceID=30","5060")</f>
        <v>5060</v>
      </c>
      <c r="M404" s="4" t="str">
        <f>HYPERLINK("http://141.218.60.56/~jnz1568/getInfo.php?workbook=06_02.xlsx&amp;sheet=A0&amp;row=404&amp;col=13&amp;number=&amp;sourceID=30","")</f>
        <v/>
      </c>
      <c r="N404" s="4" t="str">
        <f>HYPERLINK("http://141.218.60.56/~jnz1568/getInfo.php?workbook=06_02.xlsx&amp;sheet=A0&amp;row=404&amp;col=14&amp;number=&amp;sourceID=30","")</f>
        <v/>
      </c>
      <c r="O404" s="4" t="str">
        <f>HYPERLINK("http://141.218.60.56/~jnz1568/getInfo.php?workbook=06_02.xlsx&amp;sheet=A0&amp;row=404&amp;col=15&amp;number=&amp;sourceID=32","")</f>
        <v/>
      </c>
      <c r="P404" s="4" t="str">
        <f>HYPERLINK("http://141.218.60.56/~jnz1568/getInfo.php?workbook=06_02.xlsx&amp;sheet=A0&amp;row=404&amp;col=16&amp;number=5325&amp;sourceID=32","5325")</f>
        <v>5325</v>
      </c>
      <c r="Q404" s="4" t="str">
        <f>HYPERLINK("http://141.218.60.56/~jnz1568/getInfo.php?workbook=06_02.xlsx&amp;sheet=A0&amp;row=404&amp;col=17&amp;number=&amp;sourceID=32","")</f>
        <v/>
      </c>
      <c r="R404" s="4" t="str">
        <f>HYPERLINK("http://141.218.60.56/~jnz1568/getInfo.php?workbook=06_02.xlsx&amp;sheet=A0&amp;row=404&amp;col=18&amp;number=&amp;sourceID=32","")</f>
        <v/>
      </c>
    </row>
    <row r="405" spans="1:18">
      <c r="A405" s="3">
        <v>6</v>
      </c>
      <c r="B405" s="3">
        <v>2</v>
      </c>
      <c r="C405" s="3">
        <v>32</v>
      </c>
      <c r="D405" s="3">
        <v>16</v>
      </c>
      <c r="E405" s="3">
        <f>((1/(INDEX(E0!J$4:J$52,C405,1)-INDEX(E0!J$4:J$52,D405,1))))*100000000</f>
        <v>0</v>
      </c>
      <c r="F405" s="4" t="str">
        <f>HYPERLINK("http://141.218.60.56/~jnz1568/getInfo.php?workbook=06_02.xlsx&amp;sheet=A0&amp;row=405&amp;col=6&amp;number=&amp;sourceID=27","")</f>
        <v/>
      </c>
      <c r="G405" s="4" t="str">
        <f>HYPERLINK("http://141.218.60.56/~jnz1568/getInfo.php?workbook=06_02.xlsx&amp;sheet=A0&amp;row=405&amp;col=7&amp;number=&amp;sourceID=34","")</f>
        <v/>
      </c>
      <c r="H405" s="4" t="str">
        <f>HYPERLINK("http://141.218.60.56/~jnz1568/getInfo.php?workbook=06_02.xlsx&amp;sheet=A0&amp;row=405&amp;col=8&amp;number=&amp;sourceID=34","")</f>
        <v/>
      </c>
      <c r="I405" s="4" t="str">
        <f>HYPERLINK("http://141.218.60.56/~jnz1568/getInfo.php?workbook=06_02.xlsx&amp;sheet=A0&amp;row=405&amp;col=9&amp;number=&amp;sourceID=34","")</f>
        <v/>
      </c>
      <c r="J405" s="4" t="str">
        <f>HYPERLINK("http://141.218.60.56/~jnz1568/getInfo.php?workbook=06_02.xlsx&amp;sheet=A0&amp;row=405&amp;col=10&amp;number=&amp;sourceID=34","")</f>
        <v/>
      </c>
      <c r="K405" s="4" t="str">
        <f>HYPERLINK("http://141.218.60.56/~jnz1568/getInfo.php?workbook=06_02.xlsx&amp;sheet=A0&amp;row=405&amp;col=11&amp;number=&amp;sourceID=30","")</f>
        <v/>
      </c>
      <c r="L405" s="4" t="str">
        <f>HYPERLINK("http://141.218.60.56/~jnz1568/getInfo.php?workbook=06_02.xlsx&amp;sheet=A0&amp;row=405&amp;col=12&amp;number=11.51&amp;sourceID=30","11.51")</f>
        <v>11.51</v>
      </c>
      <c r="M405" s="4" t="str">
        <f>HYPERLINK("http://141.218.60.56/~jnz1568/getInfo.php?workbook=06_02.xlsx&amp;sheet=A0&amp;row=405&amp;col=13&amp;number=5.604e-08&amp;sourceID=30","5.604e-08")</f>
        <v>5.604e-08</v>
      </c>
      <c r="N405" s="4" t="str">
        <f>HYPERLINK("http://141.218.60.56/~jnz1568/getInfo.php?workbook=06_02.xlsx&amp;sheet=A0&amp;row=405&amp;col=14&amp;number=&amp;sourceID=30","")</f>
        <v/>
      </c>
      <c r="O405" s="4" t="str">
        <f>HYPERLINK("http://141.218.60.56/~jnz1568/getInfo.php?workbook=06_02.xlsx&amp;sheet=A0&amp;row=405&amp;col=15&amp;number=&amp;sourceID=32","")</f>
        <v/>
      </c>
      <c r="P405" s="4" t="str">
        <f>HYPERLINK("http://141.218.60.56/~jnz1568/getInfo.php?workbook=06_02.xlsx&amp;sheet=A0&amp;row=405&amp;col=16&amp;number=16.22&amp;sourceID=32","16.22")</f>
        <v>16.22</v>
      </c>
      <c r="Q405" s="4" t="str">
        <f>HYPERLINK("http://141.218.60.56/~jnz1568/getInfo.php?workbook=06_02.xlsx&amp;sheet=A0&amp;row=405&amp;col=17&amp;number=1.023e-07&amp;sourceID=32","1.023e-07")</f>
        <v>1.023e-07</v>
      </c>
      <c r="R405" s="4" t="str">
        <f>HYPERLINK("http://141.218.60.56/~jnz1568/getInfo.php?workbook=06_02.xlsx&amp;sheet=A0&amp;row=405&amp;col=18&amp;number=&amp;sourceID=32","")</f>
        <v/>
      </c>
    </row>
    <row r="406" spans="1:18">
      <c r="A406" s="3">
        <v>6</v>
      </c>
      <c r="B406" s="3">
        <v>2</v>
      </c>
      <c r="C406" s="3">
        <v>32</v>
      </c>
      <c r="D406" s="3">
        <v>17</v>
      </c>
      <c r="E406" s="3">
        <f>((1/(INDEX(E0!J$4:J$52,C406,1)-INDEX(E0!J$4:J$52,D406,1))))*100000000</f>
        <v>0</v>
      </c>
      <c r="F406" s="4" t="str">
        <f>HYPERLINK("http://141.218.60.56/~jnz1568/getInfo.php?workbook=06_02.xlsx&amp;sheet=A0&amp;row=406&amp;col=6&amp;number=&amp;sourceID=27","")</f>
        <v/>
      </c>
      <c r="G406" s="4" t="str">
        <f>HYPERLINK("http://141.218.60.56/~jnz1568/getInfo.php?workbook=06_02.xlsx&amp;sheet=A0&amp;row=406&amp;col=7&amp;number=&amp;sourceID=34","")</f>
        <v/>
      </c>
      <c r="H406" s="4" t="str">
        <f>HYPERLINK("http://141.218.60.56/~jnz1568/getInfo.php?workbook=06_02.xlsx&amp;sheet=A0&amp;row=406&amp;col=8&amp;number=&amp;sourceID=34","")</f>
        <v/>
      </c>
      <c r="I406" s="4" t="str">
        <f>HYPERLINK("http://141.218.60.56/~jnz1568/getInfo.php?workbook=06_02.xlsx&amp;sheet=A0&amp;row=406&amp;col=9&amp;number=&amp;sourceID=34","")</f>
        <v/>
      </c>
      <c r="J406" s="4" t="str">
        <f>HYPERLINK("http://141.218.60.56/~jnz1568/getInfo.php?workbook=06_02.xlsx&amp;sheet=A0&amp;row=406&amp;col=10&amp;number=&amp;sourceID=34","")</f>
        <v/>
      </c>
      <c r="K406" s="4" t="str">
        <f>HYPERLINK("http://141.218.60.56/~jnz1568/getInfo.php?workbook=06_02.xlsx&amp;sheet=A0&amp;row=406&amp;col=11&amp;number=8712&amp;sourceID=30","8712")</f>
        <v>8712</v>
      </c>
      <c r="L406" s="4" t="str">
        <f>HYPERLINK("http://141.218.60.56/~jnz1568/getInfo.php?workbook=06_02.xlsx&amp;sheet=A0&amp;row=406&amp;col=12&amp;number=&amp;sourceID=30","")</f>
        <v/>
      </c>
      <c r="M406" s="4" t="str">
        <f>HYPERLINK("http://141.218.60.56/~jnz1568/getInfo.php?workbook=06_02.xlsx&amp;sheet=A0&amp;row=406&amp;col=13&amp;number=&amp;sourceID=30","")</f>
        <v/>
      </c>
      <c r="N406" s="4" t="str">
        <f>HYPERLINK("http://141.218.60.56/~jnz1568/getInfo.php?workbook=06_02.xlsx&amp;sheet=A0&amp;row=406&amp;col=14&amp;number=0.1176&amp;sourceID=30","0.1176")</f>
        <v>0.1176</v>
      </c>
      <c r="O406" s="4" t="str">
        <f>HYPERLINK("http://141.218.60.56/~jnz1568/getInfo.php?workbook=06_02.xlsx&amp;sheet=A0&amp;row=406&amp;col=15&amp;number=10150&amp;sourceID=32","10150")</f>
        <v>10150</v>
      </c>
      <c r="P406" s="4" t="str">
        <f>HYPERLINK("http://141.218.60.56/~jnz1568/getInfo.php?workbook=06_02.xlsx&amp;sheet=A0&amp;row=406&amp;col=16&amp;number=&amp;sourceID=32","")</f>
        <v/>
      </c>
      <c r="Q406" s="4" t="str">
        <f>HYPERLINK("http://141.218.60.56/~jnz1568/getInfo.php?workbook=06_02.xlsx&amp;sheet=A0&amp;row=406&amp;col=17&amp;number=&amp;sourceID=32","")</f>
        <v/>
      </c>
      <c r="R406" s="4" t="str">
        <f>HYPERLINK("http://141.218.60.56/~jnz1568/getInfo.php?workbook=06_02.xlsx&amp;sheet=A0&amp;row=406&amp;col=18&amp;number=0.08947&amp;sourceID=32","0.08947")</f>
        <v>0.08947</v>
      </c>
    </row>
    <row r="407" spans="1:18">
      <c r="A407" s="3">
        <v>6</v>
      </c>
      <c r="B407" s="3">
        <v>2</v>
      </c>
      <c r="C407" s="3">
        <v>32</v>
      </c>
      <c r="D407" s="3">
        <v>18</v>
      </c>
      <c r="E407" s="3">
        <f>((1/(INDEX(E0!J$4:J$52,C407,1)-INDEX(E0!J$4:J$52,D407,1))))*100000000</f>
        <v>0</v>
      </c>
      <c r="F407" s="4" t="str">
        <f>HYPERLINK("http://141.218.60.56/~jnz1568/getInfo.php?workbook=06_02.xlsx&amp;sheet=A0&amp;row=407&amp;col=6&amp;number=&amp;sourceID=27","")</f>
        <v/>
      </c>
      <c r="G407" s="4" t="str">
        <f>HYPERLINK("http://141.218.60.56/~jnz1568/getInfo.php?workbook=06_02.xlsx&amp;sheet=A0&amp;row=407&amp;col=7&amp;number=&amp;sourceID=34","")</f>
        <v/>
      </c>
      <c r="H407" s="4" t="str">
        <f>HYPERLINK("http://141.218.60.56/~jnz1568/getInfo.php?workbook=06_02.xlsx&amp;sheet=A0&amp;row=407&amp;col=8&amp;number=&amp;sourceID=34","")</f>
        <v/>
      </c>
      <c r="I407" s="4" t="str">
        <f>HYPERLINK("http://141.218.60.56/~jnz1568/getInfo.php?workbook=06_02.xlsx&amp;sheet=A0&amp;row=407&amp;col=9&amp;number=&amp;sourceID=34","")</f>
        <v/>
      </c>
      <c r="J407" s="4" t="str">
        <f>HYPERLINK("http://141.218.60.56/~jnz1568/getInfo.php?workbook=06_02.xlsx&amp;sheet=A0&amp;row=407&amp;col=10&amp;number=&amp;sourceID=34","")</f>
        <v/>
      </c>
      <c r="K407" s="4" t="str">
        <f>HYPERLINK("http://141.218.60.56/~jnz1568/getInfo.php?workbook=06_02.xlsx&amp;sheet=A0&amp;row=407&amp;col=11&amp;number=&amp;sourceID=30","")</f>
        <v/>
      </c>
      <c r="L407" s="4" t="str">
        <f>HYPERLINK("http://141.218.60.56/~jnz1568/getInfo.php?workbook=06_02.xlsx&amp;sheet=A0&amp;row=407&amp;col=12&amp;number=0.0001094&amp;sourceID=30","0.0001094")</f>
        <v>0.0001094</v>
      </c>
      <c r="M407" s="4" t="str">
        <f>HYPERLINK("http://141.218.60.56/~jnz1568/getInfo.php?workbook=06_02.xlsx&amp;sheet=A0&amp;row=407&amp;col=13&amp;number=5.098e-06&amp;sourceID=30","5.098e-06")</f>
        <v>5.098e-06</v>
      </c>
      <c r="N407" s="4" t="str">
        <f>HYPERLINK("http://141.218.60.56/~jnz1568/getInfo.php?workbook=06_02.xlsx&amp;sheet=A0&amp;row=407&amp;col=14&amp;number=&amp;sourceID=30","")</f>
        <v/>
      </c>
      <c r="O407" s="4" t="str">
        <f>HYPERLINK("http://141.218.60.56/~jnz1568/getInfo.php?workbook=06_02.xlsx&amp;sheet=A0&amp;row=407&amp;col=15&amp;number=&amp;sourceID=32","")</f>
        <v/>
      </c>
      <c r="P407" s="4" t="str">
        <f>HYPERLINK("http://141.218.60.56/~jnz1568/getInfo.php?workbook=06_02.xlsx&amp;sheet=A0&amp;row=407&amp;col=16&amp;number=0.0001523&amp;sourceID=32","0.0001523")</f>
        <v>0.0001523</v>
      </c>
      <c r="Q407" s="4" t="str">
        <f>HYPERLINK("http://141.218.60.56/~jnz1568/getInfo.php?workbook=06_02.xlsx&amp;sheet=A0&amp;row=407&amp;col=17&amp;number=6.185e-06&amp;sourceID=32","6.185e-06")</f>
        <v>6.185e-06</v>
      </c>
      <c r="R407" s="4" t="str">
        <f>HYPERLINK("http://141.218.60.56/~jnz1568/getInfo.php?workbook=06_02.xlsx&amp;sheet=A0&amp;row=407&amp;col=18&amp;number=&amp;sourceID=32","")</f>
        <v/>
      </c>
    </row>
    <row r="408" spans="1:18">
      <c r="A408" s="3">
        <v>6</v>
      </c>
      <c r="B408" s="3">
        <v>2</v>
      </c>
      <c r="C408" s="3">
        <v>32</v>
      </c>
      <c r="D408" s="3">
        <v>19</v>
      </c>
      <c r="E408" s="3">
        <f>((1/(INDEX(E0!J$4:J$52,C408,1)-INDEX(E0!J$4:J$52,D408,1))))*100000000</f>
        <v>0</v>
      </c>
      <c r="F408" s="4" t="str">
        <f>HYPERLINK("http://141.218.60.56/~jnz1568/getInfo.php?workbook=06_02.xlsx&amp;sheet=A0&amp;row=408&amp;col=6&amp;number=&amp;sourceID=27","")</f>
        <v/>
      </c>
      <c r="G408" s="4" t="str">
        <f>HYPERLINK("http://141.218.60.56/~jnz1568/getInfo.php?workbook=06_02.xlsx&amp;sheet=A0&amp;row=408&amp;col=7&amp;number=&amp;sourceID=34","")</f>
        <v/>
      </c>
      <c r="H408" s="4" t="str">
        <f>HYPERLINK("http://141.218.60.56/~jnz1568/getInfo.php?workbook=06_02.xlsx&amp;sheet=A0&amp;row=408&amp;col=8&amp;number=&amp;sourceID=34","")</f>
        <v/>
      </c>
      <c r="I408" s="4" t="str">
        <f>HYPERLINK("http://141.218.60.56/~jnz1568/getInfo.php?workbook=06_02.xlsx&amp;sheet=A0&amp;row=408&amp;col=9&amp;number=&amp;sourceID=34","")</f>
        <v/>
      </c>
      <c r="J408" s="4" t="str">
        <f>HYPERLINK("http://141.218.60.56/~jnz1568/getInfo.php?workbook=06_02.xlsx&amp;sheet=A0&amp;row=408&amp;col=10&amp;number=&amp;sourceID=34","")</f>
        <v/>
      </c>
      <c r="K408" s="4" t="str">
        <f>HYPERLINK("http://141.218.60.56/~jnz1568/getInfo.php?workbook=06_02.xlsx&amp;sheet=A0&amp;row=408&amp;col=11&amp;number=&amp;sourceID=30","")</f>
        <v/>
      </c>
      <c r="L408" s="4" t="str">
        <f>HYPERLINK("http://141.218.60.56/~jnz1568/getInfo.php?workbook=06_02.xlsx&amp;sheet=A0&amp;row=408&amp;col=12&amp;number=&amp;sourceID=30","")</f>
        <v/>
      </c>
      <c r="M408" s="4" t="str">
        <f>HYPERLINK("http://141.218.60.56/~jnz1568/getInfo.php?workbook=06_02.xlsx&amp;sheet=A0&amp;row=408&amp;col=13&amp;number=2.187e-05&amp;sourceID=30","2.187e-05")</f>
        <v>2.187e-05</v>
      </c>
      <c r="N408" s="4" t="str">
        <f>HYPERLINK("http://141.218.60.56/~jnz1568/getInfo.php?workbook=06_02.xlsx&amp;sheet=A0&amp;row=408&amp;col=14&amp;number=&amp;sourceID=30","")</f>
        <v/>
      </c>
      <c r="O408" s="4" t="str">
        <f>HYPERLINK("http://141.218.60.56/~jnz1568/getInfo.php?workbook=06_02.xlsx&amp;sheet=A0&amp;row=408&amp;col=15&amp;number=&amp;sourceID=32","")</f>
        <v/>
      </c>
      <c r="P408" s="4" t="str">
        <f>HYPERLINK("http://141.218.60.56/~jnz1568/getInfo.php?workbook=06_02.xlsx&amp;sheet=A0&amp;row=408&amp;col=16&amp;number=&amp;sourceID=32","")</f>
        <v/>
      </c>
      <c r="Q408" s="4" t="str">
        <f>HYPERLINK("http://141.218.60.56/~jnz1568/getInfo.php?workbook=06_02.xlsx&amp;sheet=A0&amp;row=408&amp;col=17&amp;number=1.854e-05&amp;sourceID=32","1.854e-05")</f>
        <v>1.854e-05</v>
      </c>
      <c r="R408" s="4" t="str">
        <f>HYPERLINK("http://141.218.60.56/~jnz1568/getInfo.php?workbook=06_02.xlsx&amp;sheet=A0&amp;row=408&amp;col=18&amp;number=&amp;sourceID=32","")</f>
        <v/>
      </c>
    </row>
    <row r="409" spans="1:18">
      <c r="A409" s="3">
        <v>6</v>
      </c>
      <c r="B409" s="3">
        <v>2</v>
      </c>
      <c r="C409" s="3">
        <v>32</v>
      </c>
      <c r="D409" s="3">
        <v>20</v>
      </c>
      <c r="E409" s="3">
        <f>((1/(INDEX(E0!J$4:J$52,C409,1)-INDEX(E0!J$4:J$52,D409,1))))*100000000</f>
        <v>0</v>
      </c>
      <c r="F409" s="4" t="str">
        <f>HYPERLINK("http://141.218.60.56/~jnz1568/getInfo.php?workbook=06_02.xlsx&amp;sheet=A0&amp;row=409&amp;col=6&amp;number=&amp;sourceID=27","")</f>
        <v/>
      </c>
      <c r="G409" s="4" t="str">
        <f>HYPERLINK("http://141.218.60.56/~jnz1568/getInfo.php?workbook=06_02.xlsx&amp;sheet=A0&amp;row=409&amp;col=7&amp;number=&amp;sourceID=34","")</f>
        <v/>
      </c>
      <c r="H409" s="4" t="str">
        <f>HYPERLINK("http://141.218.60.56/~jnz1568/getInfo.php?workbook=06_02.xlsx&amp;sheet=A0&amp;row=409&amp;col=8&amp;number=&amp;sourceID=34","")</f>
        <v/>
      </c>
      <c r="I409" s="4" t="str">
        <f>HYPERLINK("http://141.218.60.56/~jnz1568/getInfo.php?workbook=06_02.xlsx&amp;sheet=A0&amp;row=409&amp;col=9&amp;number=&amp;sourceID=34","")</f>
        <v/>
      </c>
      <c r="J409" s="4" t="str">
        <f>HYPERLINK("http://141.218.60.56/~jnz1568/getInfo.php?workbook=06_02.xlsx&amp;sheet=A0&amp;row=409&amp;col=10&amp;number=&amp;sourceID=34","")</f>
        <v/>
      </c>
      <c r="K409" s="4" t="str">
        <f>HYPERLINK("http://141.218.60.56/~jnz1568/getInfo.php?workbook=06_02.xlsx&amp;sheet=A0&amp;row=409&amp;col=11&amp;number=64430000&amp;sourceID=30","64430000")</f>
        <v>64430000</v>
      </c>
      <c r="L409" s="4" t="str">
        <f>HYPERLINK("http://141.218.60.56/~jnz1568/getInfo.php?workbook=06_02.xlsx&amp;sheet=A0&amp;row=409&amp;col=12&amp;number=&amp;sourceID=30","")</f>
        <v/>
      </c>
      <c r="M409" s="4" t="str">
        <f>HYPERLINK("http://141.218.60.56/~jnz1568/getInfo.php?workbook=06_02.xlsx&amp;sheet=A0&amp;row=409&amp;col=13&amp;number=&amp;sourceID=30","")</f>
        <v/>
      </c>
      <c r="N409" s="4" t="str">
        <f>HYPERLINK("http://141.218.60.56/~jnz1568/getInfo.php?workbook=06_02.xlsx&amp;sheet=A0&amp;row=409&amp;col=14&amp;number=&amp;sourceID=30","")</f>
        <v/>
      </c>
      <c r="O409" s="4" t="str">
        <f>HYPERLINK("http://141.218.60.56/~jnz1568/getInfo.php?workbook=06_02.xlsx&amp;sheet=A0&amp;row=409&amp;col=15&amp;number=67540000&amp;sourceID=32","67540000")</f>
        <v>67540000</v>
      </c>
      <c r="P409" s="4" t="str">
        <f>HYPERLINK("http://141.218.60.56/~jnz1568/getInfo.php?workbook=06_02.xlsx&amp;sheet=A0&amp;row=409&amp;col=16&amp;number=&amp;sourceID=32","")</f>
        <v/>
      </c>
      <c r="Q409" s="4" t="str">
        <f>HYPERLINK("http://141.218.60.56/~jnz1568/getInfo.php?workbook=06_02.xlsx&amp;sheet=A0&amp;row=409&amp;col=17&amp;number=&amp;sourceID=32","")</f>
        <v/>
      </c>
      <c r="R409" s="4" t="str">
        <f>HYPERLINK("http://141.218.60.56/~jnz1568/getInfo.php?workbook=06_02.xlsx&amp;sheet=A0&amp;row=409&amp;col=18&amp;number=&amp;sourceID=32","")</f>
        <v/>
      </c>
    </row>
    <row r="410" spans="1:18">
      <c r="A410" s="3">
        <v>6</v>
      </c>
      <c r="B410" s="3">
        <v>2</v>
      </c>
      <c r="C410" s="3">
        <v>32</v>
      </c>
      <c r="D410" s="3">
        <v>21</v>
      </c>
      <c r="E410" s="3">
        <f>((1/(INDEX(E0!J$4:J$52,C410,1)-INDEX(E0!J$4:J$52,D410,1))))*100000000</f>
        <v>0</v>
      </c>
      <c r="F410" s="4" t="str">
        <f>HYPERLINK("http://141.218.60.56/~jnz1568/getInfo.php?workbook=06_02.xlsx&amp;sheet=A0&amp;row=410&amp;col=6&amp;number=&amp;sourceID=27","")</f>
        <v/>
      </c>
      <c r="G410" s="4" t="str">
        <f>HYPERLINK("http://141.218.60.56/~jnz1568/getInfo.php?workbook=06_02.xlsx&amp;sheet=A0&amp;row=410&amp;col=7&amp;number=&amp;sourceID=34","")</f>
        <v/>
      </c>
      <c r="H410" s="4" t="str">
        <f>HYPERLINK("http://141.218.60.56/~jnz1568/getInfo.php?workbook=06_02.xlsx&amp;sheet=A0&amp;row=410&amp;col=8&amp;number=&amp;sourceID=34","")</f>
        <v/>
      </c>
      <c r="I410" s="4" t="str">
        <f>HYPERLINK("http://141.218.60.56/~jnz1568/getInfo.php?workbook=06_02.xlsx&amp;sheet=A0&amp;row=410&amp;col=9&amp;number=&amp;sourceID=34","")</f>
        <v/>
      </c>
      <c r="J410" s="4" t="str">
        <f>HYPERLINK("http://141.218.60.56/~jnz1568/getInfo.php?workbook=06_02.xlsx&amp;sheet=A0&amp;row=410&amp;col=10&amp;number=&amp;sourceID=34","")</f>
        <v/>
      </c>
      <c r="K410" s="4" t="str">
        <f>HYPERLINK("http://141.218.60.56/~jnz1568/getInfo.php?workbook=06_02.xlsx&amp;sheet=A0&amp;row=410&amp;col=11&amp;number=193100000&amp;sourceID=30","193100000")</f>
        <v>193100000</v>
      </c>
      <c r="L410" s="4" t="str">
        <f>HYPERLINK("http://141.218.60.56/~jnz1568/getInfo.php?workbook=06_02.xlsx&amp;sheet=A0&amp;row=410&amp;col=12&amp;number=&amp;sourceID=30","")</f>
        <v/>
      </c>
      <c r="M410" s="4" t="str">
        <f>HYPERLINK("http://141.218.60.56/~jnz1568/getInfo.php?workbook=06_02.xlsx&amp;sheet=A0&amp;row=410&amp;col=13&amp;number=&amp;sourceID=30","")</f>
        <v/>
      </c>
      <c r="N410" s="4" t="str">
        <f>HYPERLINK("http://141.218.60.56/~jnz1568/getInfo.php?workbook=06_02.xlsx&amp;sheet=A0&amp;row=410&amp;col=14&amp;number=0.002558&amp;sourceID=30","0.002558")</f>
        <v>0.002558</v>
      </c>
      <c r="O410" s="4" t="str">
        <f>HYPERLINK("http://141.218.60.56/~jnz1568/getInfo.php?workbook=06_02.xlsx&amp;sheet=A0&amp;row=410&amp;col=15&amp;number=202400000&amp;sourceID=32","202400000")</f>
        <v>202400000</v>
      </c>
      <c r="P410" s="4" t="str">
        <f>HYPERLINK("http://141.218.60.56/~jnz1568/getInfo.php?workbook=06_02.xlsx&amp;sheet=A0&amp;row=410&amp;col=16&amp;number=&amp;sourceID=32","")</f>
        <v/>
      </c>
      <c r="Q410" s="4" t="str">
        <f>HYPERLINK("http://141.218.60.56/~jnz1568/getInfo.php?workbook=06_02.xlsx&amp;sheet=A0&amp;row=410&amp;col=17&amp;number=&amp;sourceID=32","")</f>
        <v/>
      </c>
      <c r="R410" s="4" t="str">
        <f>HYPERLINK("http://141.218.60.56/~jnz1568/getInfo.php?workbook=06_02.xlsx&amp;sheet=A0&amp;row=410&amp;col=18&amp;number=0.00269&amp;sourceID=32","0.00269")</f>
        <v>0.00269</v>
      </c>
    </row>
    <row r="411" spans="1:18">
      <c r="A411" s="3">
        <v>6</v>
      </c>
      <c r="B411" s="3">
        <v>2</v>
      </c>
      <c r="C411" s="3">
        <v>32</v>
      </c>
      <c r="D411" s="3">
        <v>22</v>
      </c>
      <c r="E411" s="3">
        <f>((1/(INDEX(E0!J$4:J$52,C411,1)-INDEX(E0!J$4:J$52,D411,1))))*100000000</f>
        <v>0</v>
      </c>
      <c r="F411" s="4" t="str">
        <f>HYPERLINK("http://141.218.60.56/~jnz1568/getInfo.php?workbook=06_02.xlsx&amp;sheet=A0&amp;row=411&amp;col=6&amp;number=&amp;sourceID=27","")</f>
        <v/>
      </c>
      <c r="G411" s="4" t="str">
        <f>HYPERLINK("http://141.218.60.56/~jnz1568/getInfo.php?workbook=06_02.xlsx&amp;sheet=A0&amp;row=411&amp;col=7&amp;number=&amp;sourceID=34","")</f>
        <v/>
      </c>
      <c r="H411" s="4" t="str">
        <f>HYPERLINK("http://141.218.60.56/~jnz1568/getInfo.php?workbook=06_02.xlsx&amp;sheet=A0&amp;row=411&amp;col=8&amp;number=&amp;sourceID=34","")</f>
        <v/>
      </c>
      <c r="I411" s="4" t="str">
        <f>HYPERLINK("http://141.218.60.56/~jnz1568/getInfo.php?workbook=06_02.xlsx&amp;sheet=A0&amp;row=411&amp;col=9&amp;number=&amp;sourceID=34","")</f>
        <v/>
      </c>
      <c r="J411" s="4" t="str">
        <f>HYPERLINK("http://141.218.60.56/~jnz1568/getInfo.php?workbook=06_02.xlsx&amp;sheet=A0&amp;row=411&amp;col=10&amp;number=&amp;sourceID=34","")</f>
        <v/>
      </c>
      <c r="K411" s="4" t="str">
        <f>HYPERLINK("http://141.218.60.56/~jnz1568/getInfo.php?workbook=06_02.xlsx&amp;sheet=A0&amp;row=411&amp;col=11&amp;number=322100000&amp;sourceID=30","322100000")</f>
        <v>322100000</v>
      </c>
      <c r="L411" s="4" t="str">
        <f>HYPERLINK("http://141.218.60.56/~jnz1568/getInfo.php?workbook=06_02.xlsx&amp;sheet=A0&amp;row=411&amp;col=12&amp;number=&amp;sourceID=30","")</f>
        <v/>
      </c>
      <c r="M411" s="4" t="str">
        <f>HYPERLINK("http://141.218.60.56/~jnz1568/getInfo.php?workbook=06_02.xlsx&amp;sheet=A0&amp;row=411&amp;col=13&amp;number=&amp;sourceID=30","")</f>
        <v/>
      </c>
      <c r="N411" s="4" t="str">
        <f>HYPERLINK("http://141.218.60.56/~jnz1568/getInfo.php?workbook=06_02.xlsx&amp;sheet=A0&amp;row=411&amp;col=14&amp;number=0.007799&amp;sourceID=30","0.007799")</f>
        <v>0.007799</v>
      </c>
      <c r="O411" s="4" t="str">
        <f>HYPERLINK("http://141.218.60.56/~jnz1568/getInfo.php?workbook=06_02.xlsx&amp;sheet=A0&amp;row=411&amp;col=15&amp;number=337800000&amp;sourceID=32","337800000")</f>
        <v>337800000</v>
      </c>
      <c r="P411" s="4" t="str">
        <f>HYPERLINK("http://141.218.60.56/~jnz1568/getInfo.php?workbook=06_02.xlsx&amp;sheet=A0&amp;row=411&amp;col=16&amp;number=&amp;sourceID=32","")</f>
        <v/>
      </c>
      <c r="Q411" s="4" t="str">
        <f>HYPERLINK("http://141.218.60.56/~jnz1568/getInfo.php?workbook=06_02.xlsx&amp;sheet=A0&amp;row=411&amp;col=17&amp;number=&amp;sourceID=32","")</f>
        <v/>
      </c>
      <c r="R411" s="4" t="str">
        <f>HYPERLINK("http://141.218.60.56/~jnz1568/getInfo.php?workbook=06_02.xlsx&amp;sheet=A0&amp;row=411&amp;col=18&amp;number=0.008202&amp;sourceID=32","0.008202")</f>
        <v>0.008202</v>
      </c>
    </row>
    <row r="412" spans="1:18">
      <c r="A412" s="3">
        <v>6</v>
      </c>
      <c r="B412" s="3">
        <v>2</v>
      </c>
      <c r="C412" s="3">
        <v>32</v>
      </c>
      <c r="D412" s="3">
        <v>23</v>
      </c>
      <c r="E412" s="3">
        <f>((1/(INDEX(E0!J$4:J$52,C412,1)-INDEX(E0!J$4:J$52,D412,1))))*100000000</f>
        <v>0</v>
      </c>
      <c r="F412" s="4" t="str">
        <f>HYPERLINK("http://141.218.60.56/~jnz1568/getInfo.php?workbook=06_02.xlsx&amp;sheet=A0&amp;row=412&amp;col=6&amp;number=&amp;sourceID=27","")</f>
        <v/>
      </c>
      <c r="G412" s="4" t="str">
        <f>HYPERLINK("http://141.218.60.56/~jnz1568/getInfo.php?workbook=06_02.xlsx&amp;sheet=A0&amp;row=412&amp;col=7&amp;number=&amp;sourceID=34","")</f>
        <v/>
      </c>
      <c r="H412" s="4" t="str">
        <f>HYPERLINK("http://141.218.60.56/~jnz1568/getInfo.php?workbook=06_02.xlsx&amp;sheet=A0&amp;row=412&amp;col=8&amp;number=&amp;sourceID=34","")</f>
        <v/>
      </c>
      <c r="I412" s="4" t="str">
        <f>HYPERLINK("http://141.218.60.56/~jnz1568/getInfo.php?workbook=06_02.xlsx&amp;sheet=A0&amp;row=412&amp;col=9&amp;number=&amp;sourceID=34","")</f>
        <v/>
      </c>
      <c r="J412" s="4" t="str">
        <f>HYPERLINK("http://141.218.60.56/~jnz1568/getInfo.php?workbook=06_02.xlsx&amp;sheet=A0&amp;row=412&amp;col=10&amp;number=&amp;sourceID=34","")</f>
        <v/>
      </c>
      <c r="K412" s="4" t="str">
        <f>HYPERLINK("http://141.218.60.56/~jnz1568/getInfo.php?workbook=06_02.xlsx&amp;sheet=A0&amp;row=412&amp;col=11&amp;number=&amp;sourceID=30","")</f>
        <v/>
      </c>
      <c r="L412" s="4" t="str">
        <f>HYPERLINK("http://141.218.60.56/~jnz1568/getInfo.php?workbook=06_02.xlsx&amp;sheet=A0&amp;row=412&amp;col=12&amp;number=1145&amp;sourceID=30","1145")</f>
        <v>1145</v>
      </c>
      <c r="M412" s="4" t="str">
        <f>HYPERLINK("http://141.218.60.56/~jnz1568/getInfo.php?workbook=06_02.xlsx&amp;sheet=A0&amp;row=412&amp;col=13&amp;number=1.42e-06&amp;sourceID=30","1.42e-06")</f>
        <v>1.42e-06</v>
      </c>
      <c r="N412" s="4" t="str">
        <f>HYPERLINK("http://141.218.60.56/~jnz1568/getInfo.php?workbook=06_02.xlsx&amp;sheet=A0&amp;row=412&amp;col=14&amp;number=&amp;sourceID=30","")</f>
        <v/>
      </c>
      <c r="O412" s="4" t="str">
        <f>HYPERLINK("http://141.218.60.56/~jnz1568/getInfo.php?workbook=06_02.xlsx&amp;sheet=A0&amp;row=412&amp;col=15&amp;number=&amp;sourceID=32","")</f>
        <v/>
      </c>
      <c r="P412" s="4" t="str">
        <f>HYPERLINK("http://141.218.60.56/~jnz1568/getInfo.php?workbook=06_02.xlsx&amp;sheet=A0&amp;row=412&amp;col=16&amp;number=1161&amp;sourceID=32","1161")</f>
        <v>1161</v>
      </c>
      <c r="Q412" s="4" t="str">
        <f>HYPERLINK("http://141.218.60.56/~jnz1568/getInfo.php?workbook=06_02.xlsx&amp;sheet=A0&amp;row=412&amp;col=17&amp;number=1.518e-06&amp;sourceID=32","1.518e-06")</f>
        <v>1.518e-06</v>
      </c>
      <c r="R412" s="4" t="str">
        <f>HYPERLINK("http://141.218.60.56/~jnz1568/getInfo.php?workbook=06_02.xlsx&amp;sheet=A0&amp;row=412&amp;col=18&amp;number=&amp;sourceID=32","")</f>
        <v/>
      </c>
    </row>
    <row r="413" spans="1:18">
      <c r="A413" s="3">
        <v>6</v>
      </c>
      <c r="B413" s="3">
        <v>2</v>
      </c>
      <c r="C413" s="3">
        <v>32</v>
      </c>
      <c r="D413" s="3">
        <v>24</v>
      </c>
      <c r="E413" s="3">
        <f>((1/(INDEX(E0!J$4:J$52,C413,1)-INDEX(E0!J$4:J$52,D413,1))))*100000000</f>
        <v>0</v>
      </c>
      <c r="F413" s="4" t="str">
        <f>HYPERLINK("http://141.218.60.56/~jnz1568/getInfo.php?workbook=06_02.xlsx&amp;sheet=A0&amp;row=413&amp;col=6&amp;number=&amp;sourceID=27","")</f>
        <v/>
      </c>
      <c r="G413" s="4" t="str">
        <f>HYPERLINK("http://141.218.60.56/~jnz1568/getInfo.php?workbook=06_02.xlsx&amp;sheet=A0&amp;row=413&amp;col=7&amp;number=&amp;sourceID=34","")</f>
        <v/>
      </c>
      <c r="H413" s="4" t="str">
        <f>HYPERLINK("http://141.218.60.56/~jnz1568/getInfo.php?workbook=06_02.xlsx&amp;sheet=A0&amp;row=413&amp;col=8&amp;number=&amp;sourceID=34","")</f>
        <v/>
      </c>
      <c r="I413" s="4" t="str">
        <f>HYPERLINK("http://141.218.60.56/~jnz1568/getInfo.php?workbook=06_02.xlsx&amp;sheet=A0&amp;row=413&amp;col=9&amp;number=&amp;sourceID=34","")</f>
        <v/>
      </c>
      <c r="J413" s="4" t="str">
        <f>HYPERLINK("http://141.218.60.56/~jnz1568/getInfo.php?workbook=06_02.xlsx&amp;sheet=A0&amp;row=413&amp;col=10&amp;number=&amp;sourceID=34","")</f>
        <v/>
      </c>
      <c r="K413" s="4" t="str">
        <f>HYPERLINK("http://141.218.60.56/~jnz1568/getInfo.php?workbook=06_02.xlsx&amp;sheet=A0&amp;row=413&amp;col=11&amp;number=&amp;sourceID=30","")</f>
        <v/>
      </c>
      <c r="L413" s="4" t="str">
        <f>HYPERLINK("http://141.218.60.56/~jnz1568/getInfo.php?workbook=06_02.xlsx&amp;sheet=A0&amp;row=413&amp;col=12&amp;number=1904&amp;sourceID=30","1904")</f>
        <v>1904</v>
      </c>
      <c r="M413" s="4" t="str">
        <f>HYPERLINK("http://141.218.60.56/~jnz1568/getInfo.php?workbook=06_02.xlsx&amp;sheet=A0&amp;row=413&amp;col=13&amp;number=3.579e-07&amp;sourceID=30","3.579e-07")</f>
        <v>3.579e-07</v>
      </c>
      <c r="N413" s="4" t="str">
        <f>HYPERLINK("http://141.218.60.56/~jnz1568/getInfo.php?workbook=06_02.xlsx&amp;sheet=A0&amp;row=413&amp;col=14&amp;number=&amp;sourceID=30","")</f>
        <v/>
      </c>
      <c r="O413" s="4" t="str">
        <f>HYPERLINK("http://141.218.60.56/~jnz1568/getInfo.php?workbook=06_02.xlsx&amp;sheet=A0&amp;row=413&amp;col=15&amp;number=&amp;sourceID=32","")</f>
        <v/>
      </c>
      <c r="P413" s="4" t="str">
        <f>HYPERLINK("http://141.218.60.56/~jnz1568/getInfo.php?workbook=06_02.xlsx&amp;sheet=A0&amp;row=413&amp;col=16&amp;number=1929&amp;sourceID=32","1929")</f>
        <v>1929</v>
      </c>
      <c r="Q413" s="4" t="str">
        <f>HYPERLINK("http://141.218.60.56/~jnz1568/getInfo.php?workbook=06_02.xlsx&amp;sheet=A0&amp;row=413&amp;col=17&amp;number=3.913e-07&amp;sourceID=32","3.913e-07")</f>
        <v>3.913e-07</v>
      </c>
      <c r="R413" s="4" t="str">
        <f>HYPERLINK("http://141.218.60.56/~jnz1568/getInfo.php?workbook=06_02.xlsx&amp;sheet=A0&amp;row=413&amp;col=18&amp;number=&amp;sourceID=32","")</f>
        <v/>
      </c>
    </row>
    <row r="414" spans="1:18">
      <c r="A414" s="3">
        <v>6</v>
      </c>
      <c r="B414" s="3">
        <v>2</v>
      </c>
      <c r="C414" s="3">
        <v>32</v>
      </c>
      <c r="D414" s="3">
        <v>25</v>
      </c>
      <c r="E414" s="3">
        <f>((1/(INDEX(E0!J$4:J$52,C414,1)-INDEX(E0!J$4:J$52,D414,1))))*100000000</f>
        <v>0</v>
      </c>
      <c r="F414" s="4" t="str">
        <f>HYPERLINK("http://141.218.60.56/~jnz1568/getInfo.php?workbook=06_02.xlsx&amp;sheet=A0&amp;row=414&amp;col=6&amp;number=&amp;sourceID=27","")</f>
        <v/>
      </c>
      <c r="G414" s="4" t="str">
        <f>HYPERLINK("http://141.218.60.56/~jnz1568/getInfo.php?workbook=06_02.xlsx&amp;sheet=A0&amp;row=414&amp;col=7&amp;number=&amp;sourceID=34","")</f>
        <v/>
      </c>
      <c r="H414" s="4" t="str">
        <f>HYPERLINK("http://141.218.60.56/~jnz1568/getInfo.php?workbook=06_02.xlsx&amp;sheet=A0&amp;row=414&amp;col=8&amp;number=&amp;sourceID=34","")</f>
        <v/>
      </c>
      <c r="I414" s="4" t="str">
        <f>HYPERLINK("http://141.218.60.56/~jnz1568/getInfo.php?workbook=06_02.xlsx&amp;sheet=A0&amp;row=414&amp;col=9&amp;number=&amp;sourceID=34","")</f>
        <v/>
      </c>
      <c r="J414" s="4" t="str">
        <f>HYPERLINK("http://141.218.60.56/~jnz1568/getInfo.php?workbook=06_02.xlsx&amp;sheet=A0&amp;row=414&amp;col=10&amp;number=&amp;sourceID=34","")</f>
        <v/>
      </c>
      <c r="K414" s="4" t="str">
        <f>HYPERLINK("http://141.218.60.56/~jnz1568/getInfo.php?workbook=06_02.xlsx&amp;sheet=A0&amp;row=414&amp;col=11&amp;number=&amp;sourceID=30","")</f>
        <v/>
      </c>
      <c r="L414" s="4" t="str">
        <f>HYPERLINK("http://141.218.60.56/~jnz1568/getInfo.php?workbook=06_02.xlsx&amp;sheet=A0&amp;row=414&amp;col=12&amp;number=2671&amp;sourceID=30","2671")</f>
        <v>2671</v>
      </c>
      <c r="M414" s="4" t="str">
        <f>HYPERLINK("http://141.218.60.56/~jnz1568/getInfo.php?workbook=06_02.xlsx&amp;sheet=A0&amp;row=414&amp;col=13&amp;number=&amp;sourceID=30","")</f>
        <v/>
      </c>
      <c r="N414" s="4" t="str">
        <f>HYPERLINK("http://141.218.60.56/~jnz1568/getInfo.php?workbook=06_02.xlsx&amp;sheet=A0&amp;row=414&amp;col=14&amp;number=&amp;sourceID=30","")</f>
        <v/>
      </c>
      <c r="O414" s="4" t="str">
        <f>HYPERLINK("http://141.218.60.56/~jnz1568/getInfo.php?workbook=06_02.xlsx&amp;sheet=A0&amp;row=414&amp;col=15&amp;number=&amp;sourceID=32","")</f>
        <v/>
      </c>
      <c r="P414" s="4" t="str">
        <f>HYPERLINK("http://141.218.60.56/~jnz1568/getInfo.php?workbook=06_02.xlsx&amp;sheet=A0&amp;row=414&amp;col=16&amp;number=2708&amp;sourceID=32","2708")</f>
        <v>2708</v>
      </c>
      <c r="Q414" s="4" t="str">
        <f>HYPERLINK("http://141.218.60.56/~jnz1568/getInfo.php?workbook=06_02.xlsx&amp;sheet=A0&amp;row=414&amp;col=17&amp;number=&amp;sourceID=32","")</f>
        <v/>
      </c>
      <c r="R414" s="4" t="str">
        <f>HYPERLINK("http://141.218.60.56/~jnz1568/getInfo.php?workbook=06_02.xlsx&amp;sheet=A0&amp;row=414&amp;col=18&amp;number=&amp;sourceID=32","")</f>
        <v/>
      </c>
    </row>
    <row r="415" spans="1:18">
      <c r="A415" s="3">
        <v>6</v>
      </c>
      <c r="B415" s="3">
        <v>2</v>
      </c>
      <c r="C415" s="3">
        <v>32</v>
      </c>
      <c r="D415" s="3">
        <v>26</v>
      </c>
      <c r="E415" s="3">
        <f>((1/(INDEX(E0!J$4:J$52,C415,1)-INDEX(E0!J$4:J$52,D415,1))))*100000000</f>
        <v>0</v>
      </c>
      <c r="F415" s="4" t="str">
        <f>HYPERLINK("http://141.218.60.56/~jnz1568/getInfo.php?workbook=06_02.xlsx&amp;sheet=A0&amp;row=415&amp;col=6&amp;number=&amp;sourceID=27","")</f>
        <v/>
      </c>
      <c r="G415" s="4" t="str">
        <f>HYPERLINK("http://141.218.60.56/~jnz1568/getInfo.php?workbook=06_02.xlsx&amp;sheet=A0&amp;row=415&amp;col=7&amp;number=&amp;sourceID=34","")</f>
        <v/>
      </c>
      <c r="H415" s="4" t="str">
        <f>HYPERLINK("http://141.218.60.56/~jnz1568/getInfo.php?workbook=06_02.xlsx&amp;sheet=A0&amp;row=415&amp;col=8&amp;number=&amp;sourceID=34","")</f>
        <v/>
      </c>
      <c r="I415" s="4" t="str">
        <f>HYPERLINK("http://141.218.60.56/~jnz1568/getInfo.php?workbook=06_02.xlsx&amp;sheet=A0&amp;row=415&amp;col=9&amp;number=&amp;sourceID=34","")</f>
        <v/>
      </c>
      <c r="J415" s="4" t="str">
        <f>HYPERLINK("http://141.218.60.56/~jnz1568/getInfo.php?workbook=06_02.xlsx&amp;sheet=A0&amp;row=415&amp;col=10&amp;number=&amp;sourceID=34","")</f>
        <v/>
      </c>
      <c r="K415" s="4" t="str">
        <f>HYPERLINK("http://141.218.60.56/~jnz1568/getInfo.php?workbook=06_02.xlsx&amp;sheet=A0&amp;row=415&amp;col=11&amp;number=&amp;sourceID=30","")</f>
        <v/>
      </c>
      <c r="L415" s="4" t="str">
        <f>HYPERLINK("http://141.218.60.56/~jnz1568/getInfo.php?workbook=06_02.xlsx&amp;sheet=A0&amp;row=415&amp;col=12&amp;number=&amp;sourceID=30","")</f>
        <v/>
      </c>
      <c r="M415" s="4" t="str">
        <f>HYPERLINK("http://141.218.60.56/~jnz1568/getInfo.php?workbook=06_02.xlsx&amp;sheet=A0&amp;row=415&amp;col=13&amp;number=&amp;sourceID=30","")</f>
        <v/>
      </c>
      <c r="N415" s="4" t="str">
        <f>HYPERLINK("http://141.218.60.56/~jnz1568/getInfo.php?workbook=06_02.xlsx&amp;sheet=A0&amp;row=415&amp;col=14&amp;number=9.085e-12&amp;sourceID=30","9.085e-12")</f>
        <v>9.085e-12</v>
      </c>
      <c r="O415" s="4" t="str">
        <f>HYPERLINK("http://141.218.60.56/~jnz1568/getInfo.php?workbook=06_02.xlsx&amp;sheet=A0&amp;row=415&amp;col=15&amp;number=&amp;sourceID=32","")</f>
        <v/>
      </c>
      <c r="P415" s="4" t="str">
        <f>HYPERLINK("http://141.218.60.56/~jnz1568/getInfo.php?workbook=06_02.xlsx&amp;sheet=A0&amp;row=415&amp;col=16&amp;number=&amp;sourceID=32","")</f>
        <v/>
      </c>
      <c r="Q415" s="4" t="str">
        <f>HYPERLINK("http://141.218.60.56/~jnz1568/getInfo.php?workbook=06_02.xlsx&amp;sheet=A0&amp;row=415&amp;col=17&amp;number=&amp;sourceID=32","")</f>
        <v/>
      </c>
      <c r="R415" s="4" t="str">
        <f>HYPERLINK("http://141.218.60.56/~jnz1568/getInfo.php?workbook=06_02.xlsx&amp;sheet=A0&amp;row=415&amp;col=18&amp;number=7.34e-13&amp;sourceID=32","7.34e-13")</f>
        <v>7.34e-13</v>
      </c>
    </row>
    <row r="416" spans="1:18">
      <c r="A416" s="3">
        <v>6</v>
      </c>
      <c r="B416" s="3">
        <v>2</v>
      </c>
      <c r="C416" s="3">
        <v>32</v>
      </c>
      <c r="D416" s="3">
        <v>27</v>
      </c>
      <c r="E416" s="3">
        <f>((1/(INDEX(E0!J$4:J$52,C416,1)-INDEX(E0!J$4:J$52,D416,1))))*100000000</f>
        <v>0</v>
      </c>
      <c r="F416" s="4" t="str">
        <f>HYPERLINK("http://141.218.60.56/~jnz1568/getInfo.php?workbook=06_02.xlsx&amp;sheet=A0&amp;row=416&amp;col=6&amp;number=&amp;sourceID=27","")</f>
        <v/>
      </c>
      <c r="G416" s="4" t="str">
        <f>HYPERLINK("http://141.218.60.56/~jnz1568/getInfo.php?workbook=06_02.xlsx&amp;sheet=A0&amp;row=416&amp;col=7&amp;number=&amp;sourceID=34","")</f>
        <v/>
      </c>
      <c r="H416" s="4" t="str">
        <f>HYPERLINK("http://141.218.60.56/~jnz1568/getInfo.php?workbook=06_02.xlsx&amp;sheet=A0&amp;row=416&amp;col=8&amp;number=&amp;sourceID=34","")</f>
        <v/>
      </c>
      <c r="I416" s="4" t="str">
        <f>HYPERLINK("http://141.218.60.56/~jnz1568/getInfo.php?workbook=06_02.xlsx&amp;sheet=A0&amp;row=416&amp;col=9&amp;number=&amp;sourceID=34","")</f>
        <v/>
      </c>
      <c r="J416" s="4" t="str">
        <f>HYPERLINK("http://141.218.60.56/~jnz1568/getInfo.php?workbook=06_02.xlsx&amp;sheet=A0&amp;row=416&amp;col=10&amp;number=&amp;sourceID=34","")</f>
        <v/>
      </c>
      <c r="K416" s="4" t="str">
        <f>HYPERLINK("http://141.218.60.56/~jnz1568/getInfo.php?workbook=06_02.xlsx&amp;sheet=A0&amp;row=416&amp;col=11&amp;number=0.1779&amp;sourceID=30","0.1779")</f>
        <v>0.1779</v>
      </c>
      <c r="L416" s="4" t="str">
        <f>HYPERLINK("http://141.218.60.56/~jnz1568/getInfo.php?workbook=06_02.xlsx&amp;sheet=A0&amp;row=416&amp;col=12&amp;number=&amp;sourceID=30","")</f>
        <v/>
      </c>
      <c r="M416" s="4" t="str">
        <f>HYPERLINK("http://141.218.60.56/~jnz1568/getInfo.php?workbook=06_02.xlsx&amp;sheet=A0&amp;row=416&amp;col=13&amp;number=&amp;sourceID=30","")</f>
        <v/>
      </c>
      <c r="N416" s="4" t="str">
        <f>HYPERLINK("http://141.218.60.56/~jnz1568/getInfo.php?workbook=06_02.xlsx&amp;sheet=A0&amp;row=416&amp;col=14&amp;number=1.58e-13&amp;sourceID=30","1.58e-13")</f>
        <v>1.58e-13</v>
      </c>
      <c r="O416" s="4" t="str">
        <f>HYPERLINK("http://141.218.60.56/~jnz1568/getInfo.php?workbook=06_02.xlsx&amp;sheet=A0&amp;row=416&amp;col=15&amp;number=0.2237&amp;sourceID=32","0.2237")</f>
        <v>0.2237</v>
      </c>
      <c r="P416" s="4" t="str">
        <f>HYPERLINK("http://141.218.60.56/~jnz1568/getInfo.php?workbook=06_02.xlsx&amp;sheet=A0&amp;row=416&amp;col=16&amp;number=&amp;sourceID=32","")</f>
        <v/>
      </c>
      <c r="Q416" s="4" t="str">
        <f>HYPERLINK("http://141.218.60.56/~jnz1568/getInfo.php?workbook=06_02.xlsx&amp;sheet=A0&amp;row=416&amp;col=17&amp;number=&amp;sourceID=32","")</f>
        <v/>
      </c>
      <c r="R416" s="4" t="str">
        <f>HYPERLINK("http://141.218.60.56/~jnz1568/getInfo.php?workbook=06_02.xlsx&amp;sheet=A0&amp;row=416&amp;col=18&amp;number=3.26e-13&amp;sourceID=32","3.26e-13")</f>
        <v>3.26e-13</v>
      </c>
    </row>
    <row r="417" spans="1:18">
      <c r="A417" s="3">
        <v>6</v>
      </c>
      <c r="B417" s="3">
        <v>2</v>
      </c>
      <c r="C417" s="3">
        <v>32</v>
      </c>
      <c r="D417" s="3">
        <v>28</v>
      </c>
      <c r="E417" s="3">
        <f>((1/(INDEX(E0!J$4:J$52,C417,1)-INDEX(E0!J$4:J$52,D417,1))))*100000000</f>
        <v>0</v>
      </c>
      <c r="F417" s="4" t="str">
        <f>HYPERLINK("http://141.218.60.56/~jnz1568/getInfo.php?workbook=06_02.xlsx&amp;sheet=A0&amp;row=417&amp;col=6&amp;number=&amp;sourceID=27","")</f>
        <v/>
      </c>
      <c r="G417" s="4" t="str">
        <f>HYPERLINK("http://141.218.60.56/~jnz1568/getInfo.php?workbook=06_02.xlsx&amp;sheet=A0&amp;row=417&amp;col=7&amp;number=&amp;sourceID=34","")</f>
        <v/>
      </c>
      <c r="H417" s="4" t="str">
        <f>HYPERLINK("http://141.218.60.56/~jnz1568/getInfo.php?workbook=06_02.xlsx&amp;sheet=A0&amp;row=417&amp;col=8&amp;number=&amp;sourceID=34","")</f>
        <v/>
      </c>
      <c r="I417" s="4" t="str">
        <f>HYPERLINK("http://141.218.60.56/~jnz1568/getInfo.php?workbook=06_02.xlsx&amp;sheet=A0&amp;row=417&amp;col=9&amp;number=&amp;sourceID=34","")</f>
        <v/>
      </c>
      <c r="J417" s="4" t="str">
        <f>HYPERLINK("http://141.218.60.56/~jnz1568/getInfo.php?workbook=06_02.xlsx&amp;sheet=A0&amp;row=417&amp;col=10&amp;number=&amp;sourceID=34","")</f>
        <v/>
      </c>
      <c r="K417" s="4" t="str">
        <f>HYPERLINK("http://141.218.60.56/~jnz1568/getInfo.php?workbook=06_02.xlsx&amp;sheet=A0&amp;row=417&amp;col=11&amp;number=&amp;sourceID=30","")</f>
        <v/>
      </c>
      <c r="L417" s="4" t="str">
        <f>HYPERLINK("http://141.218.60.56/~jnz1568/getInfo.php?workbook=06_02.xlsx&amp;sheet=A0&amp;row=417&amp;col=12&amp;number=&amp;sourceID=30","")</f>
        <v/>
      </c>
      <c r="M417" s="4" t="str">
        <f>HYPERLINK("http://141.218.60.56/~jnz1568/getInfo.php?workbook=06_02.xlsx&amp;sheet=A0&amp;row=417&amp;col=13&amp;number=&amp;sourceID=30","")</f>
        <v/>
      </c>
      <c r="N417" s="4" t="str">
        <f>HYPERLINK("http://141.218.60.56/~jnz1568/getInfo.php?workbook=06_02.xlsx&amp;sheet=A0&amp;row=417&amp;col=14&amp;number=6.63e-13&amp;sourceID=30","6.63e-13")</f>
        <v>6.63e-13</v>
      </c>
      <c r="O417" s="4" t="str">
        <f>HYPERLINK("http://141.218.60.56/~jnz1568/getInfo.php?workbook=06_02.xlsx&amp;sheet=A0&amp;row=417&amp;col=15&amp;number=&amp;sourceID=32","")</f>
        <v/>
      </c>
      <c r="P417" s="4" t="str">
        <f>HYPERLINK("http://141.218.60.56/~jnz1568/getInfo.php?workbook=06_02.xlsx&amp;sheet=A0&amp;row=417&amp;col=16&amp;number=&amp;sourceID=32","")</f>
        <v/>
      </c>
      <c r="Q417" s="4" t="str">
        <f>HYPERLINK("http://141.218.60.56/~jnz1568/getInfo.php?workbook=06_02.xlsx&amp;sheet=A0&amp;row=417&amp;col=17&amp;number=&amp;sourceID=32","")</f>
        <v/>
      </c>
      <c r="R417" s="4" t="str">
        <f>HYPERLINK("http://141.218.60.56/~jnz1568/getInfo.php?workbook=06_02.xlsx&amp;sheet=A0&amp;row=417&amp;col=18&amp;number=1.021e-11&amp;sourceID=32","1.021e-11")</f>
        <v>1.021e-11</v>
      </c>
    </row>
    <row r="418" spans="1:18">
      <c r="A418" s="3">
        <v>6</v>
      </c>
      <c r="B418" s="3">
        <v>2</v>
      </c>
      <c r="C418" s="3">
        <v>32</v>
      </c>
      <c r="D418" s="3">
        <v>30</v>
      </c>
      <c r="E418" s="3">
        <f>((1/(INDEX(E0!J$4:J$52,C418,1)-INDEX(E0!J$4:J$52,D418,1))))*100000000</f>
        <v>0</v>
      </c>
      <c r="F418" s="4" t="str">
        <f>HYPERLINK("http://141.218.60.56/~jnz1568/getInfo.php?workbook=06_02.xlsx&amp;sheet=A0&amp;row=418&amp;col=6&amp;number=&amp;sourceID=27","")</f>
        <v/>
      </c>
      <c r="G418" s="4" t="str">
        <f>HYPERLINK("http://141.218.60.56/~jnz1568/getInfo.php?workbook=06_02.xlsx&amp;sheet=A0&amp;row=418&amp;col=7&amp;number=&amp;sourceID=34","")</f>
        <v/>
      </c>
      <c r="H418" s="4" t="str">
        <f>HYPERLINK("http://141.218.60.56/~jnz1568/getInfo.php?workbook=06_02.xlsx&amp;sheet=A0&amp;row=418&amp;col=8&amp;number=&amp;sourceID=34","")</f>
        <v/>
      </c>
      <c r="I418" s="4" t="str">
        <f>HYPERLINK("http://141.218.60.56/~jnz1568/getInfo.php?workbook=06_02.xlsx&amp;sheet=A0&amp;row=418&amp;col=9&amp;number=&amp;sourceID=34","")</f>
        <v/>
      </c>
      <c r="J418" s="4" t="str">
        <f>HYPERLINK("http://141.218.60.56/~jnz1568/getInfo.php?workbook=06_02.xlsx&amp;sheet=A0&amp;row=418&amp;col=10&amp;number=&amp;sourceID=34","")</f>
        <v/>
      </c>
      <c r="K418" s="4" t="str">
        <f>HYPERLINK("http://141.218.60.56/~jnz1568/getInfo.php?workbook=06_02.xlsx&amp;sheet=A0&amp;row=418&amp;col=11&amp;number=&amp;sourceID=30","")</f>
        <v/>
      </c>
      <c r="L418" s="4" t="str">
        <f>HYPERLINK("http://141.218.60.56/~jnz1568/getInfo.php?workbook=06_02.xlsx&amp;sheet=A0&amp;row=418&amp;col=12&amp;number=3.538&amp;sourceID=30","3.538")</f>
        <v>3.538</v>
      </c>
      <c r="M418" s="4" t="str">
        <f>HYPERLINK("http://141.218.60.56/~jnz1568/getInfo.php?workbook=06_02.xlsx&amp;sheet=A0&amp;row=418&amp;col=13&amp;number=6.369e-09&amp;sourceID=30","6.369e-09")</f>
        <v>6.369e-09</v>
      </c>
      <c r="N418" s="4" t="str">
        <f>HYPERLINK("http://141.218.60.56/~jnz1568/getInfo.php?workbook=06_02.xlsx&amp;sheet=A0&amp;row=418&amp;col=14&amp;number=&amp;sourceID=30","")</f>
        <v/>
      </c>
      <c r="O418" s="4" t="str">
        <f>HYPERLINK("http://141.218.60.56/~jnz1568/getInfo.php?workbook=06_02.xlsx&amp;sheet=A0&amp;row=418&amp;col=15&amp;number=&amp;sourceID=32","")</f>
        <v/>
      </c>
      <c r="P418" s="4" t="str">
        <f>HYPERLINK("http://141.218.60.56/~jnz1568/getInfo.php?workbook=06_02.xlsx&amp;sheet=A0&amp;row=418&amp;col=16&amp;number=4.889&amp;sourceID=32","4.889")</f>
        <v>4.889</v>
      </c>
      <c r="Q418" s="4" t="str">
        <f>HYPERLINK("http://141.218.60.56/~jnz1568/getInfo.php?workbook=06_02.xlsx&amp;sheet=A0&amp;row=418&amp;col=17&amp;number=6.686e-09&amp;sourceID=32","6.686e-09")</f>
        <v>6.686e-09</v>
      </c>
      <c r="R418" s="4" t="str">
        <f>HYPERLINK("http://141.218.60.56/~jnz1568/getInfo.php?workbook=06_02.xlsx&amp;sheet=A0&amp;row=418&amp;col=18&amp;number=&amp;sourceID=32","")</f>
        <v/>
      </c>
    </row>
    <row r="419" spans="1:18">
      <c r="A419" s="3">
        <v>6</v>
      </c>
      <c r="B419" s="3">
        <v>2</v>
      </c>
      <c r="C419" s="3">
        <v>32</v>
      </c>
      <c r="D419" s="3">
        <v>31</v>
      </c>
      <c r="E419" s="3">
        <f>((1/(INDEX(E0!J$4:J$52,C419,1)-INDEX(E0!J$4:J$52,D419,1))))*100000000</f>
        <v>0</v>
      </c>
      <c r="F419" s="4" t="str">
        <f>HYPERLINK("http://141.218.60.56/~jnz1568/getInfo.php?workbook=06_02.xlsx&amp;sheet=A0&amp;row=419&amp;col=6&amp;number=&amp;sourceID=27","")</f>
        <v/>
      </c>
      <c r="G419" s="4" t="str">
        <f>HYPERLINK("http://141.218.60.56/~jnz1568/getInfo.php?workbook=06_02.xlsx&amp;sheet=A0&amp;row=419&amp;col=7&amp;number=&amp;sourceID=34","")</f>
        <v/>
      </c>
      <c r="H419" s="4" t="str">
        <f>HYPERLINK("http://141.218.60.56/~jnz1568/getInfo.php?workbook=06_02.xlsx&amp;sheet=A0&amp;row=419&amp;col=8&amp;number=&amp;sourceID=34","")</f>
        <v/>
      </c>
      <c r="I419" s="4" t="str">
        <f>HYPERLINK("http://141.218.60.56/~jnz1568/getInfo.php?workbook=06_02.xlsx&amp;sheet=A0&amp;row=419&amp;col=9&amp;number=&amp;sourceID=34","")</f>
        <v/>
      </c>
      <c r="J419" s="4" t="str">
        <f>HYPERLINK("http://141.218.60.56/~jnz1568/getInfo.php?workbook=06_02.xlsx&amp;sheet=A0&amp;row=419&amp;col=10&amp;number=&amp;sourceID=34","")</f>
        <v/>
      </c>
      <c r="K419" s="4" t="str">
        <f>HYPERLINK("http://141.218.60.56/~jnz1568/getInfo.php?workbook=06_02.xlsx&amp;sheet=A0&amp;row=419&amp;col=11&amp;number=6664&amp;sourceID=30","6664")</f>
        <v>6664</v>
      </c>
      <c r="L419" s="4" t="str">
        <f>HYPERLINK("http://141.218.60.56/~jnz1568/getInfo.php?workbook=06_02.xlsx&amp;sheet=A0&amp;row=419&amp;col=12&amp;number=&amp;sourceID=30","")</f>
        <v/>
      </c>
      <c r="M419" s="4" t="str">
        <f>HYPERLINK("http://141.218.60.56/~jnz1568/getInfo.php?workbook=06_02.xlsx&amp;sheet=A0&amp;row=419&amp;col=13&amp;number=&amp;sourceID=30","")</f>
        <v/>
      </c>
      <c r="N419" s="4" t="str">
        <f>HYPERLINK("http://141.218.60.56/~jnz1568/getInfo.php?workbook=06_02.xlsx&amp;sheet=A0&amp;row=419&amp;col=14&amp;number=0.006298&amp;sourceID=30","0.006298")</f>
        <v>0.006298</v>
      </c>
      <c r="O419" s="4" t="str">
        <f>HYPERLINK("http://141.218.60.56/~jnz1568/getInfo.php?workbook=06_02.xlsx&amp;sheet=A0&amp;row=419&amp;col=15&amp;number=7516&amp;sourceID=32","7516")</f>
        <v>7516</v>
      </c>
      <c r="P419" s="4" t="str">
        <f>HYPERLINK("http://141.218.60.56/~jnz1568/getInfo.php?workbook=06_02.xlsx&amp;sheet=A0&amp;row=419&amp;col=16&amp;number=&amp;sourceID=32","")</f>
        <v/>
      </c>
      <c r="Q419" s="4" t="str">
        <f>HYPERLINK("http://141.218.60.56/~jnz1568/getInfo.php?workbook=06_02.xlsx&amp;sheet=A0&amp;row=419&amp;col=17&amp;number=&amp;sourceID=32","")</f>
        <v/>
      </c>
      <c r="R419" s="4" t="str">
        <f>HYPERLINK("http://141.218.60.56/~jnz1568/getInfo.php?workbook=06_02.xlsx&amp;sheet=A0&amp;row=419&amp;col=18&amp;number=0.005874&amp;sourceID=32","0.005874")</f>
        <v>0.005874</v>
      </c>
    </row>
    <row r="420" spans="1:18">
      <c r="A420" s="3">
        <v>6</v>
      </c>
      <c r="B420" s="3">
        <v>2</v>
      </c>
      <c r="C420" s="3">
        <v>33</v>
      </c>
      <c r="D420" s="3">
        <v>2</v>
      </c>
      <c r="E420" s="3">
        <f>((1/(INDEX(E0!J$4:J$52,C420,1)-INDEX(E0!J$4:J$52,D420,1))))*100000000</f>
        <v>0</v>
      </c>
      <c r="F420" s="4" t="str">
        <f>HYPERLINK("http://141.218.60.56/~jnz1568/getInfo.php?workbook=06_02.xlsx&amp;sheet=A0&amp;row=420&amp;col=6&amp;number=&amp;sourceID=27","")</f>
        <v/>
      </c>
      <c r="G420" s="4" t="str">
        <f>HYPERLINK("http://141.218.60.56/~jnz1568/getInfo.php?workbook=06_02.xlsx&amp;sheet=A0&amp;row=420&amp;col=7&amp;number=&amp;sourceID=34","")</f>
        <v/>
      </c>
      <c r="H420" s="4" t="str">
        <f>HYPERLINK("http://141.218.60.56/~jnz1568/getInfo.php?workbook=06_02.xlsx&amp;sheet=A0&amp;row=420&amp;col=8&amp;number=&amp;sourceID=34","")</f>
        <v/>
      </c>
      <c r="I420" s="4" t="str">
        <f>HYPERLINK("http://141.218.60.56/~jnz1568/getInfo.php?workbook=06_02.xlsx&amp;sheet=A0&amp;row=420&amp;col=9&amp;number=&amp;sourceID=34","")</f>
        <v/>
      </c>
      <c r="J420" s="4" t="str">
        <f>HYPERLINK("http://141.218.60.56/~jnz1568/getInfo.php?workbook=06_02.xlsx&amp;sheet=A0&amp;row=420&amp;col=10&amp;number=&amp;sourceID=34","")</f>
        <v/>
      </c>
      <c r="K420" s="4" t="str">
        <f>HYPERLINK("http://141.218.60.56/~jnz1568/getInfo.php?workbook=06_02.xlsx&amp;sheet=A0&amp;row=420&amp;col=11&amp;number=&amp;sourceID=30","")</f>
        <v/>
      </c>
      <c r="L420" s="4" t="str">
        <f>HYPERLINK("http://141.218.60.56/~jnz1568/getInfo.php?workbook=06_02.xlsx&amp;sheet=A0&amp;row=420&amp;col=12&amp;number=&amp;sourceID=30","")</f>
        <v/>
      </c>
      <c r="M420" s="4" t="str">
        <f>HYPERLINK("http://141.218.60.56/~jnz1568/getInfo.php?workbook=06_02.xlsx&amp;sheet=A0&amp;row=420&amp;col=13&amp;number=0.0238&amp;sourceID=30","0.0238")</f>
        <v>0.0238</v>
      </c>
      <c r="N420" s="4" t="str">
        <f>HYPERLINK("http://141.218.60.56/~jnz1568/getInfo.php?workbook=06_02.xlsx&amp;sheet=A0&amp;row=420&amp;col=14&amp;number=&amp;sourceID=30","")</f>
        <v/>
      </c>
      <c r="O420" s="4" t="str">
        <f>HYPERLINK("http://141.218.60.56/~jnz1568/getInfo.php?workbook=06_02.xlsx&amp;sheet=A0&amp;row=420&amp;col=15&amp;number=&amp;sourceID=32","")</f>
        <v/>
      </c>
      <c r="P420" s="4" t="str">
        <f>HYPERLINK("http://141.218.60.56/~jnz1568/getInfo.php?workbook=06_02.xlsx&amp;sheet=A0&amp;row=420&amp;col=16&amp;number=&amp;sourceID=32","")</f>
        <v/>
      </c>
      <c r="Q420" s="4" t="str">
        <f>HYPERLINK("http://141.218.60.56/~jnz1568/getInfo.php?workbook=06_02.xlsx&amp;sheet=A0&amp;row=420&amp;col=17&amp;number=0.008638&amp;sourceID=32","0.008638")</f>
        <v>0.008638</v>
      </c>
      <c r="R420" s="4" t="str">
        <f>HYPERLINK("http://141.218.60.56/~jnz1568/getInfo.php?workbook=06_02.xlsx&amp;sheet=A0&amp;row=420&amp;col=18&amp;number=&amp;sourceID=32","")</f>
        <v/>
      </c>
    </row>
    <row r="421" spans="1:18">
      <c r="A421" s="3">
        <v>6</v>
      </c>
      <c r="B421" s="3">
        <v>2</v>
      </c>
      <c r="C421" s="3">
        <v>33</v>
      </c>
      <c r="D421" s="3">
        <v>4</v>
      </c>
      <c r="E421" s="3">
        <f>((1/(INDEX(E0!J$4:J$52,C421,1)-INDEX(E0!J$4:J$52,D421,1))))*100000000</f>
        <v>0</v>
      </c>
      <c r="F421" s="4" t="str">
        <f>HYPERLINK("http://141.218.60.56/~jnz1568/getInfo.php?workbook=06_02.xlsx&amp;sheet=A0&amp;row=421&amp;col=6&amp;number=&amp;sourceID=27","")</f>
        <v/>
      </c>
      <c r="G421" s="4" t="str">
        <f>HYPERLINK("http://141.218.60.56/~jnz1568/getInfo.php?workbook=06_02.xlsx&amp;sheet=A0&amp;row=421&amp;col=7&amp;number=&amp;sourceID=34","")</f>
        <v/>
      </c>
      <c r="H421" s="4" t="str">
        <f>HYPERLINK("http://141.218.60.56/~jnz1568/getInfo.php?workbook=06_02.xlsx&amp;sheet=A0&amp;row=421&amp;col=8&amp;number=&amp;sourceID=34","")</f>
        <v/>
      </c>
      <c r="I421" s="4" t="str">
        <f>HYPERLINK("http://141.218.60.56/~jnz1568/getInfo.php?workbook=06_02.xlsx&amp;sheet=A0&amp;row=421&amp;col=9&amp;number=&amp;sourceID=34","")</f>
        <v/>
      </c>
      <c r="J421" s="4" t="str">
        <f>HYPERLINK("http://141.218.60.56/~jnz1568/getInfo.php?workbook=06_02.xlsx&amp;sheet=A0&amp;row=421&amp;col=10&amp;number=&amp;sourceID=34","")</f>
        <v/>
      </c>
      <c r="K421" s="4" t="str">
        <f>HYPERLINK("http://141.218.60.56/~jnz1568/getInfo.php?workbook=06_02.xlsx&amp;sheet=A0&amp;row=421&amp;col=11&amp;number=68000&amp;sourceID=30","68000")</f>
        <v>68000</v>
      </c>
      <c r="L421" s="4" t="str">
        <f>HYPERLINK("http://141.218.60.56/~jnz1568/getInfo.php?workbook=06_02.xlsx&amp;sheet=A0&amp;row=421&amp;col=12&amp;number=&amp;sourceID=30","")</f>
        <v/>
      </c>
      <c r="M421" s="4" t="str">
        <f>HYPERLINK("http://141.218.60.56/~jnz1568/getInfo.php?workbook=06_02.xlsx&amp;sheet=A0&amp;row=421&amp;col=13&amp;number=&amp;sourceID=30","")</f>
        <v/>
      </c>
      <c r="N421" s="4" t="str">
        <f>HYPERLINK("http://141.218.60.56/~jnz1568/getInfo.php?workbook=06_02.xlsx&amp;sheet=A0&amp;row=421&amp;col=14&amp;number=&amp;sourceID=30","")</f>
        <v/>
      </c>
      <c r="O421" s="4" t="str">
        <f>HYPERLINK("http://141.218.60.56/~jnz1568/getInfo.php?workbook=06_02.xlsx&amp;sheet=A0&amp;row=421&amp;col=15&amp;number=24840&amp;sourceID=32","24840")</f>
        <v>24840</v>
      </c>
      <c r="P421" s="4" t="str">
        <f>HYPERLINK("http://141.218.60.56/~jnz1568/getInfo.php?workbook=06_02.xlsx&amp;sheet=A0&amp;row=421&amp;col=16&amp;number=&amp;sourceID=32","")</f>
        <v/>
      </c>
      <c r="Q421" s="4" t="str">
        <f>HYPERLINK("http://141.218.60.56/~jnz1568/getInfo.php?workbook=06_02.xlsx&amp;sheet=A0&amp;row=421&amp;col=17&amp;number=&amp;sourceID=32","")</f>
        <v/>
      </c>
      <c r="R421" s="4" t="str">
        <f>HYPERLINK("http://141.218.60.56/~jnz1568/getInfo.php?workbook=06_02.xlsx&amp;sheet=A0&amp;row=421&amp;col=18&amp;number=&amp;sourceID=32","")</f>
        <v/>
      </c>
    </row>
    <row r="422" spans="1:18">
      <c r="A422" s="3">
        <v>6</v>
      </c>
      <c r="B422" s="3">
        <v>2</v>
      </c>
      <c r="C422" s="3">
        <v>33</v>
      </c>
      <c r="D422" s="3">
        <v>6</v>
      </c>
      <c r="E422" s="3">
        <f>((1/(INDEX(E0!J$4:J$52,C422,1)-INDEX(E0!J$4:J$52,D422,1))))*100000000</f>
        <v>0</v>
      </c>
      <c r="F422" s="4" t="str">
        <f>HYPERLINK("http://141.218.60.56/~jnz1568/getInfo.php?workbook=06_02.xlsx&amp;sheet=A0&amp;row=422&amp;col=6&amp;number=&amp;sourceID=27","")</f>
        <v/>
      </c>
      <c r="G422" s="4" t="str">
        <f>HYPERLINK("http://141.218.60.56/~jnz1568/getInfo.php?workbook=06_02.xlsx&amp;sheet=A0&amp;row=422&amp;col=7&amp;number=&amp;sourceID=34","")</f>
        <v/>
      </c>
      <c r="H422" s="4" t="str">
        <f>HYPERLINK("http://141.218.60.56/~jnz1568/getInfo.php?workbook=06_02.xlsx&amp;sheet=A0&amp;row=422&amp;col=8&amp;number=&amp;sourceID=34","")</f>
        <v/>
      </c>
      <c r="I422" s="4" t="str">
        <f>HYPERLINK("http://141.218.60.56/~jnz1568/getInfo.php?workbook=06_02.xlsx&amp;sheet=A0&amp;row=422&amp;col=9&amp;number=&amp;sourceID=34","")</f>
        <v/>
      </c>
      <c r="J422" s="4" t="str">
        <f>HYPERLINK("http://141.218.60.56/~jnz1568/getInfo.php?workbook=06_02.xlsx&amp;sheet=A0&amp;row=422&amp;col=10&amp;number=&amp;sourceID=34","")</f>
        <v/>
      </c>
      <c r="K422" s="4" t="str">
        <f>HYPERLINK("http://141.218.60.56/~jnz1568/getInfo.php?workbook=06_02.xlsx&amp;sheet=A0&amp;row=422&amp;col=11&amp;number=&amp;sourceID=30","")</f>
        <v/>
      </c>
      <c r="L422" s="4" t="str">
        <f>HYPERLINK("http://141.218.60.56/~jnz1568/getInfo.php?workbook=06_02.xlsx&amp;sheet=A0&amp;row=422&amp;col=12&amp;number=&amp;sourceID=30","")</f>
        <v/>
      </c>
      <c r="M422" s="4" t="str">
        <f>HYPERLINK("http://141.218.60.56/~jnz1568/getInfo.php?workbook=06_02.xlsx&amp;sheet=A0&amp;row=422&amp;col=13&amp;number=&amp;sourceID=30","")</f>
        <v/>
      </c>
      <c r="N422" s="4" t="str">
        <f>HYPERLINK("http://141.218.60.56/~jnz1568/getInfo.php?workbook=06_02.xlsx&amp;sheet=A0&amp;row=422&amp;col=14&amp;number=1.526&amp;sourceID=30","1.526")</f>
        <v>1.526</v>
      </c>
      <c r="O422" s="4" t="str">
        <f>HYPERLINK("http://141.218.60.56/~jnz1568/getInfo.php?workbook=06_02.xlsx&amp;sheet=A0&amp;row=422&amp;col=15&amp;number=&amp;sourceID=32","")</f>
        <v/>
      </c>
      <c r="P422" s="4" t="str">
        <f>HYPERLINK("http://141.218.60.56/~jnz1568/getInfo.php?workbook=06_02.xlsx&amp;sheet=A0&amp;row=422&amp;col=16&amp;number=&amp;sourceID=32","")</f>
        <v/>
      </c>
      <c r="Q422" s="4" t="str">
        <f>HYPERLINK("http://141.218.60.56/~jnz1568/getInfo.php?workbook=06_02.xlsx&amp;sheet=A0&amp;row=422&amp;col=17&amp;number=&amp;sourceID=32","")</f>
        <v/>
      </c>
      <c r="R422" s="4" t="str">
        <f>HYPERLINK("http://141.218.60.56/~jnz1568/getInfo.php?workbook=06_02.xlsx&amp;sheet=A0&amp;row=422&amp;col=18&amp;number=2.094&amp;sourceID=32","2.094")</f>
        <v>2.094</v>
      </c>
    </row>
    <row r="423" spans="1:18">
      <c r="A423" s="3">
        <v>6</v>
      </c>
      <c r="B423" s="3">
        <v>2</v>
      </c>
      <c r="C423" s="3">
        <v>33</v>
      </c>
      <c r="D423" s="3">
        <v>7</v>
      </c>
      <c r="E423" s="3">
        <f>((1/(INDEX(E0!J$4:J$52,C423,1)-INDEX(E0!J$4:J$52,D423,1))))*100000000</f>
        <v>0</v>
      </c>
      <c r="F423" s="4" t="str">
        <f>HYPERLINK("http://141.218.60.56/~jnz1568/getInfo.php?workbook=06_02.xlsx&amp;sheet=A0&amp;row=423&amp;col=6&amp;number=&amp;sourceID=27","")</f>
        <v/>
      </c>
      <c r="G423" s="4" t="str">
        <f>HYPERLINK("http://141.218.60.56/~jnz1568/getInfo.php?workbook=06_02.xlsx&amp;sheet=A0&amp;row=423&amp;col=7&amp;number=&amp;sourceID=34","")</f>
        <v/>
      </c>
      <c r="H423" s="4" t="str">
        <f>HYPERLINK("http://141.218.60.56/~jnz1568/getInfo.php?workbook=06_02.xlsx&amp;sheet=A0&amp;row=423&amp;col=8&amp;number=&amp;sourceID=34","")</f>
        <v/>
      </c>
      <c r="I423" s="4" t="str">
        <f>HYPERLINK("http://141.218.60.56/~jnz1568/getInfo.php?workbook=06_02.xlsx&amp;sheet=A0&amp;row=423&amp;col=9&amp;number=&amp;sourceID=34","")</f>
        <v/>
      </c>
      <c r="J423" s="4" t="str">
        <f>HYPERLINK("http://141.218.60.56/~jnz1568/getInfo.php?workbook=06_02.xlsx&amp;sheet=A0&amp;row=423&amp;col=10&amp;number=&amp;sourceID=34","")</f>
        <v/>
      </c>
      <c r="K423" s="4" t="str">
        <f>HYPERLINK("http://141.218.60.56/~jnz1568/getInfo.php?workbook=06_02.xlsx&amp;sheet=A0&amp;row=423&amp;col=11&amp;number=3493000000&amp;sourceID=30","3493000000")</f>
        <v>3493000000</v>
      </c>
      <c r="L423" s="4" t="str">
        <f>HYPERLINK("http://141.218.60.56/~jnz1568/getInfo.php?workbook=06_02.xlsx&amp;sheet=A0&amp;row=423&amp;col=12&amp;number=&amp;sourceID=30","")</f>
        <v/>
      </c>
      <c r="M423" s="4" t="str">
        <f>HYPERLINK("http://141.218.60.56/~jnz1568/getInfo.php?workbook=06_02.xlsx&amp;sheet=A0&amp;row=423&amp;col=13&amp;number=&amp;sourceID=30","")</f>
        <v/>
      </c>
      <c r="N423" s="4" t="str">
        <f>HYPERLINK("http://141.218.60.56/~jnz1568/getInfo.php?workbook=06_02.xlsx&amp;sheet=A0&amp;row=423&amp;col=14&amp;number=&amp;sourceID=30","")</f>
        <v/>
      </c>
      <c r="O423" s="4" t="str">
        <f>HYPERLINK("http://141.218.60.56/~jnz1568/getInfo.php?workbook=06_02.xlsx&amp;sheet=A0&amp;row=423&amp;col=15&amp;number=1142000000&amp;sourceID=32","1142000000")</f>
        <v>1142000000</v>
      </c>
      <c r="P423" s="4" t="str">
        <f>HYPERLINK("http://141.218.60.56/~jnz1568/getInfo.php?workbook=06_02.xlsx&amp;sheet=A0&amp;row=423&amp;col=16&amp;number=&amp;sourceID=32","")</f>
        <v/>
      </c>
      <c r="Q423" s="4" t="str">
        <f>HYPERLINK("http://141.218.60.56/~jnz1568/getInfo.php?workbook=06_02.xlsx&amp;sheet=A0&amp;row=423&amp;col=17&amp;number=&amp;sourceID=32","")</f>
        <v/>
      </c>
      <c r="R423" s="4" t="str">
        <f>HYPERLINK("http://141.218.60.56/~jnz1568/getInfo.php?workbook=06_02.xlsx&amp;sheet=A0&amp;row=423&amp;col=18&amp;number=&amp;sourceID=32","")</f>
        <v/>
      </c>
    </row>
    <row r="424" spans="1:18">
      <c r="A424" s="3">
        <v>6</v>
      </c>
      <c r="B424" s="3">
        <v>2</v>
      </c>
      <c r="C424" s="3">
        <v>33</v>
      </c>
      <c r="D424" s="3">
        <v>8</v>
      </c>
      <c r="E424" s="3">
        <f>((1/(INDEX(E0!J$4:J$52,C424,1)-INDEX(E0!J$4:J$52,D424,1))))*100000000</f>
        <v>0</v>
      </c>
      <c r="F424" s="4" t="str">
        <f>HYPERLINK("http://141.218.60.56/~jnz1568/getInfo.php?workbook=06_02.xlsx&amp;sheet=A0&amp;row=424&amp;col=6&amp;number=&amp;sourceID=27","")</f>
        <v/>
      </c>
      <c r="G424" s="4" t="str">
        <f>HYPERLINK("http://141.218.60.56/~jnz1568/getInfo.php?workbook=06_02.xlsx&amp;sheet=A0&amp;row=424&amp;col=7&amp;number=&amp;sourceID=34","")</f>
        <v/>
      </c>
      <c r="H424" s="4" t="str">
        <f>HYPERLINK("http://141.218.60.56/~jnz1568/getInfo.php?workbook=06_02.xlsx&amp;sheet=A0&amp;row=424&amp;col=8&amp;number=&amp;sourceID=34","")</f>
        <v/>
      </c>
      <c r="I424" s="4" t="str">
        <f>HYPERLINK("http://141.218.60.56/~jnz1568/getInfo.php?workbook=06_02.xlsx&amp;sheet=A0&amp;row=424&amp;col=9&amp;number=&amp;sourceID=34","")</f>
        <v/>
      </c>
      <c r="J424" s="4" t="str">
        <f>HYPERLINK("http://141.218.60.56/~jnz1568/getInfo.php?workbook=06_02.xlsx&amp;sheet=A0&amp;row=424&amp;col=10&amp;number=&amp;sourceID=34","")</f>
        <v/>
      </c>
      <c r="K424" s="4" t="str">
        <f>HYPERLINK("http://141.218.60.56/~jnz1568/getInfo.php?workbook=06_02.xlsx&amp;sheet=A0&amp;row=424&amp;col=11&amp;number=&amp;sourceID=30","")</f>
        <v/>
      </c>
      <c r="L424" s="4" t="str">
        <f>HYPERLINK("http://141.218.60.56/~jnz1568/getInfo.php?workbook=06_02.xlsx&amp;sheet=A0&amp;row=424&amp;col=12&amp;number=&amp;sourceID=30","")</f>
        <v/>
      </c>
      <c r="M424" s="4" t="str">
        <f>HYPERLINK("http://141.218.60.56/~jnz1568/getInfo.php?workbook=06_02.xlsx&amp;sheet=A0&amp;row=424&amp;col=13&amp;number=6.384e-05&amp;sourceID=30","6.384e-05")</f>
        <v>6.384e-05</v>
      </c>
      <c r="N424" s="4" t="str">
        <f>HYPERLINK("http://141.218.60.56/~jnz1568/getInfo.php?workbook=06_02.xlsx&amp;sheet=A0&amp;row=424&amp;col=14&amp;number=&amp;sourceID=30","")</f>
        <v/>
      </c>
      <c r="O424" s="4" t="str">
        <f>HYPERLINK("http://141.218.60.56/~jnz1568/getInfo.php?workbook=06_02.xlsx&amp;sheet=A0&amp;row=424&amp;col=15&amp;number=&amp;sourceID=32","")</f>
        <v/>
      </c>
      <c r="P424" s="4" t="str">
        <f>HYPERLINK("http://141.218.60.56/~jnz1568/getInfo.php?workbook=06_02.xlsx&amp;sheet=A0&amp;row=424&amp;col=16&amp;number=&amp;sourceID=32","")</f>
        <v/>
      </c>
      <c r="Q424" s="4" t="str">
        <f>HYPERLINK("http://141.218.60.56/~jnz1568/getInfo.php?workbook=06_02.xlsx&amp;sheet=A0&amp;row=424&amp;col=17&amp;number=3.124e-05&amp;sourceID=32","3.124e-05")</f>
        <v>3.124e-05</v>
      </c>
      <c r="R424" s="4" t="str">
        <f>HYPERLINK("http://141.218.60.56/~jnz1568/getInfo.php?workbook=06_02.xlsx&amp;sheet=A0&amp;row=424&amp;col=18&amp;number=&amp;sourceID=32","")</f>
        <v/>
      </c>
    </row>
    <row r="425" spans="1:18">
      <c r="A425" s="3">
        <v>6</v>
      </c>
      <c r="B425" s="3">
        <v>2</v>
      </c>
      <c r="C425" s="3">
        <v>33</v>
      </c>
      <c r="D425" s="3">
        <v>10</v>
      </c>
      <c r="E425" s="3">
        <f>((1/(INDEX(E0!J$4:J$52,C425,1)-INDEX(E0!J$4:J$52,D425,1))))*100000000</f>
        <v>0</v>
      </c>
      <c r="F425" s="4" t="str">
        <f>HYPERLINK("http://141.218.60.56/~jnz1568/getInfo.php?workbook=06_02.xlsx&amp;sheet=A0&amp;row=425&amp;col=6&amp;number=&amp;sourceID=27","")</f>
        <v/>
      </c>
      <c r="G425" s="4" t="str">
        <f>HYPERLINK("http://141.218.60.56/~jnz1568/getInfo.php?workbook=06_02.xlsx&amp;sheet=A0&amp;row=425&amp;col=7&amp;number=&amp;sourceID=34","")</f>
        <v/>
      </c>
      <c r="H425" s="4" t="str">
        <f>HYPERLINK("http://141.218.60.56/~jnz1568/getInfo.php?workbook=06_02.xlsx&amp;sheet=A0&amp;row=425&amp;col=8&amp;number=&amp;sourceID=34","")</f>
        <v/>
      </c>
      <c r="I425" s="4" t="str">
        <f>HYPERLINK("http://141.218.60.56/~jnz1568/getInfo.php?workbook=06_02.xlsx&amp;sheet=A0&amp;row=425&amp;col=9&amp;number=&amp;sourceID=34","")</f>
        <v/>
      </c>
      <c r="J425" s="4" t="str">
        <f>HYPERLINK("http://141.218.60.56/~jnz1568/getInfo.php?workbook=06_02.xlsx&amp;sheet=A0&amp;row=425&amp;col=10&amp;number=&amp;sourceID=34","")</f>
        <v/>
      </c>
      <c r="K425" s="4" t="str">
        <f>HYPERLINK("http://141.218.60.56/~jnz1568/getInfo.php?workbook=06_02.xlsx&amp;sheet=A0&amp;row=425&amp;col=11&amp;number=25480&amp;sourceID=30","25480")</f>
        <v>25480</v>
      </c>
      <c r="L425" s="4" t="str">
        <f>HYPERLINK("http://141.218.60.56/~jnz1568/getInfo.php?workbook=06_02.xlsx&amp;sheet=A0&amp;row=425&amp;col=12&amp;number=&amp;sourceID=30","")</f>
        <v/>
      </c>
      <c r="M425" s="4" t="str">
        <f>HYPERLINK("http://141.218.60.56/~jnz1568/getInfo.php?workbook=06_02.xlsx&amp;sheet=A0&amp;row=425&amp;col=13&amp;number=&amp;sourceID=30","")</f>
        <v/>
      </c>
      <c r="N425" s="4" t="str">
        <f>HYPERLINK("http://141.218.60.56/~jnz1568/getInfo.php?workbook=06_02.xlsx&amp;sheet=A0&amp;row=425&amp;col=14&amp;number=&amp;sourceID=30","")</f>
        <v/>
      </c>
      <c r="O425" s="4" t="str">
        <f>HYPERLINK("http://141.218.60.56/~jnz1568/getInfo.php?workbook=06_02.xlsx&amp;sheet=A0&amp;row=425&amp;col=15&amp;number=18030&amp;sourceID=32","18030")</f>
        <v>18030</v>
      </c>
      <c r="P425" s="4" t="str">
        <f>HYPERLINK("http://141.218.60.56/~jnz1568/getInfo.php?workbook=06_02.xlsx&amp;sheet=A0&amp;row=425&amp;col=16&amp;number=&amp;sourceID=32","")</f>
        <v/>
      </c>
      <c r="Q425" s="4" t="str">
        <f>HYPERLINK("http://141.218.60.56/~jnz1568/getInfo.php?workbook=06_02.xlsx&amp;sheet=A0&amp;row=425&amp;col=17&amp;number=&amp;sourceID=32","")</f>
        <v/>
      </c>
      <c r="R425" s="4" t="str">
        <f>HYPERLINK("http://141.218.60.56/~jnz1568/getInfo.php?workbook=06_02.xlsx&amp;sheet=A0&amp;row=425&amp;col=18&amp;number=&amp;sourceID=32","")</f>
        <v/>
      </c>
    </row>
    <row r="426" spans="1:18">
      <c r="A426" s="3">
        <v>6</v>
      </c>
      <c r="B426" s="3">
        <v>2</v>
      </c>
      <c r="C426" s="3">
        <v>33</v>
      </c>
      <c r="D426" s="3">
        <v>12</v>
      </c>
      <c r="E426" s="3">
        <f>((1/(INDEX(E0!J$4:J$52,C426,1)-INDEX(E0!J$4:J$52,D426,1))))*100000000</f>
        <v>0</v>
      </c>
      <c r="F426" s="4" t="str">
        <f>HYPERLINK("http://141.218.60.56/~jnz1568/getInfo.php?workbook=06_02.xlsx&amp;sheet=A0&amp;row=426&amp;col=6&amp;number=&amp;sourceID=27","")</f>
        <v/>
      </c>
      <c r="G426" s="4" t="str">
        <f>HYPERLINK("http://141.218.60.56/~jnz1568/getInfo.php?workbook=06_02.xlsx&amp;sheet=A0&amp;row=426&amp;col=7&amp;number=&amp;sourceID=34","")</f>
        <v/>
      </c>
      <c r="H426" s="4" t="str">
        <f>HYPERLINK("http://141.218.60.56/~jnz1568/getInfo.php?workbook=06_02.xlsx&amp;sheet=A0&amp;row=426&amp;col=8&amp;number=&amp;sourceID=34","")</f>
        <v/>
      </c>
      <c r="I426" s="4" t="str">
        <f>HYPERLINK("http://141.218.60.56/~jnz1568/getInfo.php?workbook=06_02.xlsx&amp;sheet=A0&amp;row=426&amp;col=9&amp;number=&amp;sourceID=34","")</f>
        <v/>
      </c>
      <c r="J426" s="4" t="str">
        <f>HYPERLINK("http://141.218.60.56/~jnz1568/getInfo.php?workbook=06_02.xlsx&amp;sheet=A0&amp;row=426&amp;col=10&amp;number=&amp;sourceID=34","")</f>
        <v/>
      </c>
      <c r="K426" s="4" t="str">
        <f>HYPERLINK("http://141.218.60.56/~jnz1568/getInfo.php?workbook=06_02.xlsx&amp;sheet=A0&amp;row=426&amp;col=11&amp;number=&amp;sourceID=30","")</f>
        <v/>
      </c>
      <c r="L426" s="4" t="str">
        <f>HYPERLINK("http://141.218.60.56/~jnz1568/getInfo.php?workbook=06_02.xlsx&amp;sheet=A0&amp;row=426&amp;col=12&amp;number=&amp;sourceID=30","")</f>
        <v/>
      </c>
      <c r="M426" s="4" t="str">
        <f>HYPERLINK("http://141.218.60.56/~jnz1568/getInfo.php?workbook=06_02.xlsx&amp;sheet=A0&amp;row=426&amp;col=13&amp;number=&amp;sourceID=30","")</f>
        <v/>
      </c>
      <c r="N426" s="4" t="str">
        <f>HYPERLINK("http://141.218.60.56/~jnz1568/getInfo.php?workbook=06_02.xlsx&amp;sheet=A0&amp;row=426&amp;col=14&amp;number=0.166&amp;sourceID=30","0.166")</f>
        <v>0.166</v>
      </c>
      <c r="O426" s="4" t="str">
        <f>HYPERLINK("http://141.218.60.56/~jnz1568/getInfo.php?workbook=06_02.xlsx&amp;sheet=A0&amp;row=426&amp;col=15&amp;number=&amp;sourceID=32","")</f>
        <v/>
      </c>
      <c r="P426" s="4" t="str">
        <f>HYPERLINK("http://141.218.60.56/~jnz1568/getInfo.php?workbook=06_02.xlsx&amp;sheet=A0&amp;row=426&amp;col=16&amp;number=&amp;sourceID=32","")</f>
        <v/>
      </c>
      <c r="Q426" s="4" t="str">
        <f>HYPERLINK("http://141.218.60.56/~jnz1568/getInfo.php?workbook=06_02.xlsx&amp;sheet=A0&amp;row=426&amp;col=17&amp;number=&amp;sourceID=32","")</f>
        <v/>
      </c>
      <c r="R426" s="4" t="str">
        <f>HYPERLINK("http://141.218.60.56/~jnz1568/getInfo.php?workbook=06_02.xlsx&amp;sheet=A0&amp;row=426&amp;col=18&amp;number=0.1724&amp;sourceID=32","0.1724")</f>
        <v>0.1724</v>
      </c>
    </row>
    <row r="427" spans="1:18">
      <c r="A427" s="3">
        <v>6</v>
      </c>
      <c r="B427" s="3">
        <v>2</v>
      </c>
      <c r="C427" s="3">
        <v>33</v>
      </c>
      <c r="D427" s="3">
        <v>13</v>
      </c>
      <c r="E427" s="3">
        <f>((1/(INDEX(E0!J$4:J$52,C427,1)-INDEX(E0!J$4:J$52,D427,1))))*100000000</f>
        <v>0</v>
      </c>
      <c r="F427" s="4" t="str">
        <f>HYPERLINK("http://141.218.60.56/~jnz1568/getInfo.php?workbook=06_02.xlsx&amp;sheet=A0&amp;row=427&amp;col=6&amp;number=&amp;sourceID=27","")</f>
        <v/>
      </c>
      <c r="G427" s="4" t="str">
        <f>HYPERLINK("http://141.218.60.56/~jnz1568/getInfo.php?workbook=06_02.xlsx&amp;sheet=A0&amp;row=427&amp;col=7&amp;number=&amp;sourceID=34","")</f>
        <v/>
      </c>
      <c r="H427" s="4" t="str">
        <f>HYPERLINK("http://141.218.60.56/~jnz1568/getInfo.php?workbook=06_02.xlsx&amp;sheet=A0&amp;row=427&amp;col=8&amp;number=&amp;sourceID=34","")</f>
        <v/>
      </c>
      <c r="I427" s="4" t="str">
        <f>HYPERLINK("http://141.218.60.56/~jnz1568/getInfo.php?workbook=06_02.xlsx&amp;sheet=A0&amp;row=427&amp;col=9&amp;number=&amp;sourceID=34","")</f>
        <v/>
      </c>
      <c r="J427" s="4" t="str">
        <f>HYPERLINK("http://141.218.60.56/~jnz1568/getInfo.php?workbook=06_02.xlsx&amp;sheet=A0&amp;row=427&amp;col=10&amp;number=&amp;sourceID=34","")</f>
        <v/>
      </c>
      <c r="K427" s="4" t="str">
        <f>HYPERLINK("http://141.218.60.56/~jnz1568/getInfo.php?workbook=06_02.xlsx&amp;sheet=A0&amp;row=427&amp;col=11&amp;number=&amp;sourceID=30","")</f>
        <v/>
      </c>
      <c r="L427" s="4" t="str">
        <f>HYPERLINK("http://141.218.60.56/~jnz1568/getInfo.php?workbook=06_02.xlsx&amp;sheet=A0&amp;row=427&amp;col=12&amp;number=&amp;sourceID=30","")</f>
        <v/>
      </c>
      <c r="M427" s="4" t="str">
        <f>HYPERLINK("http://141.218.60.56/~jnz1568/getInfo.php?workbook=06_02.xlsx&amp;sheet=A0&amp;row=427&amp;col=13&amp;number=1.956e-08&amp;sourceID=30","1.956e-08")</f>
        <v>1.956e-08</v>
      </c>
      <c r="N427" s="4" t="str">
        <f>HYPERLINK("http://141.218.60.56/~jnz1568/getInfo.php?workbook=06_02.xlsx&amp;sheet=A0&amp;row=427&amp;col=14&amp;number=&amp;sourceID=30","")</f>
        <v/>
      </c>
      <c r="O427" s="4" t="str">
        <f>HYPERLINK("http://141.218.60.56/~jnz1568/getInfo.php?workbook=06_02.xlsx&amp;sheet=A0&amp;row=427&amp;col=15&amp;number=&amp;sourceID=32","")</f>
        <v/>
      </c>
      <c r="P427" s="4" t="str">
        <f>HYPERLINK("http://141.218.60.56/~jnz1568/getInfo.php?workbook=06_02.xlsx&amp;sheet=A0&amp;row=427&amp;col=16&amp;number=&amp;sourceID=32","")</f>
        <v/>
      </c>
      <c r="Q427" s="4" t="str">
        <f>HYPERLINK("http://141.218.60.56/~jnz1568/getInfo.php?workbook=06_02.xlsx&amp;sheet=A0&amp;row=427&amp;col=17&amp;number=1.488e-07&amp;sourceID=32","1.488e-07")</f>
        <v>1.488e-07</v>
      </c>
      <c r="R427" s="4" t="str">
        <f>HYPERLINK("http://141.218.60.56/~jnz1568/getInfo.php?workbook=06_02.xlsx&amp;sheet=A0&amp;row=427&amp;col=18&amp;number=&amp;sourceID=32","")</f>
        <v/>
      </c>
    </row>
    <row r="428" spans="1:18">
      <c r="A428" s="3">
        <v>6</v>
      </c>
      <c r="B428" s="3">
        <v>2</v>
      </c>
      <c r="C428" s="3">
        <v>33</v>
      </c>
      <c r="D428" s="3">
        <v>14</v>
      </c>
      <c r="E428" s="3">
        <f>((1/(INDEX(E0!J$4:J$52,C428,1)-INDEX(E0!J$4:J$52,D428,1))))*100000000</f>
        <v>0</v>
      </c>
      <c r="F428" s="4" t="str">
        <f>HYPERLINK("http://141.218.60.56/~jnz1568/getInfo.php?workbook=06_02.xlsx&amp;sheet=A0&amp;row=428&amp;col=6&amp;number=&amp;sourceID=27","")</f>
        <v/>
      </c>
      <c r="G428" s="4" t="str">
        <f>HYPERLINK("http://141.218.60.56/~jnz1568/getInfo.php?workbook=06_02.xlsx&amp;sheet=A0&amp;row=428&amp;col=7&amp;number=&amp;sourceID=34","")</f>
        <v/>
      </c>
      <c r="H428" s="4" t="str">
        <f>HYPERLINK("http://141.218.60.56/~jnz1568/getInfo.php?workbook=06_02.xlsx&amp;sheet=A0&amp;row=428&amp;col=8&amp;number=&amp;sourceID=34","")</f>
        <v/>
      </c>
      <c r="I428" s="4" t="str">
        <f>HYPERLINK("http://141.218.60.56/~jnz1568/getInfo.php?workbook=06_02.xlsx&amp;sheet=A0&amp;row=428&amp;col=9&amp;number=&amp;sourceID=34","")</f>
        <v/>
      </c>
      <c r="J428" s="4" t="str">
        <f>HYPERLINK("http://141.218.60.56/~jnz1568/getInfo.php?workbook=06_02.xlsx&amp;sheet=A0&amp;row=428&amp;col=10&amp;number=&amp;sourceID=34","")</f>
        <v/>
      </c>
      <c r="K428" s="4" t="str">
        <f>HYPERLINK("http://141.218.60.56/~jnz1568/getInfo.php?workbook=06_02.xlsx&amp;sheet=A0&amp;row=428&amp;col=11&amp;number=&amp;sourceID=30","")</f>
        <v/>
      </c>
      <c r="L428" s="4" t="str">
        <f>HYPERLINK("http://141.218.60.56/~jnz1568/getInfo.php?workbook=06_02.xlsx&amp;sheet=A0&amp;row=428&amp;col=12&amp;number=39.34&amp;sourceID=30","39.34")</f>
        <v>39.34</v>
      </c>
      <c r="M428" s="4" t="str">
        <f>HYPERLINK("http://141.218.60.56/~jnz1568/getInfo.php?workbook=06_02.xlsx&amp;sheet=A0&amp;row=428&amp;col=13&amp;number=&amp;sourceID=30","")</f>
        <v/>
      </c>
      <c r="N428" s="4" t="str">
        <f>HYPERLINK("http://141.218.60.56/~jnz1568/getInfo.php?workbook=06_02.xlsx&amp;sheet=A0&amp;row=428&amp;col=14&amp;number=&amp;sourceID=30","")</f>
        <v/>
      </c>
      <c r="O428" s="4" t="str">
        <f>HYPERLINK("http://141.218.60.56/~jnz1568/getInfo.php?workbook=06_02.xlsx&amp;sheet=A0&amp;row=428&amp;col=15&amp;number=&amp;sourceID=32","")</f>
        <v/>
      </c>
      <c r="P428" s="4" t="str">
        <f>HYPERLINK("http://141.218.60.56/~jnz1568/getInfo.php?workbook=06_02.xlsx&amp;sheet=A0&amp;row=428&amp;col=16&amp;number=45.51&amp;sourceID=32","45.51")</f>
        <v>45.51</v>
      </c>
      <c r="Q428" s="4" t="str">
        <f>HYPERLINK("http://141.218.60.56/~jnz1568/getInfo.php?workbook=06_02.xlsx&amp;sheet=A0&amp;row=428&amp;col=17&amp;number=&amp;sourceID=32","")</f>
        <v/>
      </c>
      <c r="R428" s="4" t="str">
        <f>HYPERLINK("http://141.218.60.56/~jnz1568/getInfo.php?workbook=06_02.xlsx&amp;sheet=A0&amp;row=428&amp;col=18&amp;number=&amp;sourceID=32","")</f>
        <v/>
      </c>
    </row>
    <row r="429" spans="1:18">
      <c r="A429" s="3">
        <v>6</v>
      </c>
      <c r="B429" s="3">
        <v>2</v>
      </c>
      <c r="C429" s="3">
        <v>33</v>
      </c>
      <c r="D429" s="3">
        <v>16</v>
      </c>
      <c r="E429" s="3">
        <f>((1/(INDEX(E0!J$4:J$52,C429,1)-INDEX(E0!J$4:J$52,D429,1))))*100000000</f>
        <v>0</v>
      </c>
      <c r="F429" s="4" t="str">
        <f>HYPERLINK("http://141.218.60.56/~jnz1568/getInfo.php?workbook=06_02.xlsx&amp;sheet=A0&amp;row=429&amp;col=6&amp;number=&amp;sourceID=27","")</f>
        <v/>
      </c>
      <c r="G429" s="4" t="str">
        <f>HYPERLINK("http://141.218.60.56/~jnz1568/getInfo.php?workbook=06_02.xlsx&amp;sheet=A0&amp;row=429&amp;col=7&amp;number=&amp;sourceID=34","")</f>
        <v/>
      </c>
      <c r="H429" s="4" t="str">
        <f>HYPERLINK("http://141.218.60.56/~jnz1568/getInfo.php?workbook=06_02.xlsx&amp;sheet=A0&amp;row=429&amp;col=8&amp;number=&amp;sourceID=34","")</f>
        <v/>
      </c>
      <c r="I429" s="4" t="str">
        <f>HYPERLINK("http://141.218.60.56/~jnz1568/getInfo.php?workbook=06_02.xlsx&amp;sheet=A0&amp;row=429&amp;col=9&amp;number=&amp;sourceID=34","")</f>
        <v/>
      </c>
      <c r="J429" s="4" t="str">
        <f>HYPERLINK("http://141.218.60.56/~jnz1568/getInfo.php?workbook=06_02.xlsx&amp;sheet=A0&amp;row=429&amp;col=10&amp;number=&amp;sourceID=34","")</f>
        <v/>
      </c>
      <c r="K429" s="4" t="str">
        <f>HYPERLINK("http://141.218.60.56/~jnz1568/getInfo.php?workbook=06_02.xlsx&amp;sheet=A0&amp;row=429&amp;col=11&amp;number=&amp;sourceID=30","")</f>
        <v/>
      </c>
      <c r="L429" s="4" t="str">
        <f>HYPERLINK("http://141.218.60.56/~jnz1568/getInfo.php?workbook=06_02.xlsx&amp;sheet=A0&amp;row=429&amp;col=12&amp;number=12720&amp;sourceID=30","12720")</f>
        <v>12720</v>
      </c>
      <c r="M429" s="4" t="str">
        <f>HYPERLINK("http://141.218.60.56/~jnz1568/getInfo.php?workbook=06_02.xlsx&amp;sheet=A0&amp;row=429&amp;col=13&amp;number=&amp;sourceID=30","")</f>
        <v/>
      </c>
      <c r="N429" s="4" t="str">
        <f>HYPERLINK("http://141.218.60.56/~jnz1568/getInfo.php?workbook=06_02.xlsx&amp;sheet=A0&amp;row=429&amp;col=14&amp;number=&amp;sourceID=30","")</f>
        <v/>
      </c>
      <c r="O429" s="4" t="str">
        <f>HYPERLINK("http://141.218.60.56/~jnz1568/getInfo.php?workbook=06_02.xlsx&amp;sheet=A0&amp;row=429&amp;col=15&amp;number=&amp;sourceID=32","")</f>
        <v/>
      </c>
      <c r="P429" s="4" t="str">
        <f>HYPERLINK("http://141.218.60.56/~jnz1568/getInfo.php?workbook=06_02.xlsx&amp;sheet=A0&amp;row=429&amp;col=16&amp;number=10620&amp;sourceID=32","10620")</f>
        <v>10620</v>
      </c>
      <c r="Q429" s="4" t="str">
        <f>HYPERLINK("http://141.218.60.56/~jnz1568/getInfo.php?workbook=06_02.xlsx&amp;sheet=A0&amp;row=429&amp;col=17&amp;number=&amp;sourceID=32","")</f>
        <v/>
      </c>
      <c r="R429" s="4" t="str">
        <f>HYPERLINK("http://141.218.60.56/~jnz1568/getInfo.php?workbook=06_02.xlsx&amp;sheet=A0&amp;row=429&amp;col=18&amp;number=&amp;sourceID=32","")</f>
        <v/>
      </c>
    </row>
    <row r="430" spans="1:18">
      <c r="A430" s="3">
        <v>6</v>
      </c>
      <c r="B430" s="3">
        <v>2</v>
      </c>
      <c r="C430" s="3">
        <v>33</v>
      </c>
      <c r="D430" s="3">
        <v>17</v>
      </c>
      <c r="E430" s="3">
        <f>((1/(INDEX(E0!J$4:J$52,C430,1)-INDEX(E0!J$4:J$52,D430,1))))*100000000</f>
        <v>0</v>
      </c>
      <c r="F430" s="4" t="str">
        <f>HYPERLINK("http://141.218.60.56/~jnz1568/getInfo.php?workbook=06_02.xlsx&amp;sheet=A0&amp;row=430&amp;col=6&amp;number=&amp;sourceID=27","")</f>
        <v/>
      </c>
      <c r="G430" s="4" t="str">
        <f>HYPERLINK("http://141.218.60.56/~jnz1568/getInfo.php?workbook=06_02.xlsx&amp;sheet=A0&amp;row=430&amp;col=7&amp;number=&amp;sourceID=34","")</f>
        <v/>
      </c>
      <c r="H430" s="4" t="str">
        <f>HYPERLINK("http://141.218.60.56/~jnz1568/getInfo.php?workbook=06_02.xlsx&amp;sheet=A0&amp;row=430&amp;col=8&amp;number=&amp;sourceID=34","")</f>
        <v/>
      </c>
      <c r="I430" s="4" t="str">
        <f>HYPERLINK("http://141.218.60.56/~jnz1568/getInfo.php?workbook=06_02.xlsx&amp;sheet=A0&amp;row=430&amp;col=9&amp;number=&amp;sourceID=34","")</f>
        <v/>
      </c>
      <c r="J430" s="4" t="str">
        <f>HYPERLINK("http://141.218.60.56/~jnz1568/getInfo.php?workbook=06_02.xlsx&amp;sheet=A0&amp;row=430&amp;col=10&amp;number=&amp;sourceID=34","")</f>
        <v/>
      </c>
      <c r="K430" s="4" t="str">
        <f>HYPERLINK("http://141.218.60.56/~jnz1568/getInfo.php?workbook=06_02.xlsx&amp;sheet=A0&amp;row=430&amp;col=11&amp;number=1212000000&amp;sourceID=30","1212000000")</f>
        <v>1212000000</v>
      </c>
      <c r="L430" s="4" t="str">
        <f>HYPERLINK("http://141.218.60.56/~jnz1568/getInfo.php?workbook=06_02.xlsx&amp;sheet=A0&amp;row=430&amp;col=12&amp;number=&amp;sourceID=30","")</f>
        <v/>
      </c>
      <c r="M430" s="4" t="str">
        <f>HYPERLINK("http://141.218.60.56/~jnz1568/getInfo.php?workbook=06_02.xlsx&amp;sheet=A0&amp;row=430&amp;col=13&amp;number=&amp;sourceID=30","")</f>
        <v/>
      </c>
      <c r="N430" s="4" t="str">
        <f>HYPERLINK("http://141.218.60.56/~jnz1568/getInfo.php?workbook=06_02.xlsx&amp;sheet=A0&amp;row=430&amp;col=14&amp;number=&amp;sourceID=30","")</f>
        <v/>
      </c>
      <c r="O430" s="4" t="str">
        <f>HYPERLINK("http://141.218.60.56/~jnz1568/getInfo.php?workbook=06_02.xlsx&amp;sheet=A0&amp;row=430&amp;col=15&amp;number=754300000&amp;sourceID=32","754300000")</f>
        <v>754300000</v>
      </c>
      <c r="P430" s="4" t="str">
        <f>HYPERLINK("http://141.218.60.56/~jnz1568/getInfo.php?workbook=06_02.xlsx&amp;sheet=A0&amp;row=430&amp;col=16&amp;number=&amp;sourceID=32","")</f>
        <v/>
      </c>
      <c r="Q430" s="4" t="str">
        <f>HYPERLINK("http://141.218.60.56/~jnz1568/getInfo.php?workbook=06_02.xlsx&amp;sheet=A0&amp;row=430&amp;col=17&amp;number=&amp;sourceID=32","")</f>
        <v/>
      </c>
      <c r="R430" s="4" t="str">
        <f>HYPERLINK("http://141.218.60.56/~jnz1568/getInfo.php?workbook=06_02.xlsx&amp;sheet=A0&amp;row=430&amp;col=18&amp;number=&amp;sourceID=32","")</f>
        <v/>
      </c>
    </row>
    <row r="431" spans="1:18">
      <c r="A431" s="3">
        <v>6</v>
      </c>
      <c r="B431" s="3">
        <v>2</v>
      </c>
      <c r="C431" s="3">
        <v>33</v>
      </c>
      <c r="D431" s="3">
        <v>18</v>
      </c>
      <c r="E431" s="3">
        <f>((1/(INDEX(E0!J$4:J$52,C431,1)-INDEX(E0!J$4:J$52,D431,1))))*100000000</f>
        <v>0</v>
      </c>
      <c r="F431" s="4" t="str">
        <f>HYPERLINK("http://141.218.60.56/~jnz1568/getInfo.php?workbook=06_02.xlsx&amp;sheet=A0&amp;row=431&amp;col=6&amp;number=&amp;sourceID=27","")</f>
        <v/>
      </c>
      <c r="G431" s="4" t="str">
        <f>HYPERLINK("http://141.218.60.56/~jnz1568/getInfo.php?workbook=06_02.xlsx&amp;sheet=A0&amp;row=431&amp;col=7&amp;number=&amp;sourceID=34","")</f>
        <v/>
      </c>
      <c r="H431" s="4" t="str">
        <f>HYPERLINK("http://141.218.60.56/~jnz1568/getInfo.php?workbook=06_02.xlsx&amp;sheet=A0&amp;row=431&amp;col=8&amp;number=&amp;sourceID=34","")</f>
        <v/>
      </c>
      <c r="I431" s="4" t="str">
        <f>HYPERLINK("http://141.218.60.56/~jnz1568/getInfo.php?workbook=06_02.xlsx&amp;sheet=A0&amp;row=431&amp;col=9&amp;number=&amp;sourceID=34","")</f>
        <v/>
      </c>
      <c r="J431" s="4" t="str">
        <f>HYPERLINK("http://141.218.60.56/~jnz1568/getInfo.php?workbook=06_02.xlsx&amp;sheet=A0&amp;row=431&amp;col=10&amp;number=&amp;sourceID=34","")</f>
        <v/>
      </c>
      <c r="K431" s="4" t="str">
        <f>HYPERLINK("http://141.218.60.56/~jnz1568/getInfo.php?workbook=06_02.xlsx&amp;sheet=A0&amp;row=431&amp;col=11&amp;number=&amp;sourceID=30","")</f>
        <v/>
      </c>
      <c r="L431" s="4" t="str">
        <f>HYPERLINK("http://141.218.60.56/~jnz1568/getInfo.php?workbook=06_02.xlsx&amp;sheet=A0&amp;row=431&amp;col=12&amp;number=&amp;sourceID=30","")</f>
        <v/>
      </c>
      <c r="M431" s="4" t="str">
        <f>HYPERLINK("http://141.218.60.56/~jnz1568/getInfo.php?workbook=06_02.xlsx&amp;sheet=A0&amp;row=431&amp;col=13&amp;number=5.152e-06&amp;sourceID=30","5.152e-06")</f>
        <v>5.152e-06</v>
      </c>
      <c r="N431" s="4" t="str">
        <f>HYPERLINK("http://141.218.60.56/~jnz1568/getInfo.php?workbook=06_02.xlsx&amp;sheet=A0&amp;row=431&amp;col=14&amp;number=&amp;sourceID=30","")</f>
        <v/>
      </c>
      <c r="O431" s="4" t="str">
        <f>HYPERLINK("http://141.218.60.56/~jnz1568/getInfo.php?workbook=06_02.xlsx&amp;sheet=A0&amp;row=431&amp;col=15&amp;number=&amp;sourceID=32","")</f>
        <v/>
      </c>
      <c r="P431" s="4" t="str">
        <f>HYPERLINK("http://141.218.60.56/~jnz1568/getInfo.php?workbook=06_02.xlsx&amp;sheet=A0&amp;row=431&amp;col=16&amp;number=&amp;sourceID=32","")</f>
        <v/>
      </c>
      <c r="Q431" s="4" t="str">
        <f>HYPERLINK("http://141.218.60.56/~jnz1568/getInfo.php?workbook=06_02.xlsx&amp;sheet=A0&amp;row=431&amp;col=17&amp;number=2.585e-06&amp;sourceID=32","2.585e-06")</f>
        <v>2.585e-06</v>
      </c>
      <c r="R431" s="4" t="str">
        <f>HYPERLINK("http://141.218.60.56/~jnz1568/getInfo.php?workbook=06_02.xlsx&amp;sheet=A0&amp;row=431&amp;col=18&amp;number=&amp;sourceID=32","")</f>
        <v/>
      </c>
    </row>
    <row r="432" spans="1:18">
      <c r="A432" s="3">
        <v>6</v>
      </c>
      <c r="B432" s="3">
        <v>2</v>
      </c>
      <c r="C432" s="3">
        <v>33</v>
      </c>
      <c r="D432" s="3">
        <v>21</v>
      </c>
      <c r="E432" s="3">
        <f>((1/(INDEX(E0!J$4:J$52,C432,1)-INDEX(E0!J$4:J$52,D432,1))))*100000000</f>
        <v>0</v>
      </c>
      <c r="F432" s="4" t="str">
        <f>HYPERLINK("http://141.218.60.56/~jnz1568/getInfo.php?workbook=06_02.xlsx&amp;sheet=A0&amp;row=432&amp;col=6&amp;number=&amp;sourceID=27","")</f>
        <v/>
      </c>
      <c r="G432" s="4" t="str">
        <f>HYPERLINK("http://141.218.60.56/~jnz1568/getInfo.php?workbook=06_02.xlsx&amp;sheet=A0&amp;row=432&amp;col=7&amp;number=&amp;sourceID=34","")</f>
        <v/>
      </c>
      <c r="H432" s="4" t="str">
        <f>HYPERLINK("http://141.218.60.56/~jnz1568/getInfo.php?workbook=06_02.xlsx&amp;sheet=A0&amp;row=432&amp;col=8&amp;number=&amp;sourceID=34","")</f>
        <v/>
      </c>
      <c r="I432" s="4" t="str">
        <f>HYPERLINK("http://141.218.60.56/~jnz1568/getInfo.php?workbook=06_02.xlsx&amp;sheet=A0&amp;row=432&amp;col=9&amp;number=&amp;sourceID=34","")</f>
        <v/>
      </c>
      <c r="J432" s="4" t="str">
        <f>HYPERLINK("http://141.218.60.56/~jnz1568/getInfo.php?workbook=06_02.xlsx&amp;sheet=A0&amp;row=432&amp;col=10&amp;number=&amp;sourceID=34","")</f>
        <v/>
      </c>
      <c r="K432" s="4" t="str">
        <f>HYPERLINK("http://141.218.60.56/~jnz1568/getInfo.php?workbook=06_02.xlsx&amp;sheet=A0&amp;row=432&amp;col=11&amp;number=13190&amp;sourceID=30","13190")</f>
        <v>13190</v>
      </c>
      <c r="L432" s="4" t="str">
        <f>HYPERLINK("http://141.218.60.56/~jnz1568/getInfo.php?workbook=06_02.xlsx&amp;sheet=A0&amp;row=432&amp;col=12&amp;number=&amp;sourceID=30","")</f>
        <v/>
      </c>
      <c r="M432" s="4" t="str">
        <f>HYPERLINK("http://141.218.60.56/~jnz1568/getInfo.php?workbook=06_02.xlsx&amp;sheet=A0&amp;row=432&amp;col=13&amp;number=&amp;sourceID=30","")</f>
        <v/>
      </c>
      <c r="N432" s="4" t="str">
        <f>HYPERLINK("http://141.218.60.56/~jnz1568/getInfo.php?workbook=06_02.xlsx&amp;sheet=A0&amp;row=432&amp;col=14&amp;number=&amp;sourceID=30","")</f>
        <v/>
      </c>
      <c r="O432" s="4" t="str">
        <f>HYPERLINK("http://141.218.60.56/~jnz1568/getInfo.php?workbook=06_02.xlsx&amp;sheet=A0&amp;row=432&amp;col=15&amp;number=13130&amp;sourceID=32","13130")</f>
        <v>13130</v>
      </c>
      <c r="P432" s="4" t="str">
        <f>HYPERLINK("http://141.218.60.56/~jnz1568/getInfo.php?workbook=06_02.xlsx&amp;sheet=A0&amp;row=432&amp;col=16&amp;number=&amp;sourceID=32","")</f>
        <v/>
      </c>
      <c r="Q432" s="4" t="str">
        <f>HYPERLINK("http://141.218.60.56/~jnz1568/getInfo.php?workbook=06_02.xlsx&amp;sheet=A0&amp;row=432&amp;col=17&amp;number=&amp;sourceID=32","")</f>
        <v/>
      </c>
      <c r="R432" s="4" t="str">
        <f>HYPERLINK("http://141.218.60.56/~jnz1568/getInfo.php?workbook=06_02.xlsx&amp;sheet=A0&amp;row=432&amp;col=18&amp;number=&amp;sourceID=32","")</f>
        <v/>
      </c>
    </row>
    <row r="433" spans="1:18">
      <c r="A433" s="3">
        <v>6</v>
      </c>
      <c r="B433" s="3">
        <v>2</v>
      </c>
      <c r="C433" s="3">
        <v>33</v>
      </c>
      <c r="D433" s="3">
        <v>22</v>
      </c>
      <c r="E433" s="3">
        <f>((1/(INDEX(E0!J$4:J$52,C433,1)-INDEX(E0!J$4:J$52,D433,1))))*100000000</f>
        <v>0</v>
      </c>
      <c r="F433" s="4" t="str">
        <f>HYPERLINK("http://141.218.60.56/~jnz1568/getInfo.php?workbook=06_02.xlsx&amp;sheet=A0&amp;row=433&amp;col=6&amp;number=&amp;sourceID=27","")</f>
        <v/>
      </c>
      <c r="G433" s="4" t="str">
        <f>HYPERLINK("http://141.218.60.56/~jnz1568/getInfo.php?workbook=06_02.xlsx&amp;sheet=A0&amp;row=433&amp;col=7&amp;number=&amp;sourceID=34","")</f>
        <v/>
      </c>
      <c r="H433" s="4" t="str">
        <f>HYPERLINK("http://141.218.60.56/~jnz1568/getInfo.php?workbook=06_02.xlsx&amp;sheet=A0&amp;row=433&amp;col=8&amp;number=&amp;sourceID=34","")</f>
        <v/>
      </c>
      <c r="I433" s="4" t="str">
        <f>HYPERLINK("http://141.218.60.56/~jnz1568/getInfo.php?workbook=06_02.xlsx&amp;sheet=A0&amp;row=433&amp;col=9&amp;number=&amp;sourceID=34","")</f>
        <v/>
      </c>
      <c r="J433" s="4" t="str">
        <f>HYPERLINK("http://141.218.60.56/~jnz1568/getInfo.php?workbook=06_02.xlsx&amp;sheet=A0&amp;row=433&amp;col=10&amp;number=&amp;sourceID=34","")</f>
        <v/>
      </c>
      <c r="K433" s="4" t="str">
        <f>HYPERLINK("http://141.218.60.56/~jnz1568/getInfo.php?workbook=06_02.xlsx&amp;sheet=A0&amp;row=433&amp;col=11&amp;number=&amp;sourceID=30","")</f>
        <v/>
      </c>
      <c r="L433" s="4" t="str">
        <f>HYPERLINK("http://141.218.60.56/~jnz1568/getInfo.php?workbook=06_02.xlsx&amp;sheet=A0&amp;row=433&amp;col=12&amp;number=&amp;sourceID=30","")</f>
        <v/>
      </c>
      <c r="M433" s="4" t="str">
        <f>HYPERLINK("http://141.218.60.56/~jnz1568/getInfo.php?workbook=06_02.xlsx&amp;sheet=A0&amp;row=433&amp;col=13&amp;number=&amp;sourceID=30","")</f>
        <v/>
      </c>
      <c r="N433" s="4" t="str">
        <f>HYPERLINK("http://141.218.60.56/~jnz1568/getInfo.php?workbook=06_02.xlsx&amp;sheet=A0&amp;row=433&amp;col=14&amp;number=0.01201&amp;sourceID=30","0.01201")</f>
        <v>0.01201</v>
      </c>
      <c r="O433" s="4" t="str">
        <f>HYPERLINK("http://141.218.60.56/~jnz1568/getInfo.php?workbook=06_02.xlsx&amp;sheet=A0&amp;row=433&amp;col=15&amp;number=&amp;sourceID=32","")</f>
        <v/>
      </c>
      <c r="P433" s="4" t="str">
        <f>HYPERLINK("http://141.218.60.56/~jnz1568/getInfo.php?workbook=06_02.xlsx&amp;sheet=A0&amp;row=433&amp;col=16&amp;number=&amp;sourceID=32","")</f>
        <v/>
      </c>
      <c r="Q433" s="4" t="str">
        <f>HYPERLINK("http://141.218.60.56/~jnz1568/getInfo.php?workbook=06_02.xlsx&amp;sheet=A0&amp;row=433&amp;col=17&amp;number=&amp;sourceID=32","")</f>
        <v/>
      </c>
      <c r="R433" s="4" t="str">
        <f>HYPERLINK("http://141.218.60.56/~jnz1568/getInfo.php?workbook=06_02.xlsx&amp;sheet=A0&amp;row=433&amp;col=18&amp;number=0.01223&amp;sourceID=32","0.01223")</f>
        <v>0.01223</v>
      </c>
    </row>
    <row r="434" spans="1:18">
      <c r="A434" s="3">
        <v>6</v>
      </c>
      <c r="B434" s="3">
        <v>2</v>
      </c>
      <c r="C434" s="3">
        <v>33</v>
      </c>
      <c r="D434" s="3">
        <v>23</v>
      </c>
      <c r="E434" s="3">
        <f>((1/(INDEX(E0!J$4:J$52,C434,1)-INDEX(E0!J$4:J$52,D434,1))))*100000000</f>
        <v>0</v>
      </c>
      <c r="F434" s="4" t="str">
        <f>HYPERLINK("http://141.218.60.56/~jnz1568/getInfo.php?workbook=06_02.xlsx&amp;sheet=A0&amp;row=434&amp;col=6&amp;number=&amp;sourceID=27","")</f>
        <v/>
      </c>
      <c r="G434" s="4" t="str">
        <f>HYPERLINK("http://141.218.60.56/~jnz1568/getInfo.php?workbook=06_02.xlsx&amp;sheet=A0&amp;row=434&amp;col=7&amp;number=&amp;sourceID=34","")</f>
        <v/>
      </c>
      <c r="H434" s="4" t="str">
        <f>HYPERLINK("http://141.218.60.56/~jnz1568/getInfo.php?workbook=06_02.xlsx&amp;sheet=A0&amp;row=434&amp;col=8&amp;number=&amp;sourceID=34","")</f>
        <v/>
      </c>
      <c r="I434" s="4" t="str">
        <f>HYPERLINK("http://141.218.60.56/~jnz1568/getInfo.php?workbook=06_02.xlsx&amp;sheet=A0&amp;row=434&amp;col=9&amp;number=&amp;sourceID=34","")</f>
        <v/>
      </c>
      <c r="J434" s="4" t="str">
        <f>HYPERLINK("http://141.218.60.56/~jnz1568/getInfo.php?workbook=06_02.xlsx&amp;sheet=A0&amp;row=434&amp;col=10&amp;number=&amp;sourceID=34","")</f>
        <v/>
      </c>
      <c r="K434" s="4" t="str">
        <f>HYPERLINK("http://141.218.60.56/~jnz1568/getInfo.php?workbook=06_02.xlsx&amp;sheet=A0&amp;row=434&amp;col=11&amp;number=&amp;sourceID=30","")</f>
        <v/>
      </c>
      <c r="L434" s="4" t="str">
        <f>HYPERLINK("http://141.218.60.56/~jnz1568/getInfo.php?workbook=06_02.xlsx&amp;sheet=A0&amp;row=434&amp;col=12&amp;number=&amp;sourceID=30","")</f>
        <v/>
      </c>
      <c r="M434" s="4" t="str">
        <f>HYPERLINK("http://141.218.60.56/~jnz1568/getInfo.php?workbook=06_02.xlsx&amp;sheet=A0&amp;row=434&amp;col=13&amp;number=5.732e-09&amp;sourceID=30","5.732e-09")</f>
        <v>5.732e-09</v>
      </c>
      <c r="N434" s="4" t="str">
        <f>HYPERLINK("http://141.218.60.56/~jnz1568/getInfo.php?workbook=06_02.xlsx&amp;sheet=A0&amp;row=434&amp;col=14&amp;number=&amp;sourceID=30","")</f>
        <v/>
      </c>
      <c r="O434" s="4" t="str">
        <f>HYPERLINK("http://141.218.60.56/~jnz1568/getInfo.php?workbook=06_02.xlsx&amp;sheet=A0&amp;row=434&amp;col=15&amp;number=&amp;sourceID=32","")</f>
        <v/>
      </c>
      <c r="P434" s="4" t="str">
        <f>HYPERLINK("http://141.218.60.56/~jnz1568/getInfo.php?workbook=06_02.xlsx&amp;sheet=A0&amp;row=434&amp;col=16&amp;number=&amp;sourceID=32","")</f>
        <v/>
      </c>
      <c r="Q434" s="4" t="str">
        <f>HYPERLINK("http://141.218.60.56/~jnz1568/getInfo.php?workbook=06_02.xlsx&amp;sheet=A0&amp;row=434&amp;col=17&amp;number=7.646e-09&amp;sourceID=32","7.646e-09")</f>
        <v>7.646e-09</v>
      </c>
      <c r="R434" s="4" t="str">
        <f>HYPERLINK("http://141.218.60.56/~jnz1568/getInfo.php?workbook=06_02.xlsx&amp;sheet=A0&amp;row=434&amp;col=18&amp;number=&amp;sourceID=32","")</f>
        <v/>
      </c>
    </row>
    <row r="435" spans="1:18">
      <c r="A435" s="3">
        <v>6</v>
      </c>
      <c r="B435" s="3">
        <v>2</v>
      </c>
      <c r="C435" s="3">
        <v>33</v>
      </c>
      <c r="D435" s="3">
        <v>24</v>
      </c>
      <c r="E435" s="3">
        <f>((1/(INDEX(E0!J$4:J$52,C435,1)-INDEX(E0!J$4:J$52,D435,1))))*100000000</f>
        <v>0</v>
      </c>
      <c r="F435" s="4" t="str">
        <f>HYPERLINK("http://141.218.60.56/~jnz1568/getInfo.php?workbook=06_02.xlsx&amp;sheet=A0&amp;row=435&amp;col=6&amp;number=&amp;sourceID=27","")</f>
        <v/>
      </c>
      <c r="G435" s="4" t="str">
        <f>HYPERLINK("http://141.218.60.56/~jnz1568/getInfo.php?workbook=06_02.xlsx&amp;sheet=A0&amp;row=435&amp;col=7&amp;number=&amp;sourceID=34","")</f>
        <v/>
      </c>
      <c r="H435" s="4" t="str">
        <f>HYPERLINK("http://141.218.60.56/~jnz1568/getInfo.php?workbook=06_02.xlsx&amp;sheet=A0&amp;row=435&amp;col=8&amp;number=&amp;sourceID=34","")</f>
        <v/>
      </c>
      <c r="I435" s="4" t="str">
        <f>HYPERLINK("http://141.218.60.56/~jnz1568/getInfo.php?workbook=06_02.xlsx&amp;sheet=A0&amp;row=435&amp;col=9&amp;number=&amp;sourceID=34","")</f>
        <v/>
      </c>
      <c r="J435" s="4" t="str">
        <f>HYPERLINK("http://141.218.60.56/~jnz1568/getInfo.php?workbook=06_02.xlsx&amp;sheet=A0&amp;row=435&amp;col=10&amp;number=&amp;sourceID=34","")</f>
        <v/>
      </c>
      <c r="K435" s="4" t="str">
        <f>HYPERLINK("http://141.218.60.56/~jnz1568/getInfo.php?workbook=06_02.xlsx&amp;sheet=A0&amp;row=435&amp;col=11&amp;number=&amp;sourceID=30","")</f>
        <v/>
      </c>
      <c r="L435" s="4" t="str">
        <f>HYPERLINK("http://141.218.60.56/~jnz1568/getInfo.php?workbook=06_02.xlsx&amp;sheet=A0&amp;row=435&amp;col=12&amp;number=10.43&amp;sourceID=30","10.43")</f>
        <v>10.43</v>
      </c>
      <c r="M435" s="4" t="str">
        <f>HYPERLINK("http://141.218.60.56/~jnz1568/getInfo.php?workbook=06_02.xlsx&amp;sheet=A0&amp;row=435&amp;col=13&amp;number=&amp;sourceID=30","")</f>
        <v/>
      </c>
      <c r="N435" s="4" t="str">
        <f>HYPERLINK("http://141.218.60.56/~jnz1568/getInfo.php?workbook=06_02.xlsx&amp;sheet=A0&amp;row=435&amp;col=14&amp;number=&amp;sourceID=30","")</f>
        <v/>
      </c>
      <c r="O435" s="4" t="str">
        <f>HYPERLINK("http://141.218.60.56/~jnz1568/getInfo.php?workbook=06_02.xlsx&amp;sheet=A0&amp;row=435&amp;col=15&amp;number=&amp;sourceID=32","")</f>
        <v/>
      </c>
      <c r="P435" s="4" t="str">
        <f>HYPERLINK("http://141.218.60.56/~jnz1568/getInfo.php?workbook=06_02.xlsx&amp;sheet=A0&amp;row=435&amp;col=16&amp;number=13.67&amp;sourceID=32","13.67")</f>
        <v>13.67</v>
      </c>
      <c r="Q435" s="4" t="str">
        <f>HYPERLINK("http://141.218.60.56/~jnz1568/getInfo.php?workbook=06_02.xlsx&amp;sheet=A0&amp;row=435&amp;col=17&amp;number=&amp;sourceID=32","")</f>
        <v/>
      </c>
      <c r="R435" s="4" t="str">
        <f>HYPERLINK("http://141.218.60.56/~jnz1568/getInfo.php?workbook=06_02.xlsx&amp;sheet=A0&amp;row=435&amp;col=18&amp;number=&amp;sourceID=32","")</f>
        <v/>
      </c>
    </row>
    <row r="436" spans="1:18">
      <c r="A436" s="3">
        <v>6</v>
      </c>
      <c r="B436" s="3">
        <v>2</v>
      </c>
      <c r="C436" s="3">
        <v>33</v>
      </c>
      <c r="D436" s="3">
        <v>27</v>
      </c>
      <c r="E436" s="3">
        <f>((1/(INDEX(E0!J$4:J$52,C436,1)-INDEX(E0!J$4:J$52,D436,1))))*100000000</f>
        <v>0</v>
      </c>
      <c r="F436" s="4" t="str">
        <f>HYPERLINK("http://141.218.60.56/~jnz1568/getInfo.php?workbook=06_02.xlsx&amp;sheet=A0&amp;row=436&amp;col=6&amp;number=&amp;sourceID=27","")</f>
        <v/>
      </c>
      <c r="G436" s="4" t="str">
        <f>HYPERLINK("http://141.218.60.56/~jnz1568/getInfo.php?workbook=06_02.xlsx&amp;sheet=A0&amp;row=436&amp;col=7&amp;number=&amp;sourceID=34","")</f>
        <v/>
      </c>
      <c r="H436" s="4" t="str">
        <f>HYPERLINK("http://141.218.60.56/~jnz1568/getInfo.php?workbook=06_02.xlsx&amp;sheet=A0&amp;row=436&amp;col=8&amp;number=&amp;sourceID=34","")</f>
        <v/>
      </c>
      <c r="I436" s="4" t="str">
        <f>HYPERLINK("http://141.218.60.56/~jnz1568/getInfo.php?workbook=06_02.xlsx&amp;sheet=A0&amp;row=436&amp;col=9&amp;number=&amp;sourceID=34","")</f>
        <v/>
      </c>
      <c r="J436" s="4" t="str">
        <f>HYPERLINK("http://141.218.60.56/~jnz1568/getInfo.php?workbook=06_02.xlsx&amp;sheet=A0&amp;row=436&amp;col=10&amp;number=&amp;sourceID=34","")</f>
        <v/>
      </c>
      <c r="K436" s="4" t="str">
        <f>HYPERLINK("http://141.218.60.56/~jnz1568/getInfo.php?workbook=06_02.xlsx&amp;sheet=A0&amp;row=436&amp;col=11&amp;number=&amp;sourceID=30","")</f>
        <v/>
      </c>
      <c r="L436" s="4" t="str">
        <f>HYPERLINK("http://141.218.60.56/~jnz1568/getInfo.php?workbook=06_02.xlsx&amp;sheet=A0&amp;row=436&amp;col=12&amp;number=&amp;sourceID=30","")</f>
        <v/>
      </c>
      <c r="M436" s="4" t="str">
        <f>HYPERLINK("http://141.218.60.56/~jnz1568/getInfo.php?workbook=06_02.xlsx&amp;sheet=A0&amp;row=436&amp;col=13&amp;number=&amp;sourceID=30","")</f>
        <v/>
      </c>
      <c r="N436" s="4" t="str">
        <f>HYPERLINK("http://141.218.60.56/~jnz1568/getInfo.php?workbook=06_02.xlsx&amp;sheet=A0&amp;row=436&amp;col=14&amp;number=3.983e-12&amp;sourceID=30","3.983e-12")</f>
        <v>3.983e-12</v>
      </c>
      <c r="O436" s="4" t="str">
        <f>HYPERLINK("http://141.218.60.56/~jnz1568/getInfo.php?workbook=06_02.xlsx&amp;sheet=A0&amp;row=436&amp;col=15&amp;number=&amp;sourceID=32","")</f>
        <v/>
      </c>
      <c r="P436" s="4" t="str">
        <f>HYPERLINK("http://141.218.60.56/~jnz1568/getInfo.php?workbook=06_02.xlsx&amp;sheet=A0&amp;row=436&amp;col=16&amp;number=&amp;sourceID=32","")</f>
        <v/>
      </c>
      <c r="Q436" s="4" t="str">
        <f>HYPERLINK("http://141.218.60.56/~jnz1568/getInfo.php?workbook=06_02.xlsx&amp;sheet=A0&amp;row=436&amp;col=17&amp;number=&amp;sourceID=32","")</f>
        <v/>
      </c>
      <c r="R436" s="4" t="str">
        <f>HYPERLINK("http://141.218.60.56/~jnz1568/getInfo.php?workbook=06_02.xlsx&amp;sheet=A0&amp;row=436&amp;col=18&amp;number=4.104e-12&amp;sourceID=32","4.104e-12")</f>
        <v>4.104e-12</v>
      </c>
    </row>
    <row r="437" spans="1:18">
      <c r="A437" s="3">
        <v>6</v>
      </c>
      <c r="B437" s="3">
        <v>2</v>
      </c>
      <c r="C437" s="3">
        <v>33</v>
      </c>
      <c r="D437" s="3">
        <v>30</v>
      </c>
      <c r="E437" s="3">
        <f>((1/(INDEX(E0!J$4:J$52,C437,1)-INDEX(E0!J$4:J$52,D437,1))))*100000000</f>
        <v>0</v>
      </c>
      <c r="F437" s="4" t="str">
        <f>HYPERLINK("http://141.218.60.56/~jnz1568/getInfo.php?workbook=06_02.xlsx&amp;sheet=A0&amp;row=437&amp;col=6&amp;number=&amp;sourceID=27","")</f>
        <v/>
      </c>
      <c r="G437" s="4" t="str">
        <f>HYPERLINK("http://141.218.60.56/~jnz1568/getInfo.php?workbook=06_02.xlsx&amp;sheet=A0&amp;row=437&amp;col=7&amp;number=&amp;sourceID=34","")</f>
        <v/>
      </c>
      <c r="H437" s="4" t="str">
        <f>HYPERLINK("http://141.218.60.56/~jnz1568/getInfo.php?workbook=06_02.xlsx&amp;sheet=A0&amp;row=437&amp;col=8&amp;number=&amp;sourceID=34","")</f>
        <v/>
      </c>
      <c r="I437" s="4" t="str">
        <f>HYPERLINK("http://141.218.60.56/~jnz1568/getInfo.php?workbook=06_02.xlsx&amp;sheet=A0&amp;row=437&amp;col=9&amp;number=&amp;sourceID=34","")</f>
        <v/>
      </c>
      <c r="J437" s="4" t="str">
        <f>HYPERLINK("http://141.218.60.56/~jnz1568/getInfo.php?workbook=06_02.xlsx&amp;sheet=A0&amp;row=437&amp;col=10&amp;number=&amp;sourceID=34","")</f>
        <v/>
      </c>
      <c r="K437" s="4" t="str">
        <f>HYPERLINK("http://141.218.60.56/~jnz1568/getInfo.php?workbook=06_02.xlsx&amp;sheet=A0&amp;row=437&amp;col=11&amp;number=&amp;sourceID=30","")</f>
        <v/>
      </c>
      <c r="L437" s="4" t="str">
        <f>HYPERLINK("http://141.218.60.56/~jnz1568/getInfo.php?workbook=06_02.xlsx&amp;sheet=A0&amp;row=437&amp;col=12&amp;number=5644&amp;sourceID=30","5644")</f>
        <v>5644</v>
      </c>
      <c r="M437" s="4" t="str">
        <f>HYPERLINK("http://141.218.60.56/~jnz1568/getInfo.php?workbook=06_02.xlsx&amp;sheet=A0&amp;row=437&amp;col=13&amp;number=&amp;sourceID=30","")</f>
        <v/>
      </c>
      <c r="N437" s="4" t="str">
        <f>HYPERLINK("http://141.218.60.56/~jnz1568/getInfo.php?workbook=06_02.xlsx&amp;sheet=A0&amp;row=437&amp;col=14&amp;number=&amp;sourceID=30","")</f>
        <v/>
      </c>
      <c r="O437" s="4" t="str">
        <f>HYPERLINK("http://141.218.60.56/~jnz1568/getInfo.php?workbook=06_02.xlsx&amp;sheet=A0&amp;row=437&amp;col=15&amp;number=&amp;sourceID=32","")</f>
        <v/>
      </c>
      <c r="P437" s="4" t="str">
        <f>HYPERLINK("http://141.218.60.56/~jnz1568/getInfo.php?workbook=06_02.xlsx&amp;sheet=A0&amp;row=437&amp;col=16&amp;number=5394&amp;sourceID=32","5394")</f>
        <v>5394</v>
      </c>
      <c r="Q437" s="4" t="str">
        <f>HYPERLINK("http://141.218.60.56/~jnz1568/getInfo.php?workbook=06_02.xlsx&amp;sheet=A0&amp;row=437&amp;col=17&amp;number=&amp;sourceID=32","")</f>
        <v/>
      </c>
      <c r="R437" s="4" t="str">
        <f>HYPERLINK("http://141.218.60.56/~jnz1568/getInfo.php?workbook=06_02.xlsx&amp;sheet=A0&amp;row=437&amp;col=18&amp;number=&amp;sourceID=32","")</f>
        <v/>
      </c>
    </row>
    <row r="438" spans="1:18">
      <c r="A438" s="3">
        <v>6</v>
      </c>
      <c r="B438" s="3">
        <v>2</v>
      </c>
      <c r="C438" s="3">
        <v>33</v>
      </c>
      <c r="D438" s="3">
        <v>31</v>
      </c>
      <c r="E438" s="3">
        <f>((1/(INDEX(E0!J$4:J$52,C438,1)-INDEX(E0!J$4:J$52,D438,1))))*100000000</f>
        <v>0</v>
      </c>
      <c r="F438" s="4" t="str">
        <f>HYPERLINK("http://141.218.60.56/~jnz1568/getInfo.php?workbook=06_02.xlsx&amp;sheet=A0&amp;row=438&amp;col=6&amp;number=&amp;sourceID=27","")</f>
        <v/>
      </c>
      <c r="G438" s="4" t="str">
        <f>HYPERLINK("http://141.218.60.56/~jnz1568/getInfo.php?workbook=06_02.xlsx&amp;sheet=A0&amp;row=438&amp;col=7&amp;number=&amp;sourceID=34","")</f>
        <v/>
      </c>
      <c r="H438" s="4" t="str">
        <f>HYPERLINK("http://141.218.60.56/~jnz1568/getInfo.php?workbook=06_02.xlsx&amp;sheet=A0&amp;row=438&amp;col=8&amp;number=&amp;sourceID=34","")</f>
        <v/>
      </c>
      <c r="I438" s="4" t="str">
        <f>HYPERLINK("http://141.218.60.56/~jnz1568/getInfo.php?workbook=06_02.xlsx&amp;sheet=A0&amp;row=438&amp;col=9&amp;number=&amp;sourceID=34","")</f>
        <v/>
      </c>
      <c r="J438" s="4" t="str">
        <f>HYPERLINK("http://141.218.60.56/~jnz1568/getInfo.php?workbook=06_02.xlsx&amp;sheet=A0&amp;row=438&amp;col=10&amp;number=&amp;sourceID=34","")</f>
        <v/>
      </c>
      <c r="K438" s="4" t="str">
        <f>HYPERLINK("http://141.218.60.56/~jnz1568/getInfo.php?workbook=06_02.xlsx&amp;sheet=A0&amp;row=438&amp;col=11&amp;number=621600000&amp;sourceID=30","621600000")</f>
        <v>621600000</v>
      </c>
      <c r="L438" s="4" t="str">
        <f>HYPERLINK("http://141.218.60.56/~jnz1568/getInfo.php?workbook=06_02.xlsx&amp;sheet=A0&amp;row=438&amp;col=12&amp;number=&amp;sourceID=30","")</f>
        <v/>
      </c>
      <c r="M438" s="4" t="str">
        <f>HYPERLINK("http://141.218.60.56/~jnz1568/getInfo.php?workbook=06_02.xlsx&amp;sheet=A0&amp;row=438&amp;col=13&amp;number=&amp;sourceID=30","")</f>
        <v/>
      </c>
      <c r="N438" s="4" t="str">
        <f>HYPERLINK("http://141.218.60.56/~jnz1568/getInfo.php?workbook=06_02.xlsx&amp;sheet=A0&amp;row=438&amp;col=14&amp;number=&amp;sourceID=30","")</f>
        <v/>
      </c>
      <c r="O438" s="4" t="str">
        <f>HYPERLINK("http://141.218.60.56/~jnz1568/getInfo.php?workbook=06_02.xlsx&amp;sheet=A0&amp;row=438&amp;col=15&amp;number=536600000&amp;sourceID=32","536600000")</f>
        <v>536600000</v>
      </c>
      <c r="P438" s="4" t="str">
        <f>HYPERLINK("http://141.218.60.56/~jnz1568/getInfo.php?workbook=06_02.xlsx&amp;sheet=A0&amp;row=438&amp;col=16&amp;number=&amp;sourceID=32","")</f>
        <v/>
      </c>
      <c r="Q438" s="4" t="str">
        <f>HYPERLINK("http://141.218.60.56/~jnz1568/getInfo.php?workbook=06_02.xlsx&amp;sheet=A0&amp;row=438&amp;col=17&amp;number=&amp;sourceID=32","")</f>
        <v/>
      </c>
      <c r="R438" s="4" t="str">
        <f>HYPERLINK("http://141.218.60.56/~jnz1568/getInfo.php?workbook=06_02.xlsx&amp;sheet=A0&amp;row=438&amp;col=18&amp;number=&amp;sourceID=32","")</f>
        <v/>
      </c>
    </row>
    <row r="439" spans="1:18">
      <c r="A439" s="3">
        <v>6</v>
      </c>
      <c r="B439" s="3">
        <v>2</v>
      </c>
      <c r="C439" s="3">
        <v>33</v>
      </c>
      <c r="D439" s="3">
        <v>32</v>
      </c>
      <c r="E439" s="3">
        <f>((1/(INDEX(E0!J$4:J$52,C439,1)-INDEX(E0!J$4:J$52,D439,1))))*100000000</f>
        <v>0</v>
      </c>
      <c r="F439" s="4" t="str">
        <f>HYPERLINK("http://141.218.60.56/~jnz1568/getInfo.php?workbook=06_02.xlsx&amp;sheet=A0&amp;row=439&amp;col=6&amp;number=&amp;sourceID=27","")</f>
        <v/>
      </c>
      <c r="G439" s="4" t="str">
        <f>HYPERLINK("http://141.218.60.56/~jnz1568/getInfo.php?workbook=06_02.xlsx&amp;sheet=A0&amp;row=439&amp;col=7&amp;number=&amp;sourceID=34","")</f>
        <v/>
      </c>
      <c r="H439" s="4" t="str">
        <f>HYPERLINK("http://141.218.60.56/~jnz1568/getInfo.php?workbook=06_02.xlsx&amp;sheet=A0&amp;row=439&amp;col=8&amp;number=&amp;sourceID=34","")</f>
        <v/>
      </c>
      <c r="I439" s="4" t="str">
        <f>HYPERLINK("http://141.218.60.56/~jnz1568/getInfo.php?workbook=06_02.xlsx&amp;sheet=A0&amp;row=439&amp;col=9&amp;number=&amp;sourceID=34","")</f>
        <v/>
      </c>
      <c r="J439" s="4" t="str">
        <f>HYPERLINK("http://141.218.60.56/~jnz1568/getInfo.php?workbook=06_02.xlsx&amp;sheet=A0&amp;row=439&amp;col=10&amp;number=&amp;sourceID=34","")</f>
        <v/>
      </c>
      <c r="K439" s="4" t="str">
        <f>HYPERLINK("http://141.218.60.56/~jnz1568/getInfo.php?workbook=06_02.xlsx&amp;sheet=A0&amp;row=439&amp;col=11&amp;number=&amp;sourceID=30","")</f>
        <v/>
      </c>
      <c r="L439" s="4" t="str">
        <f>HYPERLINK("http://141.218.60.56/~jnz1568/getInfo.php?workbook=06_02.xlsx&amp;sheet=A0&amp;row=439&amp;col=12&amp;number=&amp;sourceID=30","")</f>
        <v/>
      </c>
      <c r="M439" s="4" t="str">
        <f>HYPERLINK("http://141.218.60.56/~jnz1568/getInfo.php?workbook=06_02.xlsx&amp;sheet=A0&amp;row=439&amp;col=13&amp;number=7.476e-07&amp;sourceID=30","7.476e-07")</f>
        <v>7.476e-07</v>
      </c>
      <c r="N439" s="4" t="str">
        <f>HYPERLINK("http://141.218.60.56/~jnz1568/getInfo.php?workbook=06_02.xlsx&amp;sheet=A0&amp;row=439&amp;col=14&amp;number=&amp;sourceID=30","")</f>
        <v/>
      </c>
      <c r="O439" s="4" t="str">
        <f>HYPERLINK("http://141.218.60.56/~jnz1568/getInfo.php?workbook=06_02.xlsx&amp;sheet=A0&amp;row=439&amp;col=15&amp;number=&amp;sourceID=32","")</f>
        <v/>
      </c>
      <c r="P439" s="4" t="str">
        <f>HYPERLINK("http://141.218.60.56/~jnz1568/getInfo.php?workbook=06_02.xlsx&amp;sheet=A0&amp;row=439&amp;col=16&amp;number=&amp;sourceID=32","")</f>
        <v/>
      </c>
      <c r="Q439" s="4" t="str">
        <f>HYPERLINK("http://141.218.60.56/~jnz1568/getInfo.php?workbook=06_02.xlsx&amp;sheet=A0&amp;row=439&amp;col=17&amp;number=3.99e-07&amp;sourceID=32","3.99e-07")</f>
        <v>3.99e-07</v>
      </c>
      <c r="R439" s="4" t="str">
        <f>HYPERLINK("http://141.218.60.56/~jnz1568/getInfo.php?workbook=06_02.xlsx&amp;sheet=A0&amp;row=439&amp;col=18&amp;number=&amp;sourceID=32","")</f>
        <v/>
      </c>
    </row>
    <row r="440" spans="1:18">
      <c r="A440" s="3">
        <v>6</v>
      </c>
      <c r="B440" s="3">
        <v>2</v>
      </c>
      <c r="C440" s="3">
        <v>34</v>
      </c>
      <c r="D440" s="3">
        <v>2</v>
      </c>
      <c r="E440" s="3">
        <f>((1/(INDEX(E0!J$4:J$52,C440,1)-INDEX(E0!J$4:J$52,D440,1))))*100000000</f>
        <v>0</v>
      </c>
      <c r="F440" s="4" t="str">
        <f>HYPERLINK("http://141.218.60.56/~jnz1568/getInfo.php?workbook=06_02.xlsx&amp;sheet=A0&amp;row=440&amp;col=6&amp;number=&amp;sourceID=27","")</f>
        <v/>
      </c>
      <c r="G440" s="4" t="str">
        <f>HYPERLINK("http://141.218.60.56/~jnz1568/getInfo.php?workbook=06_02.xlsx&amp;sheet=A0&amp;row=440&amp;col=7&amp;number=&amp;sourceID=34","")</f>
        <v/>
      </c>
      <c r="H440" s="4" t="str">
        <f>HYPERLINK("http://141.218.60.56/~jnz1568/getInfo.php?workbook=06_02.xlsx&amp;sheet=A0&amp;row=440&amp;col=8&amp;number=&amp;sourceID=34","")</f>
        <v/>
      </c>
      <c r="I440" s="4" t="str">
        <f>HYPERLINK("http://141.218.60.56/~jnz1568/getInfo.php?workbook=06_02.xlsx&amp;sheet=A0&amp;row=440&amp;col=9&amp;number=&amp;sourceID=34","")</f>
        <v/>
      </c>
      <c r="J440" s="4" t="str">
        <f>HYPERLINK("http://141.218.60.56/~jnz1568/getInfo.php?workbook=06_02.xlsx&amp;sheet=A0&amp;row=440&amp;col=10&amp;number=&amp;sourceID=34","")</f>
        <v/>
      </c>
      <c r="K440" s="4" t="str">
        <f>HYPERLINK("http://141.218.60.56/~jnz1568/getInfo.php?workbook=06_02.xlsx&amp;sheet=A0&amp;row=440&amp;col=11&amp;number=2556000000&amp;sourceID=30","2556000000")</f>
        <v>2556000000</v>
      </c>
      <c r="L440" s="4" t="str">
        <f>HYPERLINK("http://141.218.60.56/~jnz1568/getInfo.php?workbook=06_02.xlsx&amp;sheet=A0&amp;row=440&amp;col=12&amp;number=&amp;sourceID=30","")</f>
        <v/>
      </c>
      <c r="M440" s="4" t="str">
        <f>HYPERLINK("http://141.218.60.56/~jnz1568/getInfo.php?workbook=06_02.xlsx&amp;sheet=A0&amp;row=440&amp;col=13&amp;number=&amp;sourceID=30","")</f>
        <v/>
      </c>
      <c r="N440" s="4" t="str">
        <f>HYPERLINK("http://141.218.60.56/~jnz1568/getInfo.php?workbook=06_02.xlsx&amp;sheet=A0&amp;row=440&amp;col=14&amp;number=&amp;sourceID=30","")</f>
        <v/>
      </c>
      <c r="O440" s="4" t="str">
        <f>HYPERLINK("http://141.218.60.56/~jnz1568/getInfo.php?workbook=06_02.xlsx&amp;sheet=A0&amp;row=440&amp;col=15&amp;number=3222000000&amp;sourceID=32","3222000000")</f>
        <v>3222000000</v>
      </c>
      <c r="P440" s="4" t="str">
        <f>HYPERLINK("http://141.218.60.56/~jnz1568/getInfo.php?workbook=06_02.xlsx&amp;sheet=A0&amp;row=440&amp;col=16&amp;number=&amp;sourceID=32","")</f>
        <v/>
      </c>
      <c r="Q440" s="4" t="str">
        <f>HYPERLINK("http://141.218.60.56/~jnz1568/getInfo.php?workbook=06_02.xlsx&amp;sheet=A0&amp;row=440&amp;col=17&amp;number=&amp;sourceID=32","")</f>
        <v/>
      </c>
      <c r="R440" s="4" t="str">
        <f>HYPERLINK("http://141.218.60.56/~jnz1568/getInfo.php?workbook=06_02.xlsx&amp;sheet=A0&amp;row=440&amp;col=18&amp;number=&amp;sourceID=32","")</f>
        <v/>
      </c>
    </row>
    <row r="441" spans="1:18">
      <c r="A441" s="3">
        <v>6</v>
      </c>
      <c r="B441" s="3">
        <v>2</v>
      </c>
      <c r="C441" s="3">
        <v>34</v>
      </c>
      <c r="D441" s="3">
        <v>4</v>
      </c>
      <c r="E441" s="3">
        <f>((1/(INDEX(E0!J$4:J$52,C441,1)-INDEX(E0!J$4:J$52,D441,1))))*100000000</f>
        <v>0</v>
      </c>
      <c r="F441" s="4" t="str">
        <f>HYPERLINK("http://141.218.60.56/~jnz1568/getInfo.php?workbook=06_02.xlsx&amp;sheet=A0&amp;row=441&amp;col=6&amp;number=&amp;sourceID=27","")</f>
        <v/>
      </c>
      <c r="G441" s="4" t="str">
        <f>HYPERLINK("http://141.218.60.56/~jnz1568/getInfo.php?workbook=06_02.xlsx&amp;sheet=A0&amp;row=441&amp;col=7&amp;number=&amp;sourceID=34","")</f>
        <v/>
      </c>
      <c r="H441" s="4" t="str">
        <f>HYPERLINK("http://141.218.60.56/~jnz1568/getInfo.php?workbook=06_02.xlsx&amp;sheet=A0&amp;row=441&amp;col=8&amp;number=&amp;sourceID=34","")</f>
        <v/>
      </c>
      <c r="I441" s="4" t="str">
        <f>HYPERLINK("http://141.218.60.56/~jnz1568/getInfo.php?workbook=06_02.xlsx&amp;sheet=A0&amp;row=441&amp;col=9&amp;number=&amp;sourceID=34","")</f>
        <v/>
      </c>
      <c r="J441" s="4" t="str">
        <f>HYPERLINK("http://141.218.60.56/~jnz1568/getInfo.php?workbook=06_02.xlsx&amp;sheet=A0&amp;row=441&amp;col=10&amp;number=&amp;sourceID=34","")</f>
        <v/>
      </c>
      <c r="K441" s="4" t="str">
        <f>HYPERLINK("http://141.218.60.56/~jnz1568/getInfo.php?workbook=06_02.xlsx&amp;sheet=A0&amp;row=441&amp;col=11&amp;number=&amp;sourceID=30","")</f>
        <v/>
      </c>
      <c r="L441" s="4" t="str">
        <f>HYPERLINK("http://141.218.60.56/~jnz1568/getInfo.php?workbook=06_02.xlsx&amp;sheet=A0&amp;row=441&amp;col=12&amp;number=&amp;sourceID=30","")</f>
        <v/>
      </c>
      <c r="M441" s="4" t="str">
        <f>HYPERLINK("http://141.218.60.56/~jnz1568/getInfo.php?workbook=06_02.xlsx&amp;sheet=A0&amp;row=441&amp;col=13&amp;number=0.0001113&amp;sourceID=30","0.0001113")</f>
        <v>0.0001113</v>
      </c>
      <c r="N441" s="4" t="str">
        <f>HYPERLINK("http://141.218.60.56/~jnz1568/getInfo.php?workbook=06_02.xlsx&amp;sheet=A0&amp;row=441&amp;col=14&amp;number=&amp;sourceID=30","")</f>
        <v/>
      </c>
      <c r="O441" s="4" t="str">
        <f>HYPERLINK("http://141.218.60.56/~jnz1568/getInfo.php?workbook=06_02.xlsx&amp;sheet=A0&amp;row=441&amp;col=15&amp;number=&amp;sourceID=32","")</f>
        <v/>
      </c>
      <c r="P441" s="4" t="str">
        <f>HYPERLINK("http://141.218.60.56/~jnz1568/getInfo.php?workbook=06_02.xlsx&amp;sheet=A0&amp;row=441&amp;col=16&amp;number=&amp;sourceID=32","")</f>
        <v/>
      </c>
      <c r="Q441" s="4" t="str">
        <f>HYPERLINK("http://141.218.60.56/~jnz1568/getInfo.php?workbook=06_02.xlsx&amp;sheet=A0&amp;row=441&amp;col=17&amp;number=0.002118&amp;sourceID=32","0.002118")</f>
        <v>0.002118</v>
      </c>
      <c r="R441" s="4" t="str">
        <f>HYPERLINK("http://141.218.60.56/~jnz1568/getInfo.php?workbook=06_02.xlsx&amp;sheet=A0&amp;row=441&amp;col=18&amp;number=&amp;sourceID=32","")</f>
        <v/>
      </c>
    </row>
    <row r="442" spans="1:18">
      <c r="A442" s="3">
        <v>6</v>
      </c>
      <c r="B442" s="3">
        <v>2</v>
      </c>
      <c r="C442" s="3">
        <v>34</v>
      </c>
      <c r="D442" s="3">
        <v>6</v>
      </c>
      <c r="E442" s="3">
        <f>((1/(INDEX(E0!J$4:J$52,C442,1)-INDEX(E0!J$4:J$52,D442,1))))*100000000</f>
        <v>0</v>
      </c>
      <c r="F442" s="4" t="str">
        <f>HYPERLINK("http://141.218.60.56/~jnz1568/getInfo.php?workbook=06_02.xlsx&amp;sheet=A0&amp;row=442&amp;col=6&amp;number=&amp;sourceID=27","")</f>
        <v/>
      </c>
      <c r="G442" s="4" t="str">
        <f>HYPERLINK("http://141.218.60.56/~jnz1568/getInfo.php?workbook=06_02.xlsx&amp;sheet=A0&amp;row=442&amp;col=7&amp;number=&amp;sourceID=34","")</f>
        <v/>
      </c>
      <c r="H442" s="4" t="str">
        <f>HYPERLINK("http://141.218.60.56/~jnz1568/getInfo.php?workbook=06_02.xlsx&amp;sheet=A0&amp;row=442&amp;col=8&amp;number=&amp;sourceID=34","")</f>
        <v/>
      </c>
      <c r="I442" s="4" t="str">
        <f>HYPERLINK("http://141.218.60.56/~jnz1568/getInfo.php?workbook=06_02.xlsx&amp;sheet=A0&amp;row=442&amp;col=9&amp;number=&amp;sourceID=34","")</f>
        <v/>
      </c>
      <c r="J442" s="4" t="str">
        <f>HYPERLINK("http://141.218.60.56/~jnz1568/getInfo.php?workbook=06_02.xlsx&amp;sheet=A0&amp;row=442&amp;col=10&amp;number=&amp;sourceID=34","")</f>
        <v/>
      </c>
      <c r="K442" s="4" t="str">
        <f>HYPERLINK("http://141.218.60.56/~jnz1568/getInfo.php?workbook=06_02.xlsx&amp;sheet=A0&amp;row=442&amp;col=11&amp;number=&amp;sourceID=30","")</f>
        <v/>
      </c>
      <c r="L442" s="4" t="str">
        <f>HYPERLINK("http://141.218.60.56/~jnz1568/getInfo.php?workbook=06_02.xlsx&amp;sheet=A0&amp;row=442&amp;col=12&amp;number=11190&amp;sourceID=30","11190")</f>
        <v>11190</v>
      </c>
      <c r="M442" s="4" t="str">
        <f>HYPERLINK("http://141.218.60.56/~jnz1568/getInfo.php?workbook=06_02.xlsx&amp;sheet=A0&amp;row=442&amp;col=13&amp;number=&amp;sourceID=30","")</f>
        <v/>
      </c>
      <c r="N442" s="4" t="str">
        <f>HYPERLINK("http://141.218.60.56/~jnz1568/getInfo.php?workbook=06_02.xlsx&amp;sheet=A0&amp;row=442&amp;col=14&amp;number=&amp;sourceID=30","")</f>
        <v/>
      </c>
      <c r="O442" s="4" t="str">
        <f>HYPERLINK("http://141.218.60.56/~jnz1568/getInfo.php?workbook=06_02.xlsx&amp;sheet=A0&amp;row=442&amp;col=15&amp;number=&amp;sourceID=32","")</f>
        <v/>
      </c>
      <c r="P442" s="4" t="str">
        <f>HYPERLINK("http://141.218.60.56/~jnz1568/getInfo.php?workbook=06_02.xlsx&amp;sheet=A0&amp;row=442&amp;col=16&amp;number=87930&amp;sourceID=32","87930")</f>
        <v>87930</v>
      </c>
      <c r="Q442" s="4" t="str">
        <f>HYPERLINK("http://141.218.60.56/~jnz1568/getInfo.php?workbook=06_02.xlsx&amp;sheet=A0&amp;row=442&amp;col=17&amp;number=&amp;sourceID=32","")</f>
        <v/>
      </c>
      <c r="R442" s="4" t="str">
        <f>HYPERLINK("http://141.218.60.56/~jnz1568/getInfo.php?workbook=06_02.xlsx&amp;sheet=A0&amp;row=442&amp;col=18&amp;number=&amp;sourceID=32","")</f>
        <v/>
      </c>
    </row>
    <row r="443" spans="1:18">
      <c r="A443" s="3">
        <v>6</v>
      </c>
      <c r="B443" s="3">
        <v>2</v>
      </c>
      <c r="C443" s="3">
        <v>34</v>
      </c>
      <c r="D443" s="3">
        <v>7</v>
      </c>
      <c r="E443" s="3">
        <f>((1/(INDEX(E0!J$4:J$52,C443,1)-INDEX(E0!J$4:J$52,D443,1))))*100000000</f>
        <v>0</v>
      </c>
      <c r="F443" s="4" t="str">
        <f>HYPERLINK("http://141.218.60.56/~jnz1568/getInfo.php?workbook=06_02.xlsx&amp;sheet=A0&amp;row=443&amp;col=6&amp;number=&amp;sourceID=27","")</f>
        <v/>
      </c>
      <c r="G443" s="4" t="str">
        <f>HYPERLINK("http://141.218.60.56/~jnz1568/getInfo.php?workbook=06_02.xlsx&amp;sheet=A0&amp;row=443&amp;col=7&amp;number=&amp;sourceID=34","")</f>
        <v/>
      </c>
      <c r="H443" s="4" t="str">
        <f>HYPERLINK("http://141.218.60.56/~jnz1568/getInfo.php?workbook=06_02.xlsx&amp;sheet=A0&amp;row=443&amp;col=8&amp;number=&amp;sourceID=34","")</f>
        <v/>
      </c>
      <c r="I443" s="4" t="str">
        <f>HYPERLINK("http://141.218.60.56/~jnz1568/getInfo.php?workbook=06_02.xlsx&amp;sheet=A0&amp;row=443&amp;col=9&amp;number=&amp;sourceID=34","")</f>
        <v/>
      </c>
      <c r="J443" s="4" t="str">
        <f>HYPERLINK("http://141.218.60.56/~jnz1568/getInfo.php?workbook=06_02.xlsx&amp;sheet=A0&amp;row=443&amp;col=10&amp;number=&amp;sourceID=34","")</f>
        <v/>
      </c>
      <c r="K443" s="4" t="str">
        <f>HYPERLINK("http://141.218.60.56/~jnz1568/getInfo.php?workbook=06_02.xlsx&amp;sheet=A0&amp;row=443&amp;col=11&amp;number=&amp;sourceID=30","")</f>
        <v/>
      </c>
      <c r="L443" s="4" t="str">
        <f>HYPERLINK("http://141.218.60.56/~jnz1568/getInfo.php?workbook=06_02.xlsx&amp;sheet=A0&amp;row=443&amp;col=12&amp;number=&amp;sourceID=30","")</f>
        <v/>
      </c>
      <c r="M443" s="4" t="str">
        <f>HYPERLINK("http://141.218.60.56/~jnz1568/getInfo.php?workbook=06_02.xlsx&amp;sheet=A0&amp;row=443&amp;col=13&amp;number=0.04583&amp;sourceID=30","0.04583")</f>
        <v>0.04583</v>
      </c>
      <c r="N443" s="4" t="str">
        <f>HYPERLINK("http://141.218.60.56/~jnz1568/getInfo.php?workbook=06_02.xlsx&amp;sheet=A0&amp;row=443&amp;col=14&amp;number=&amp;sourceID=30","")</f>
        <v/>
      </c>
      <c r="O443" s="4" t="str">
        <f>HYPERLINK("http://141.218.60.56/~jnz1568/getInfo.php?workbook=06_02.xlsx&amp;sheet=A0&amp;row=443&amp;col=15&amp;number=&amp;sourceID=32","")</f>
        <v/>
      </c>
      <c r="P443" s="4" t="str">
        <f>HYPERLINK("http://141.218.60.56/~jnz1568/getInfo.php?workbook=06_02.xlsx&amp;sheet=A0&amp;row=443&amp;col=16&amp;number=&amp;sourceID=32","")</f>
        <v/>
      </c>
      <c r="Q443" s="4" t="str">
        <f>HYPERLINK("http://141.218.60.56/~jnz1568/getInfo.php?workbook=06_02.xlsx&amp;sheet=A0&amp;row=443&amp;col=17&amp;number=0.06615&amp;sourceID=32","0.06615")</f>
        <v>0.06615</v>
      </c>
      <c r="R443" s="4" t="str">
        <f>HYPERLINK("http://141.218.60.56/~jnz1568/getInfo.php?workbook=06_02.xlsx&amp;sheet=A0&amp;row=443&amp;col=18&amp;number=&amp;sourceID=32","")</f>
        <v/>
      </c>
    </row>
    <row r="444" spans="1:18">
      <c r="A444" s="3">
        <v>6</v>
      </c>
      <c r="B444" s="3">
        <v>2</v>
      </c>
      <c r="C444" s="3">
        <v>34</v>
      </c>
      <c r="D444" s="3">
        <v>8</v>
      </c>
      <c r="E444" s="3">
        <f>((1/(INDEX(E0!J$4:J$52,C444,1)-INDEX(E0!J$4:J$52,D444,1))))*100000000</f>
        <v>0</v>
      </c>
      <c r="F444" s="4" t="str">
        <f>HYPERLINK("http://141.218.60.56/~jnz1568/getInfo.php?workbook=06_02.xlsx&amp;sheet=A0&amp;row=444&amp;col=6&amp;number=&amp;sourceID=27","")</f>
        <v/>
      </c>
      <c r="G444" s="4" t="str">
        <f>HYPERLINK("http://141.218.60.56/~jnz1568/getInfo.php?workbook=06_02.xlsx&amp;sheet=A0&amp;row=444&amp;col=7&amp;number=&amp;sourceID=34","")</f>
        <v/>
      </c>
      <c r="H444" s="4" t="str">
        <f>HYPERLINK("http://141.218.60.56/~jnz1568/getInfo.php?workbook=06_02.xlsx&amp;sheet=A0&amp;row=444&amp;col=8&amp;number=&amp;sourceID=34","")</f>
        <v/>
      </c>
      <c r="I444" s="4" t="str">
        <f>HYPERLINK("http://141.218.60.56/~jnz1568/getInfo.php?workbook=06_02.xlsx&amp;sheet=A0&amp;row=444&amp;col=9&amp;number=&amp;sourceID=34","")</f>
        <v/>
      </c>
      <c r="J444" s="4" t="str">
        <f>HYPERLINK("http://141.218.60.56/~jnz1568/getInfo.php?workbook=06_02.xlsx&amp;sheet=A0&amp;row=444&amp;col=10&amp;number=&amp;sourceID=34","")</f>
        <v/>
      </c>
      <c r="K444" s="4" t="str">
        <f>HYPERLINK("http://141.218.60.56/~jnz1568/getInfo.php?workbook=06_02.xlsx&amp;sheet=A0&amp;row=444&amp;col=11&amp;number=847100000&amp;sourceID=30","847100000")</f>
        <v>847100000</v>
      </c>
      <c r="L444" s="4" t="str">
        <f>HYPERLINK("http://141.218.60.56/~jnz1568/getInfo.php?workbook=06_02.xlsx&amp;sheet=A0&amp;row=444&amp;col=12&amp;number=&amp;sourceID=30","")</f>
        <v/>
      </c>
      <c r="M444" s="4" t="str">
        <f>HYPERLINK("http://141.218.60.56/~jnz1568/getInfo.php?workbook=06_02.xlsx&amp;sheet=A0&amp;row=444&amp;col=13&amp;number=&amp;sourceID=30","")</f>
        <v/>
      </c>
      <c r="N444" s="4" t="str">
        <f>HYPERLINK("http://141.218.60.56/~jnz1568/getInfo.php?workbook=06_02.xlsx&amp;sheet=A0&amp;row=444&amp;col=14&amp;number=&amp;sourceID=30","")</f>
        <v/>
      </c>
      <c r="O444" s="4" t="str">
        <f>HYPERLINK("http://141.218.60.56/~jnz1568/getInfo.php?workbook=06_02.xlsx&amp;sheet=A0&amp;row=444&amp;col=15&amp;number=948200000&amp;sourceID=32","948200000")</f>
        <v>948200000</v>
      </c>
      <c r="P444" s="4" t="str">
        <f>HYPERLINK("http://141.218.60.56/~jnz1568/getInfo.php?workbook=06_02.xlsx&amp;sheet=A0&amp;row=444&amp;col=16&amp;number=&amp;sourceID=32","")</f>
        <v/>
      </c>
      <c r="Q444" s="4" t="str">
        <f>HYPERLINK("http://141.218.60.56/~jnz1568/getInfo.php?workbook=06_02.xlsx&amp;sheet=A0&amp;row=444&amp;col=17&amp;number=&amp;sourceID=32","")</f>
        <v/>
      </c>
      <c r="R444" s="4" t="str">
        <f>HYPERLINK("http://141.218.60.56/~jnz1568/getInfo.php?workbook=06_02.xlsx&amp;sheet=A0&amp;row=444&amp;col=18&amp;number=&amp;sourceID=32","")</f>
        <v/>
      </c>
    </row>
    <row r="445" spans="1:18">
      <c r="A445" s="3">
        <v>6</v>
      </c>
      <c r="B445" s="3">
        <v>2</v>
      </c>
      <c r="C445" s="3">
        <v>34</v>
      </c>
      <c r="D445" s="3">
        <v>10</v>
      </c>
      <c r="E445" s="3">
        <f>((1/(INDEX(E0!J$4:J$52,C445,1)-INDEX(E0!J$4:J$52,D445,1))))*100000000</f>
        <v>0</v>
      </c>
      <c r="F445" s="4" t="str">
        <f>HYPERLINK("http://141.218.60.56/~jnz1568/getInfo.php?workbook=06_02.xlsx&amp;sheet=A0&amp;row=445&amp;col=6&amp;number=&amp;sourceID=27","")</f>
        <v/>
      </c>
      <c r="G445" s="4" t="str">
        <f>HYPERLINK("http://141.218.60.56/~jnz1568/getInfo.php?workbook=06_02.xlsx&amp;sheet=A0&amp;row=445&amp;col=7&amp;number=&amp;sourceID=34","")</f>
        <v/>
      </c>
      <c r="H445" s="4" t="str">
        <f>HYPERLINK("http://141.218.60.56/~jnz1568/getInfo.php?workbook=06_02.xlsx&amp;sheet=A0&amp;row=445&amp;col=8&amp;number=&amp;sourceID=34","")</f>
        <v/>
      </c>
      <c r="I445" s="4" t="str">
        <f>HYPERLINK("http://141.218.60.56/~jnz1568/getInfo.php?workbook=06_02.xlsx&amp;sheet=A0&amp;row=445&amp;col=9&amp;number=&amp;sourceID=34","")</f>
        <v/>
      </c>
      <c r="J445" s="4" t="str">
        <f>HYPERLINK("http://141.218.60.56/~jnz1568/getInfo.php?workbook=06_02.xlsx&amp;sheet=A0&amp;row=445&amp;col=10&amp;number=&amp;sourceID=34","")</f>
        <v/>
      </c>
      <c r="K445" s="4" t="str">
        <f>HYPERLINK("http://141.218.60.56/~jnz1568/getInfo.php?workbook=06_02.xlsx&amp;sheet=A0&amp;row=445&amp;col=11&amp;number=&amp;sourceID=30","")</f>
        <v/>
      </c>
      <c r="L445" s="4" t="str">
        <f>HYPERLINK("http://141.218.60.56/~jnz1568/getInfo.php?workbook=06_02.xlsx&amp;sheet=A0&amp;row=445&amp;col=12&amp;number=&amp;sourceID=30","")</f>
        <v/>
      </c>
      <c r="M445" s="4" t="str">
        <f>HYPERLINK("http://141.218.60.56/~jnz1568/getInfo.php?workbook=06_02.xlsx&amp;sheet=A0&amp;row=445&amp;col=13&amp;number=1.224e-05&amp;sourceID=30","1.224e-05")</f>
        <v>1.224e-05</v>
      </c>
      <c r="N445" s="4" t="str">
        <f>HYPERLINK("http://141.218.60.56/~jnz1568/getInfo.php?workbook=06_02.xlsx&amp;sheet=A0&amp;row=445&amp;col=14&amp;number=&amp;sourceID=30","")</f>
        <v/>
      </c>
      <c r="O445" s="4" t="str">
        <f>HYPERLINK("http://141.218.60.56/~jnz1568/getInfo.php?workbook=06_02.xlsx&amp;sheet=A0&amp;row=445&amp;col=15&amp;number=&amp;sourceID=32","")</f>
        <v/>
      </c>
      <c r="P445" s="4" t="str">
        <f>HYPERLINK("http://141.218.60.56/~jnz1568/getInfo.php?workbook=06_02.xlsx&amp;sheet=A0&amp;row=445&amp;col=16&amp;number=&amp;sourceID=32","")</f>
        <v/>
      </c>
      <c r="Q445" s="4" t="str">
        <f>HYPERLINK("http://141.218.60.56/~jnz1568/getInfo.php?workbook=06_02.xlsx&amp;sheet=A0&amp;row=445&amp;col=17&amp;number=6.029e-05&amp;sourceID=32","6.029e-05")</f>
        <v>6.029e-05</v>
      </c>
      <c r="R445" s="4" t="str">
        <f>HYPERLINK("http://141.218.60.56/~jnz1568/getInfo.php?workbook=06_02.xlsx&amp;sheet=A0&amp;row=445&amp;col=18&amp;number=&amp;sourceID=32","")</f>
        <v/>
      </c>
    </row>
    <row r="446" spans="1:18">
      <c r="A446" s="3">
        <v>6</v>
      </c>
      <c r="B446" s="3">
        <v>2</v>
      </c>
      <c r="C446" s="3">
        <v>34</v>
      </c>
      <c r="D446" s="3">
        <v>12</v>
      </c>
      <c r="E446" s="3">
        <f>((1/(INDEX(E0!J$4:J$52,C446,1)-INDEX(E0!J$4:J$52,D446,1))))*100000000</f>
        <v>0</v>
      </c>
      <c r="F446" s="4" t="str">
        <f>HYPERLINK("http://141.218.60.56/~jnz1568/getInfo.php?workbook=06_02.xlsx&amp;sheet=A0&amp;row=446&amp;col=6&amp;number=&amp;sourceID=27","")</f>
        <v/>
      </c>
      <c r="G446" s="4" t="str">
        <f>HYPERLINK("http://141.218.60.56/~jnz1568/getInfo.php?workbook=06_02.xlsx&amp;sheet=A0&amp;row=446&amp;col=7&amp;number=&amp;sourceID=34","")</f>
        <v/>
      </c>
      <c r="H446" s="4" t="str">
        <f>HYPERLINK("http://141.218.60.56/~jnz1568/getInfo.php?workbook=06_02.xlsx&amp;sheet=A0&amp;row=446&amp;col=8&amp;number=&amp;sourceID=34","")</f>
        <v/>
      </c>
      <c r="I446" s="4" t="str">
        <f>HYPERLINK("http://141.218.60.56/~jnz1568/getInfo.php?workbook=06_02.xlsx&amp;sheet=A0&amp;row=446&amp;col=9&amp;number=&amp;sourceID=34","")</f>
        <v/>
      </c>
      <c r="J446" s="4" t="str">
        <f>HYPERLINK("http://141.218.60.56/~jnz1568/getInfo.php?workbook=06_02.xlsx&amp;sheet=A0&amp;row=446&amp;col=10&amp;number=&amp;sourceID=34","")</f>
        <v/>
      </c>
      <c r="K446" s="4" t="str">
        <f>HYPERLINK("http://141.218.60.56/~jnz1568/getInfo.php?workbook=06_02.xlsx&amp;sheet=A0&amp;row=446&amp;col=11&amp;number=&amp;sourceID=30","")</f>
        <v/>
      </c>
      <c r="L446" s="4" t="str">
        <f>HYPERLINK("http://141.218.60.56/~jnz1568/getInfo.php?workbook=06_02.xlsx&amp;sheet=A0&amp;row=446&amp;col=12&amp;number=18300&amp;sourceID=30","18300")</f>
        <v>18300</v>
      </c>
      <c r="M446" s="4" t="str">
        <f>HYPERLINK("http://141.218.60.56/~jnz1568/getInfo.php?workbook=06_02.xlsx&amp;sheet=A0&amp;row=446&amp;col=13&amp;number=&amp;sourceID=30","")</f>
        <v/>
      </c>
      <c r="N446" s="4" t="str">
        <f>HYPERLINK("http://141.218.60.56/~jnz1568/getInfo.php?workbook=06_02.xlsx&amp;sheet=A0&amp;row=446&amp;col=14&amp;number=&amp;sourceID=30","")</f>
        <v/>
      </c>
      <c r="O446" s="4" t="str">
        <f>HYPERLINK("http://141.218.60.56/~jnz1568/getInfo.php?workbook=06_02.xlsx&amp;sheet=A0&amp;row=446&amp;col=15&amp;number=&amp;sourceID=32","")</f>
        <v/>
      </c>
      <c r="P446" s="4" t="str">
        <f>HYPERLINK("http://141.218.60.56/~jnz1568/getInfo.php?workbook=06_02.xlsx&amp;sheet=A0&amp;row=446&amp;col=16&amp;number=23530&amp;sourceID=32","23530")</f>
        <v>23530</v>
      </c>
      <c r="Q446" s="4" t="str">
        <f>HYPERLINK("http://141.218.60.56/~jnz1568/getInfo.php?workbook=06_02.xlsx&amp;sheet=A0&amp;row=446&amp;col=17&amp;number=&amp;sourceID=32","")</f>
        <v/>
      </c>
      <c r="R446" s="4" t="str">
        <f>HYPERLINK("http://141.218.60.56/~jnz1568/getInfo.php?workbook=06_02.xlsx&amp;sheet=A0&amp;row=446&amp;col=18&amp;number=&amp;sourceID=32","")</f>
        <v/>
      </c>
    </row>
    <row r="447" spans="1:18">
      <c r="A447" s="3">
        <v>6</v>
      </c>
      <c r="B447" s="3">
        <v>2</v>
      </c>
      <c r="C447" s="3">
        <v>34</v>
      </c>
      <c r="D447" s="3">
        <v>13</v>
      </c>
      <c r="E447" s="3">
        <f>((1/(INDEX(E0!J$4:J$52,C447,1)-INDEX(E0!J$4:J$52,D447,1))))*100000000</f>
        <v>0</v>
      </c>
      <c r="F447" s="4" t="str">
        <f>HYPERLINK("http://141.218.60.56/~jnz1568/getInfo.php?workbook=06_02.xlsx&amp;sheet=A0&amp;row=447&amp;col=6&amp;number=&amp;sourceID=27","")</f>
        <v/>
      </c>
      <c r="G447" s="4" t="str">
        <f>HYPERLINK("http://141.218.60.56/~jnz1568/getInfo.php?workbook=06_02.xlsx&amp;sheet=A0&amp;row=447&amp;col=7&amp;number=&amp;sourceID=34","")</f>
        <v/>
      </c>
      <c r="H447" s="4" t="str">
        <f>HYPERLINK("http://141.218.60.56/~jnz1568/getInfo.php?workbook=06_02.xlsx&amp;sheet=A0&amp;row=447&amp;col=8&amp;number=&amp;sourceID=34","")</f>
        <v/>
      </c>
      <c r="I447" s="4" t="str">
        <f>HYPERLINK("http://141.218.60.56/~jnz1568/getInfo.php?workbook=06_02.xlsx&amp;sheet=A0&amp;row=447&amp;col=9&amp;number=&amp;sourceID=34","")</f>
        <v/>
      </c>
      <c r="J447" s="4" t="str">
        <f>HYPERLINK("http://141.218.60.56/~jnz1568/getInfo.php?workbook=06_02.xlsx&amp;sheet=A0&amp;row=447&amp;col=10&amp;number=&amp;sourceID=34","")</f>
        <v/>
      </c>
      <c r="K447" s="4" t="str">
        <f>HYPERLINK("http://141.218.60.56/~jnz1568/getInfo.php?workbook=06_02.xlsx&amp;sheet=A0&amp;row=447&amp;col=11&amp;number=118500000&amp;sourceID=30","118500000")</f>
        <v>118500000</v>
      </c>
      <c r="L447" s="4" t="str">
        <f>HYPERLINK("http://141.218.60.56/~jnz1568/getInfo.php?workbook=06_02.xlsx&amp;sheet=A0&amp;row=447&amp;col=12&amp;number=&amp;sourceID=30","")</f>
        <v/>
      </c>
      <c r="M447" s="4" t="str">
        <f>HYPERLINK("http://141.218.60.56/~jnz1568/getInfo.php?workbook=06_02.xlsx&amp;sheet=A0&amp;row=447&amp;col=13&amp;number=&amp;sourceID=30","")</f>
        <v/>
      </c>
      <c r="N447" s="4" t="str">
        <f>HYPERLINK("http://141.218.60.56/~jnz1568/getInfo.php?workbook=06_02.xlsx&amp;sheet=A0&amp;row=447&amp;col=14&amp;number=&amp;sourceID=30","")</f>
        <v/>
      </c>
      <c r="O447" s="4" t="str">
        <f>HYPERLINK("http://141.218.60.56/~jnz1568/getInfo.php?workbook=06_02.xlsx&amp;sheet=A0&amp;row=447&amp;col=15&amp;number=124900000&amp;sourceID=32","124900000")</f>
        <v>124900000</v>
      </c>
      <c r="P447" s="4" t="str">
        <f>HYPERLINK("http://141.218.60.56/~jnz1568/getInfo.php?workbook=06_02.xlsx&amp;sheet=A0&amp;row=447&amp;col=16&amp;number=&amp;sourceID=32","")</f>
        <v/>
      </c>
      <c r="Q447" s="4" t="str">
        <f>HYPERLINK("http://141.218.60.56/~jnz1568/getInfo.php?workbook=06_02.xlsx&amp;sheet=A0&amp;row=447&amp;col=17&amp;number=&amp;sourceID=32","")</f>
        <v/>
      </c>
      <c r="R447" s="4" t="str">
        <f>HYPERLINK("http://141.218.60.56/~jnz1568/getInfo.php?workbook=06_02.xlsx&amp;sheet=A0&amp;row=447&amp;col=18&amp;number=&amp;sourceID=32","")</f>
        <v/>
      </c>
    </row>
    <row r="448" spans="1:18">
      <c r="A448" s="3">
        <v>6</v>
      </c>
      <c r="B448" s="3">
        <v>2</v>
      </c>
      <c r="C448" s="3">
        <v>34</v>
      </c>
      <c r="D448" s="3">
        <v>14</v>
      </c>
      <c r="E448" s="3">
        <f>((1/(INDEX(E0!J$4:J$52,C448,1)-INDEX(E0!J$4:J$52,D448,1))))*100000000</f>
        <v>0</v>
      </c>
      <c r="F448" s="4" t="str">
        <f>HYPERLINK("http://141.218.60.56/~jnz1568/getInfo.php?workbook=06_02.xlsx&amp;sheet=A0&amp;row=448&amp;col=6&amp;number=&amp;sourceID=27","")</f>
        <v/>
      </c>
      <c r="G448" s="4" t="str">
        <f>HYPERLINK("http://141.218.60.56/~jnz1568/getInfo.php?workbook=06_02.xlsx&amp;sheet=A0&amp;row=448&amp;col=7&amp;number=&amp;sourceID=34","")</f>
        <v/>
      </c>
      <c r="H448" s="4" t="str">
        <f>HYPERLINK("http://141.218.60.56/~jnz1568/getInfo.php?workbook=06_02.xlsx&amp;sheet=A0&amp;row=448&amp;col=8&amp;number=&amp;sourceID=34","")</f>
        <v/>
      </c>
      <c r="I448" s="4" t="str">
        <f>HYPERLINK("http://141.218.60.56/~jnz1568/getInfo.php?workbook=06_02.xlsx&amp;sheet=A0&amp;row=448&amp;col=9&amp;number=&amp;sourceID=34","")</f>
        <v/>
      </c>
      <c r="J448" s="4" t="str">
        <f>HYPERLINK("http://141.218.60.56/~jnz1568/getInfo.php?workbook=06_02.xlsx&amp;sheet=A0&amp;row=448&amp;col=10&amp;number=&amp;sourceID=34","")</f>
        <v/>
      </c>
      <c r="K448" s="4" t="str">
        <f>HYPERLINK("http://141.218.60.56/~jnz1568/getInfo.php?workbook=06_02.xlsx&amp;sheet=A0&amp;row=448&amp;col=11&amp;number=&amp;sourceID=30","")</f>
        <v/>
      </c>
      <c r="L448" s="4" t="str">
        <f>HYPERLINK("http://141.218.60.56/~jnz1568/getInfo.php?workbook=06_02.xlsx&amp;sheet=A0&amp;row=448&amp;col=12&amp;number=&amp;sourceID=30","")</f>
        <v/>
      </c>
      <c r="M448" s="4" t="str">
        <f>HYPERLINK("http://141.218.60.56/~jnz1568/getInfo.php?workbook=06_02.xlsx&amp;sheet=A0&amp;row=448&amp;col=13&amp;number=&amp;sourceID=30","")</f>
        <v/>
      </c>
      <c r="N448" s="4" t="str">
        <f>HYPERLINK("http://141.218.60.56/~jnz1568/getInfo.php?workbook=06_02.xlsx&amp;sheet=A0&amp;row=448&amp;col=14&amp;number=0.002415&amp;sourceID=30","0.002415")</f>
        <v>0.002415</v>
      </c>
      <c r="O448" s="4" t="str">
        <f>HYPERLINK("http://141.218.60.56/~jnz1568/getInfo.php?workbook=06_02.xlsx&amp;sheet=A0&amp;row=448&amp;col=15&amp;number=&amp;sourceID=32","")</f>
        <v/>
      </c>
      <c r="P448" s="4" t="str">
        <f>HYPERLINK("http://141.218.60.56/~jnz1568/getInfo.php?workbook=06_02.xlsx&amp;sheet=A0&amp;row=448&amp;col=16&amp;number=&amp;sourceID=32","")</f>
        <v/>
      </c>
      <c r="Q448" s="4" t="str">
        <f>HYPERLINK("http://141.218.60.56/~jnz1568/getInfo.php?workbook=06_02.xlsx&amp;sheet=A0&amp;row=448&amp;col=17&amp;number=&amp;sourceID=32","")</f>
        <v/>
      </c>
      <c r="R448" s="4" t="str">
        <f>HYPERLINK("http://141.218.60.56/~jnz1568/getInfo.php?workbook=06_02.xlsx&amp;sheet=A0&amp;row=448&amp;col=18&amp;number=0.002442&amp;sourceID=32","0.002442")</f>
        <v>0.002442</v>
      </c>
    </row>
    <row r="449" spans="1:18">
      <c r="A449" s="3">
        <v>6</v>
      </c>
      <c r="B449" s="3">
        <v>2</v>
      </c>
      <c r="C449" s="3">
        <v>34</v>
      </c>
      <c r="D449" s="3">
        <v>16</v>
      </c>
      <c r="E449" s="3">
        <f>((1/(INDEX(E0!J$4:J$52,C449,1)-INDEX(E0!J$4:J$52,D449,1))))*100000000</f>
        <v>0</v>
      </c>
      <c r="F449" s="4" t="str">
        <f>HYPERLINK("http://141.218.60.56/~jnz1568/getInfo.php?workbook=06_02.xlsx&amp;sheet=A0&amp;row=449&amp;col=6&amp;number=&amp;sourceID=27","")</f>
        <v/>
      </c>
      <c r="G449" s="4" t="str">
        <f>HYPERLINK("http://141.218.60.56/~jnz1568/getInfo.php?workbook=06_02.xlsx&amp;sheet=A0&amp;row=449&amp;col=7&amp;number=&amp;sourceID=34","")</f>
        <v/>
      </c>
      <c r="H449" s="4" t="str">
        <f>HYPERLINK("http://141.218.60.56/~jnz1568/getInfo.php?workbook=06_02.xlsx&amp;sheet=A0&amp;row=449&amp;col=8&amp;number=&amp;sourceID=34","")</f>
        <v/>
      </c>
      <c r="I449" s="4" t="str">
        <f>HYPERLINK("http://141.218.60.56/~jnz1568/getInfo.php?workbook=06_02.xlsx&amp;sheet=A0&amp;row=449&amp;col=9&amp;number=&amp;sourceID=34","")</f>
        <v/>
      </c>
      <c r="J449" s="4" t="str">
        <f>HYPERLINK("http://141.218.60.56/~jnz1568/getInfo.php?workbook=06_02.xlsx&amp;sheet=A0&amp;row=449&amp;col=10&amp;number=&amp;sourceID=34","")</f>
        <v/>
      </c>
      <c r="K449" s="4" t="str">
        <f>HYPERLINK("http://141.218.60.56/~jnz1568/getInfo.php?workbook=06_02.xlsx&amp;sheet=A0&amp;row=449&amp;col=11&amp;number=&amp;sourceID=30","")</f>
        <v/>
      </c>
      <c r="L449" s="4" t="str">
        <f>HYPERLINK("http://141.218.60.56/~jnz1568/getInfo.php?workbook=06_02.xlsx&amp;sheet=A0&amp;row=449&amp;col=12&amp;number=&amp;sourceID=30","")</f>
        <v/>
      </c>
      <c r="M449" s="4" t="str">
        <f>HYPERLINK("http://141.218.60.56/~jnz1568/getInfo.php?workbook=06_02.xlsx&amp;sheet=A0&amp;row=449&amp;col=13&amp;number=&amp;sourceID=30","")</f>
        <v/>
      </c>
      <c r="N449" s="4" t="str">
        <f>HYPERLINK("http://141.218.60.56/~jnz1568/getInfo.php?workbook=06_02.xlsx&amp;sheet=A0&amp;row=449&amp;col=14&amp;number=0.022&amp;sourceID=30","0.022")</f>
        <v>0.022</v>
      </c>
      <c r="O449" s="4" t="str">
        <f>HYPERLINK("http://141.218.60.56/~jnz1568/getInfo.php?workbook=06_02.xlsx&amp;sheet=A0&amp;row=449&amp;col=15&amp;number=&amp;sourceID=32","")</f>
        <v/>
      </c>
      <c r="P449" s="4" t="str">
        <f>HYPERLINK("http://141.218.60.56/~jnz1568/getInfo.php?workbook=06_02.xlsx&amp;sheet=A0&amp;row=449&amp;col=16&amp;number=&amp;sourceID=32","")</f>
        <v/>
      </c>
      <c r="Q449" s="4" t="str">
        <f>HYPERLINK("http://141.218.60.56/~jnz1568/getInfo.php?workbook=06_02.xlsx&amp;sheet=A0&amp;row=449&amp;col=17&amp;number=&amp;sourceID=32","")</f>
        <v/>
      </c>
      <c r="R449" s="4" t="str">
        <f>HYPERLINK("http://141.218.60.56/~jnz1568/getInfo.php?workbook=06_02.xlsx&amp;sheet=A0&amp;row=449&amp;col=18&amp;number=0.02199&amp;sourceID=32","0.02199")</f>
        <v>0.02199</v>
      </c>
    </row>
    <row r="450" spans="1:18">
      <c r="A450" s="3">
        <v>6</v>
      </c>
      <c r="B450" s="3">
        <v>2</v>
      </c>
      <c r="C450" s="3">
        <v>34</v>
      </c>
      <c r="D450" s="3">
        <v>17</v>
      </c>
      <c r="E450" s="3">
        <f>((1/(INDEX(E0!J$4:J$52,C450,1)-INDEX(E0!J$4:J$52,D450,1))))*100000000</f>
        <v>0</v>
      </c>
      <c r="F450" s="4" t="str">
        <f>HYPERLINK("http://141.218.60.56/~jnz1568/getInfo.php?workbook=06_02.xlsx&amp;sheet=A0&amp;row=450&amp;col=6&amp;number=&amp;sourceID=27","")</f>
        <v/>
      </c>
      <c r="G450" s="4" t="str">
        <f>HYPERLINK("http://141.218.60.56/~jnz1568/getInfo.php?workbook=06_02.xlsx&amp;sheet=A0&amp;row=450&amp;col=7&amp;number=&amp;sourceID=34","")</f>
        <v/>
      </c>
      <c r="H450" s="4" t="str">
        <f>HYPERLINK("http://141.218.60.56/~jnz1568/getInfo.php?workbook=06_02.xlsx&amp;sheet=A0&amp;row=450&amp;col=8&amp;number=&amp;sourceID=34","")</f>
        <v/>
      </c>
      <c r="I450" s="4" t="str">
        <f>HYPERLINK("http://141.218.60.56/~jnz1568/getInfo.php?workbook=06_02.xlsx&amp;sheet=A0&amp;row=450&amp;col=9&amp;number=&amp;sourceID=34","")</f>
        <v/>
      </c>
      <c r="J450" s="4" t="str">
        <f>HYPERLINK("http://141.218.60.56/~jnz1568/getInfo.php?workbook=06_02.xlsx&amp;sheet=A0&amp;row=450&amp;col=10&amp;number=&amp;sourceID=34","")</f>
        <v/>
      </c>
      <c r="K450" s="4" t="str">
        <f>HYPERLINK("http://141.218.60.56/~jnz1568/getInfo.php?workbook=06_02.xlsx&amp;sheet=A0&amp;row=450&amp;col=11&amp;number=&amp;sourceID=30","")</f>
        <v/>
      </c>
      <c r="L450" s="4" t="str">
        <f>HYPERLINK("http://141.218.60.56/~jnz1568/getInfo.php?workbook=06_02.xlsx&amp;sheet=A0&amp;row=450&amp;col=12&amp;number=&amp;sourceID=30","")</f>
        <v/>
      </c>
      <c r="M450" s="4" t="str">
        <f>HYPERLINK("http://141.218.60.56/~jnz1568/getInfo.php?workbook=06_02.xlsx&amp;sheet=A0&amp;row=450&amp;col=13&amp;number=0.005492&amp;sourceID=30","0.005492")</f>
        <v>0.005492</v>
      </c>
      <c r="N450" s="4" t="str">
        <f>HYPERLINK("http://141.218.60.56/~jnz1568/getInfo.php?workbook=06_02.xlsx&amp;sheet=A0&amp;row=450&amp;col=14&amp;number=&amp;sourceID=30","")</f>
        <v/>
      </c>
      <c r="O450" s="4" t="str">
        <f>HYPERLINK("http://141.218.60.56/~jnz1568/getInfo.php?workbook=06_02.xlsx&amp;sheet=A0&amp;row=450&amp;col=15&amp;number=&amp;sourceID=32","")</f>
        <v/>
      </c>
      <c r="P450" s="4" t="str">
        <f>HYPERLINK("http://141.218.60.56/~jnz1568/getInfo.php?workbook=06_02.xlsx&amp;sheet=A0&amp;row=450&amp;col=16&amp;number=&amp;sourceID=32","")</f>
        <v/>
      </c>
      <c r="Q450" s="4" t="str">
        <f>HYPERLINK("http://141.218.60.56/~jnz1568/getInfo.php?workbook=06_02.xlsx&amp;sheet=A0&amp;row=450&amp;col=17&amp;number=0.006105&amp;sourceID=32","0.006105")</f>
        <v>0.006105</v>
      </c>
      <c r="R450" s="4" t="str">
        <f>HYPERLINK("http://141.218.60.56/~jnz1568/getInfo.php?workbook=06_02.xlsx&amp;sheet=A0&amp;row=450&amp;col=18&amp;number=&amp;sourceID=32","")</f>
        <v/>
      </c>
    </row>
    <row r="451" spans="1:18">
      <c r="A451" s="3">
        <v>6</v>
      </c>
      <c r="B451" s="3">
        <v>2</v>
      </c>
      <c r="C451" s="3">
        <v>34</v>
      </c>
      <c r="D451" s="3">
        <v>18</v>
      </c>
      <c r="E451" s="3">
        <f>((1/(INDEX(E0!J$4:J$52,C451,1)-INDEX(E0!J$4:J$52,D451,1))))*100000000</f>
        <v>0</v>
      </c>
      <c r="F451" s="4" t="str">
        <f>HYPERLINK("http://141.218.60.56/~jnz1568/getInfo.php?workbook=06_02.xlsx&amp;sheet=A0&amp;row=451&amp;col=6&amp;number=&amp;sourceID=27","")</f>
        <v/>
      </c>
      <c r="G451" s="4" t="str">
        <f>HYPERLINK("http://141.218.60.56/~jnz1568/getInfo.php?workbook=06_02.xlsx&amp;sheet=A0&amp;row=451&amp;col=7&amp;number=&amp;sourceID=34","")</f>
        <v/>
      </c>
      <c r="H451" s="4" t="str">
        <f>HYPERLINK("http://141.218.60.56/~jnz1568/getInfo.php?workbook=06_02.xlsx&amp;sheet=A0&amp;row=451&amp;col=8&amp;number=&amp;sourceID=34","")</f>
        <v/>
      </c>
      <c r="I451" s="4" t="str">
        <f>HYPERLINK("http://141.218.60.56/~jnz1568/getInfo.php?workbook=06_02.xlsx&amp;sheet=A0&amp;row=451&amp;col=9&amp;number=&amp;sourceID=34","")</f>
        <v/>
      </c>
      <c r="J451" s="4" t="str">
        <f>HYPERLINK("http://141.218.60.56/~jnz1568/getInfo.php?workbook=06_02.xlsx&amp;sheet=A0&amp;row=451&amp;col=10&amp;number=&amp;sourceID=34","")</f>
        <v/>
      </c>
      <c r="K451" s="4" t="str">
        <f>HYPERLINK("http://141.218.60.56/~jnz1568/getInfo.php?workbook=06_02.xlsx&amp;sheet=A0&amp;row=451&amp;col=11&amp;number=363300000&amp;sourceID=30","363300000")</f>
        <v>363300000</v>
      </c>
      <c r="L451" s="4" t="str">
        <f>HYPERLINK("http://141.218.60.56/~jnz1568/getInfo.php?workbook=06_02.xlsx&amp;sheet=A0&amp;row=451&amp;col=12&amp;number=&amp;sourceID=30","")</f>
        <v/>
      </c>
      <c r="M451" s="4" t="str">
        <f>HYPERLINK("http://141.218.60.56/~jnz1568/getInfo.php?workbook=06_02.xlsx&amp;sheet=A0&amp;row=451&amp;col=13&amp;number=&amp;sourceID=30","")</f>
        <v/>
      </c>
      <c r="N451" s="4" t="str">
        <f>HYPERLINK("http://141.218.60.56/~jnz1568/getInfo.php?workbook=06_02.xlsx&amp;sheet=A0&amp;row=451&amp;col=14&amp;number=&amp;sourceID=30","")</f>
        <v/>
      </c>
      <c r="O451" s="4" t="str">
        <f>HYPERLINK("http://141.218.60.56/~jnz1568/getInfo.php?workbook=06_02.xlsx&amp;sheet=A0&amp;row=451&amp;col=15&amp;number=382200000&amp;sourceID=32","382200000")</f>
        <v>382200000</v>
      </c>
      <c r="P451" s="4" t="str">
        <f>HYPERLINK("http://141.218.60.56/~jnz1568/getInfo.php?workbook=06_02.xlsx&amp;sheet=A0&amp;row=451&amp;col=16&amp;number=&amp;sourceID=32","")</f>
        <v/>
      </c>
      <c r="Q451" s="4" t="str">
        <f>HYPERLINK("http://141.218.60.56/~jnz1568/getInfo.php?workbook=06_02.xlsx&amp;sheet=A0&amp;row=451&amp;col=17&amp;number=&amp;sourceID=32","")</f>
        <v/>
      </c>
      <c r="R451" s="4" t="str">
        <f>HYPERLINK("http://141.218.60.56/~jnz1568/getInfo.php?workbook=06_02.xlsx&amp;sheet=A0&amp;row=451&amp;col=18&amp;number=&amp;sourceID=32","")</f>
        <v/>
      </c>
    </row>
    <row r="452" spans="1:18">
      <c r="A452" s="3">
        <v>6</v>
      </c>
      <c r="B452" s="3">
        <v>2</v>
      </c>
      <c r="C452" s="3">
        <v>34</v>
      </c>
      <c r="D452" s="3">
        <v>21</v>
      </c>
      <c r="E452" s="3">
        <f>((1/(INDEX(E0!J$4:J$52,C452,1)-INDEX(E0!J$4:J$52,D452,1))))*100000000</f>
        <v>0</v>
      </c>
      <c r="F452" s="4" t="str">
        <f>HYPERLINK("http://141.218.60.56/~jnz1568/getInfo.php?workbook=06_02.xlsx&amp;sheet=A0&amp;row=452&amp;col=6&amp;number=&amp;sourceID=27","")</f>
        <v/>
      </c>
      <c r="G452" s="4" t="str">
        <f>HYPERLINK("http://141.218.60.56/~jnz1568/getInfo.php?workbook=06_02.xlsx&amp;sheet=A0&amp;row=452&amp;col=7&amp;number=&amp;sourceID=34","")</f>
        <v/>
      </c>
      <c r="H452" s="4" t="str">
        <f>HYPERLINK("http://141.218.60.56/~jnz1568/getInfo.php?workbook=06_02.xlsx&amp;sheet=A0&amp;row=452&amp;col=8&amp;number=&amp;sourceID=34","")</f>
        <v/>
      </c>
      <c r="I452" s="4" t="str">
        <f>HYPERLINK("http://141.218.60.56/~jnz1568/getInfo.php?workbook=06_02.xlsx&amp;sheet=A0&amp;row=452&amp;col=9&amp;number=&amp;sourceID=34","")</f>
        <v/>
      </c>
      <c r="J452" s="4" t="str">
        <f>HYPERLINK("http://141.218.60.56/~jnz1568/getInfo.php?workbook=06_02.xlsx&amp;sheet=A0&amp;row=452&amp;col=10&amp;number=&amp;sourceID=34","")</f>
        <v/>
      </c>
      <c r="K452" s="4" t="str">
        <f>HYPERLINK("http://141.218.60.56/~jnz1568/getInfo.php?workbook=06_02.xlsx&amp;sheet=A0&amp;row=452&amp;col=11&amp;number=&amp;sourceID=30","")</f>
        <v/>
      </c>
      <c r="L452" s="4" t="str">
        <f>HYPERLINK("http://141.218.60.56/~jnz1568/getInfo.php?workbook=06_02.xlsx&amp;sheet=A0&amp;row=452&amp;col=12&amp;number=&amp;sourceID=30","")</f>
        <v/>
      </c>
      <c r="M452" s="4" t="str">
        <f>HYPERLINK("http://141.218.60.56/~jnz1568/getInfo.php?workbook=06_02.xlsx&amp;sheet=A0&amp;row=452&amp;col=13&amp;number=2.911e-07&amp;sourceID=30","2.911e-07")</f>
        <v>2.911e-07</v>
      </c>
      <c r="N452" s="4" t="str">
        <f>HYPERLINK("http://141.218.60.56/~jnz1568/getInfo.php?workbook=06_02.xlsx&amp;sheet=A0&amp;row=452&amp;col=14&amp;number=&amp;sourceID=30","")</f>
        <v/>
      </c>
      <c r="O452" s="4" t="str">
        <f>HYPERLINK("http://141.218.60.56/~jnz1568/getInfo.php?workbook=06_02.xlsx&amp;sheet=A0&amp;row=452&amp;col=15&amp;number=&amp;sourceID=32","")</f>
        <v/>
      </c>
      <c r="P452" s="4" t="str">
        <f>HYPERLINK("http://141.218.60.56/~jnz1568/getInfo.php?workbook=06_02.xlsx&amp;sheet=A0&amp;row=452&amp;col=16&amp;number=&amp;sourceID=32","")</f>
        <v/>
      </c>
      <c r="Q452" s="4" t="str">
        <f>HYPERLINK("http://141.218.60.56/~jnz1568/getInfo.php?workbook=06_02.xlsx&amp;sheet=A0&amp;row=452&amp;col=17&amp;number=1.63e-06&amp;sourceID=32","1.63e-06")</f>
        <v>1.63e-06</v>
      </c>
      <c r="R452" s="4" t="str">
        <f>HYPERLINK("http://141.218.60.56/~jnz1568/getInfo.php?workbook=06_02.xlsx&amp;sheet=A0&amp;row=452&amp;col=18&amp;number=&amp;sourceID=32","")</f>
        <v/>
      </c>
    </row>
    <row r="453" spans="1:18">
      <c r="A453" s="3">
        <v>6</v>
      </c>
      <c r="B453" s="3">
        <v>2</v>
      </c>
      <c r="C453" s="3">
        <v>34</v>
      </c>
      <c r="D453" s="3">
        <v>22</v>
      </c>
      <c r="E453" s="3">
        <f>((1/(INDEX(E0!J$4:J$52,C453,1)-INDEX(E0!J$4:J$52,D453,1))))*100000000</f>
        <v>0</v>
      </c>
      <c r="F453" s="4" t="str">
        <f>HYPERLINK("http://141.218.60.56/~jnz1568/getInfo.php?workbook=06_02.xlsx&amp;sheet=A0&amp;row=453&amp;col=6&amp;number=&amp;sourceID=27","")</f>
        <v/>
      </c>
      <c r="G453" s="4" t="str">
        <f>HYPERLINK("http://141.218.60.56/~jnz1568/getInfo.php?workbook=06_02.xlsx&amp;sheet=A0&amp;row=453&amp;col=7&amp;number=&amp;sourceID=34","")</f>
        <v/>
      </c>
      <c r="H453" s="4" t="str">
        <f>HYPERLINK("http://141.218.60.56/~jnz1568/getInfo.php?workbook=06_02.xlsx&amp;sheet=A0&amp;row=453&amp;col=8&amp;number=&amp;sourceID=34","")</f>
        <v/>
      </c>
      <c r="I453" s="4" t="str">
        <f>HYPERLINK("http://141.218.60.56/~jnz1568/getInfo.php?workbook=06_02.xlsx&amp;sheet=A0&amp;row=453&amp;col=9&amp;number=&amp;sourceID=34","")</f>
        <v/>
      </c>
      <c r="J453" s="4" t="str">
        <f>HYPERLINK("http://141.218.60.56/~jnz1568/getInfo.php?workbook=06_02.xlsx&amp;sheet=A0&amp;row=453&amp;col=10&amp;number=&amp;sourceID=34","")</f>
        <v/>
      </c>
      <c r="K453" s="4" t="str">
        <f>HYPERLINK("http://141.218.60.56/~jnz1568/getInfo.php?workbook=06_02.xlsx&amp;sheet=A0&amp;row=453&amp;col=11&amp;number=&amp;sourceID=30","")</f>
        <v/>
      </c>
      <c r="L453" s="4" t="str">
        <f>HYPERLINK("http://141.218.60.56/~jnz1568/getInfo.php?workbook=06_02.xlsx&amp;sheet=A0&amp;row=453&amp;col=12&amp;number=7130&amp;sourceID=30","7130")</f>
        <v>7130</v>
      </c>
      <c r="M453" s="4" t="str">
        <f>HYPERLINK("http://141.218.60.56/~jnz1568/getInfo.php?workbook=06_02.xlsx&amp;sheet=A0&amp;row=453&amp;col=13&amp;number=&amp;sourceID=30","")</f>
        <v/>
      </c>
      <c r="N453" s="4" t="str">
        <f>HYPERLINK("http://141.218.60.56/~jnz1568/getInfo.php?workbook=06_02.xlsx&amp;sheet=A0&amp;row=453&amp;col=14&amp;number=&amp;sourceID=30","")</f>
        <v/>
      </c>
      <c r="O453" s="4" t="str">
        <f>HYPERLINK("http://141.218.60.56/~jnz1568/getInfo.php?workbook=06_02.xlsx&amp;sheet=A0&amp;row=453&amp;col=15&amp;number=&amp;sourceID=32","")</f>
        <v/>
      </c>
      <c r="P453" s="4" t="str">
        <f>HYPERLINK("http://141.218.60.56/~jnz1568/getInfo.php?workbook=06_02.xlsx&amp;sheet=A0&amp;row=453&amp;col=16&amp;number=7430&amp;sourceID=32","7430")</f>
        <v>7430</v>
      </c>
      <c r="Q453" s="4" t="str">
        <f>HYPERLINK("http://141.218.60.56/~jnz1568/getInfo.php?workbook=06_02.xlsx&amp;sheet=A0&amp;row=453&amp;col=17&amp;number=&amp;sourceID=32","")</f>
        <v/>
      </c>
      <c r="R453" s="4" t="str">
        <f>HYPERLINK("http://141.218.60.56/~jnz1568/getInfo.php?workbook=06_02.xlsx&amp;sheet=A0&amp;row=453&amp;col=18&amp;number=&amp;sourceID=32","")</f>
        <v/>
      </c>
    </row>
    <row r="454" spans="1:18">
      <c r="A454" s="3">
        <v>6</v>
      </c>
      <c r="B454" s="3">
        <v>2</v>
      </c>
      <c r="C454" s="3">
        <v>34</v>
      </c>
      <c r="D454" s="3">
        <v>23</v>
      </c>
      <c r="E454" s="3">
        <f>((1/(INDEX(E0!J$4:J$52,C454,1)-INDEX(E0!J$4:J$52,D454,1))))*100000000</f>
        <v>0</v>
      </c>
      <c r="F454" s="4" t="str">
        <f>HYPERLINK("http://141.218.60.56/~jnz1568/getInfo.php?workbook=06_02.xlsx&amp;sheet=A0&amp;row=454&amp;col=6&amp;number=&amp;sourceID=27","")</f>
        <v/>
      </c>
      <c r="G454" s="4" t="str">
        <f>HYPERLINK("http://141.218.60.56/~jnz1568/getInfo.php?workbook=06_02.xlsx&amp;sheet=A0&amp;row=454&amp;col=7&amp;number=&amp;sourceID=34","")</f>
        <v/>
      </c>
      <c r="H454" s="4" t="str">
        <f>HYPERLINK("http://141.218.60.56/~jnz1568/getInfo.php?workbook=06_02.xlsx&amp;sheet=A0&amp;row=454&amp;col=8&amp;number=&amp;sourceID=34","")</f>
        <v/>
      </c>
      <c r="I454" s="4" t="str">
        <f>HYPERLINK("http://141.218.60.56/~jnz1568/getInfo.php?workbook=06_02.xlsx&amp;sheet=A0&amp;row=454&amp;col=9&amp;number=&amp;sourceID=34","")</f>
        <v/>
      </c>
      <c r="J454" s="4" t="str">
        <f>HYPERLINK("http://141.218.60.56/~jnz1568/getInfo.php?workbook=06_02.xlsx&amp;sheet=A0&amp;row=454&amp;col=10&amp;number=&amp;sourceID=34","")</f>
        <v/>
      </c>
      <c r="K454" s="4" t="str">
        <f>HYPERLINK("http://141.218.60.56/~jnz1568/getInfo.php?workbook=06_02.xlsx&amp;sheet=A0&amp;row=454&amp;col=11&amp;number=149100000&amp;sourceID=30","149100000")</f>
        <v>149100000</v>
      </c>
      <c r="L454" s="4" t="str">
        <f>HYPERLINK("http://141.218.60.56/~jnz1568/getInfo.php?workbook=06_02.xlsx&amp;sheet=A0&amp;row=454&amp;col=12&amp;number=&amp;sourceID=30","")</f>
        <v/>
      </c>
      <c r="M454" s="4" t="str">
        <f>HYPERLINK("http://141.218.60.56/~jnz1568/getInfo.php?workbook=06_02.xlsx&amp;sheet=A0&amp;row=454&amp;col=13&amp;number=&amp;sourceID=30","")</f>
        <v/>
      </c>
      <c r="N454" s="4" t="str">
        <f>HYPERLINK("http://141.218.60.56/~jnz1568/getInfo.php?workbook=06_02.xlsx&amp;sheet=A0&amp;row=454&amp;col=14&amp;number=&amp;sourceID=30","")</f>
        <v/>
      </c>
      <c r="O454" s="4" t="str">
        <f>HYPERLINK("http://141.218.60.56/~jnz1568/getInfo.php?workbook=06_02.xlsx&amp;sheet=A0&amp;row=454&amp;col=15&amp;number=153100000&amp;sourceID=32","153100000")</f>
        <v>153100000</v>
      </c>
      <c r="P454" s="4" t="str">
        <f>HYPERLINK("http://141.218.60.56/~jnz1568/getInfo.php?workbook=06_02.xlsx&amp;sheet=A0&amp;row=454&amp;col=16&amp;number=&amp;sourceID=32","")</f>
        <v/>
      </c>
      <c r="Q454" s="4" t="str">
        <f>HYPERLINK("http://141.218.60.56/~jnz1568/getInfo.php?workbook=06_02.xlsx&amp;sheet=A0&amp;row=454&amp;col=17&amp;number=&amp;sourceID=32","")</f>
        <v/>
      </c>
      <c r="R454" s="4" t="str">
        <f>HYPERLINK("http://141.218.60.56/~jnz1568/getInfo.php?workbook=06_02.xlsx&amp;sheet=A0&amp;row=454&amp;col=18&amp;number=&amp;sourceID=32","")</f>
        <v/>
      </c>
    </row>
    <row r="455" spans="1:18">
      <c r="A455" s="3">
        <v>6</v>
      </c>
      <c r="B455" s="3">
        <v>2</v>
      </c>
      <c r="C455" s="3">
        <v>34</v>
      </c>
      <c r="D455" s="3">
        <v>24</v>
      </c>
      <c r="E455" s="3">
        <f>((1/(INDEX(E0!J$4:J$52,C455,1)-INDEX(E0!J$4:J$52,D455,1))))*100000000</f>
        <v>0</v>
      </c>
      <c r="F455" s="4" t="str">
        <f>HYPERLINK("http://141.218.60.56/~jnz1568/getInfo.php?workbook=06_02.xlsx&amp;sheet=A0&amp;row=455&amp;col=6&amp;number=&amp;sourceID=27","")</f>
        <v/>
      </c>
      <c r="G455" s="4" t="str">
        <f>HYPERLINK("http://141.218.60.56/~jnz1568/getInfo.php?workbook=06_02.xlsx&amp;sheet=A0&amp;row=455&amp;col=7&amp;number=&amp;sourceID=34","")</f>
        <v/>
      </c>
      <c r="H455" s="4" t="str">
        <f>HYPERLINK("http://141.218.60.56/~jnz1568/getInfo.php?workbook=06_02.xlsx&amp;sheet=A0&amp;row=455&amp;col=8&amp;number=&amp;sourceID=34","")</f>
        <v/>
      </c>
      <c r="I455" s="4" t="str">
        <f>HYPERLINK("http://141.218.60.56/~jnz1568/getInfo.php?workbook=06_02.xlsx&amp;sheet=A0&amp;row=455&amp;col=9&amp;number=&amp;sourceID=34","")</f>
        <v/>
      </c>
      <c r="J455" s="4" t="str">
        <f>HYPERLINK("http://141.218.60.56/~jnz1568/getInfo.php?workbook=06_02.xlsx&amp;sheet=A0&amp;row=455&amp;col=10&amp;number=&amp;sourceID=34","")</f>
        <v/>
      </c>
      <c r="K455" s="4" t="str">
        <f>HYPERLINK("http://141.218.60.56/~jnz1568/getInfo.php?workbook=06_02.xlsx&amp;sheet=A0&amp;row=455&amp;col=11&amp;number=&amp;sourceID=30","")</f>
        <v/>
      </c>
      <c r="L455" s="4" t="str">
        <f>HYPERLINK("http://141.218.60.56/~jnz1568/getInfo.php?workbook=06_02.xlsx&amp;sheet=A0&amp;row=455&amp;col=12&amp;number=&amp;sourceID=30","")</f>
        <v/>
      </c>
      <c r="M455" s="4" t="str">
        <f>HYPERLINK("http://141.218.60.56/~jnz1568/getInfo.php?workbook=06_02.xlsx&amp;sheet=A0&amp;row=455&amp;col=13&amp;number=&amp;sourceID=30","")</f>
        <v/>
      </c>
      <c r="N455" s="4" t="str">
        <f>HYPERLINK("http://141.218.60.56/~jnz1568/getInfo.php?workbook=06_02.xlsx&amp;sheet=A0&amp;row=455&amp;col=14&amp;number=0.0003215&amp;sourceID=30","0.0003215")</f>
        <v>0.0003215</v>
      </c>
      <c r="O455" s="4" t="str">
        <f>HYPERLINK("http://141.218.60.56/~jnz1568/getInfo.php?workbook=06_02.xlsx&amp;sheet=A0&amp;row=455&amp;col=15&amp;number=&amp;sourceID=32","")</f>
        <v/>
      </c>
      <c r="P455" s="4" t="str">
        <f>HYPERLINK("http://141.218.60.56/~jnz1568/getInfo.php?workbook=06_02.xlsx&amp;sheet=A0&amp;row=455&amp;col=16&amp;number=&amp;sourceID=32","")</f>
        <v/>
      </c>
      <c r="Q455" s="4" t="str">
        <f>HYPERLINK("http://141.218.60.56/~jnz1568/getInfo.php?workbook=06_02.xlsx&amp;sheet=A0&amp;row=455&amp;col=17&amp;number=&amp;sourceID=32","")</f>
        <v/>
      </c>
      <c r="R455" s="4" t="str">
        <f>HYPERLINK("http://141.218.60.56/~jnz1568/getInfo.php?workbook=06_02.xlsx&amp;sheet=A0&amp;row=455&amp;col=18&amp;number=0.000317&amp;sourceID=32","0.000317")</f>
        <v>0.000317</v>
      </c>
    </row>
    <row r="456" spans="1:18">
      <c r="A456" s="3">
        <v>6</v>
      </c>
      <c r="B456" s="3">
        <v>2</v>
      </c>
      <c r="C456" s="3">
        <v>34</v>
      </c>
      <c r="D456" s="3">
        <v>27</v>
      </c>
      <c r="E456" s="3">
        <f>((1/(INDEX(E0!J$4:J$52,C456,1)-INDEX(E0!J$4:J$52,D456,1))))*100000000</f>
        <v>0</v>
      </c>
      <c r="F456" s="4" t="str">
        <f>HYPERLINK("http://141.218.60.56/~jnz1568/getInfo.php?workbook=06_02.xlsx&amp;sheet=A0&amp;row=456&amp;col=6&amp;number=&amp;sourceID=27","")</f>
        <v/>
      </c>
      <c r="G456" s="4" t="str">
        <f>HYPERLINK("http://141.218.60.56/~jnz1568/getInfo.php?workbook=06_02.xlsx&amp;sheet=A0&amp;row=456&amp;col=7&amp;number=&amp;sourceID=34","")</f>
        <v/>
      </c>
      <c r="H456" s="4" t="str">
        <f>HYPERLINK("http://141.218.60.56/~jnz1568/getInfo.php?workbook=06_02.xlsx&amp;sheet=A0&amp;row=456&amp;col=8&amp;number=&amp;sourceID=34","")</f>
        <v/>
      </c>
      <c r="I456" s="4" t="str">
        <f>HYPERLINK("http://141.218.60.56/~jnz1568/getInfo.php?workbook=06_02.xlsx&amp;sheet=A0&amp;row=456&amp;col=9&amp;number=&amp;sourceID=34","")</f>
        <v/>
      </c>
      <c r="J456" s="4" t="str">
        <f>HYPERLINK("http://141.218.60.56/~jnz1568/getInfo.php?workbook=06_02.xlsx&amp;sheet=A0&amp;row=456&amp;col=10&amp;number=&amp;sourceID=34","")</f>
        <v/>
      </c>
      <c r="K456" s="4" t="str">
        <f>HYPERLINK("http://141.218.60.56/~jnz1568/getInfo.php?workbook=06_02.xlsx&amp;sheet=A0&amp;row=456&amp;col=11&amp;number=&amp;sourceID=30","")</f>
        <v/>
      </c>
      <c r="L456" s="4" t="str">
        <f>HYPERLINK("http://141.218.60.56/~jnz1568/getInfo.php?workbook=06_02.xlsx&amp;sheet=A0&amp;row=456&amp;col=12&amp;number=798.3&amp;sourceID=30","798.3")</f>
        <v>798.3</v>
      </c>
      <c r="M456" s="4" t="str">
        <f>HYPERLINK("http://141.218.60.56/~jnz1568/getInfo.php?workbook=06_02.xlsx&amp;sheet=A0&amp;row=456&amp;col=13&amp;number=&amp;sourceID=30","")</f>
        <v/>
      </c>
      <c r="N456" s="4" t="str">
        <f>HYPERLINK("http://141.218.60.56/~jnz1568/getInfo.php?workbook=06_02.xlsx&amp;sheet=A0&amp;row=456&amp;col=14&amp;number=&amp;sourceID=30","")</f>
        <v/>
      </c>
      <c r="O456" s="4" t="str">
        <f>HYPERLINK("http://141.218.60.56/~jnz1568/getInfo.php?workbook=06_02.xlsx&amp;sheet=A0&amp;row=456&amp;col=15&amp;number=&amp;sourceID=32","")</f>
        <v/>
      </c>
      <c r="P456" s="4" t="str">
        <f>HYPERLINK("http://141.218.60.56/~jnz1568/getInfo.php?workbook=06_02.xlsx&amp;sheet=A0&amp;row=456&amp;col=16&amp;number=807.8&amp;sourceID=32","807.8")</f>
        <v>807.8</v>
      </c>
      <c r="Q456" s="4" t="str">
        <f>HYPERLINK("http://141.218.60.56/~jnz1568/getInfo.php?workbook=06_02.xlsx&amp;sheet=A0&amp;row=456&amp;col=17&amp;number=&amp;sourceID=32","")</f>
        <v/>
      </c>
      <c r="R456" s="4" t="str">
        <f>HYPERLINK("http://141.218.60.56/~jnz1568/getInfo.php?workbook=06_02.xlsx&amp;sheet=A0&amp;row=456&amp;col=18&amp;number=&amp;sourceID=32","")</f>
        <v/>
      </c>
    </row>
    <row r="457" spans="1:18">
      <c r="A457" s="3">
        <v>6</v>
      </c>
      <c r="B457" s="3">
        <v>2</v>
      </c>
      <c r="C457" s="3">
        <v>34</v>
      </c>
      <c r="D457" s="3">
        <v>30</v>
      </c>
      <c r="E457" s="3">
        <f>((1/(INDEX(E0!J$4:J$52,C457,1)-INDEX(E0!J$4:J$52,D457,1))))*100000000</f>
        <v>0</v>
      </c>
      <c r="F457" s="4" t="str">
        <f>HYPERLINK("http://141.218.60.56/~jnz1568/getInfo.php?workbook=06_02.xlsx&amp;sheet=A0&amp;row=457&amp;col=6&amp;number=&amp;sourceID=27","")</f>
        <v/>
      </c>
      <c r="G457" s="4" t="str">
        <f>HYPERLINK("http://141.218.60.56/~jnz1568/getInfo.php?workbook=06_02.xlsx&amp;sheet=A0&amp;row=457&amp;col=7&amp;number=&amp;sourceID=34","")</f>
        <v/>
      </c>
      <c r="H457" s="4" t="str">
        <f>HYPERLINK("http://141.218.60.56/~jnz1568/getInfo.php?workbook=06_02.xlsx&amp;sheet=A0&amp;row=457&amp;col=8&amp;number=&amp;sourceID=34","")</f>
        <v/>
      </c>
      <c r="I457" s="4" t="str">
        <f>HYPERLINK("http://141.218.60.56/~jnz1568/getInfo.php?workbook=06_02.xlsx&amp;sheet=A0&amp;row=457&amp;col=9&amp;number=&amp;sourceID=34","")</f>
        <v/>
      </c>
      <c r="J457" s="4" t="str">
        <f>HYPERLINK("http://141.218.60.56/~jnz1568/getInfo.php?workbook=06_02.xlsx&amp;sheet=A0&amp;row=457&amp;col=10&amp;number=&amp;sourceID=34","")</f>
        <v/>
      </c>
      <c r="K457" s="4" t="str">
        <f>HYPERLINK("http://141.218.60.56/~jnz1568/getInfo.php?workbook=06_02.xlsx&amp;sheet=A0&amp;row=457&amp;col=11&amp;number=&amp;sourceID=30","")</f>
        <v/>
      </c>
      <c r="L457" s="4" t="str">
        <f>HYPERLINK("http://141.218.60.56/~jnz1568/getInfo.php?workbook=06_02.xlsx&amp;sheet=A0&amp;row=457&amp;col=12&amp;number=&amp;sourceID=30","")</f>
        <v/>
      </c>
      <c r="M457" s="4" t="str">
        <f>HYPERLINK("http://141.218.60.56/~jnz1568/getInfo.php?workbook=06_02.xlsx&amp;sheet=A0&amp;row=457&amp;col=13&amp;number=&amp;sourceID=30","")</f>
        <v/>
      </c>
      <c r="N457" s="4" t="str">
        <f>HYPERLINK("http://141.218.60.56/~jnz1568/getInfo.php?workbook=06_02.xlsx&amp;sheet=A0&amp;row=457&amp;col=14&amp;number=0.002559&amp;sourceID=30","0.002559")</f>
        <v>0.002559</v>
      </c>
      <c r="O457" s="4" t="str">
        <f>HYPERLINK("http://141.218.60.56/~jnz1568/getInfo.php?workbook=06_02.xlsx&amp;sheet=A0&amp;row=457&amp;col=15&amp;number=&amp;sourceID=32","")</f>
        <v/>
      </c>
      <c r="P457" s="4" t="str">
        <f>HYPERLINK("http://141.218.60.56/~jnz1568/getInfo.php?workbook=06_02.xlsx&amp;sheet=A0&amp;row=457&amp;col=16&amp;number=&amp;sourceID=32","")</f>
        <v/>
      </c>
      <c r="Q457" s="4" t="str">
        <f>HYPERLINK("http://141.218.60.56/~jnz1568/getInfo.php?workbook=06_02.xlsx&amp;sheet=A0&amp;row=457&amp;col=17&amp;number=&amp;sourceID=32","")</f>
        <v/>
      </c>
      <c r="R457" s="4" t="str">
        <f>HYPERLINK("http://141.218.60.56/~jnz1568/getInfo.php?workbook=06_02.xlsx&amp;sheet=A0&amp;row=457&amp;col=18&amp;number=0.002596&amp;sourceID=32","0.002596")</f>
        <v>0.002596</v>
      </c>
    </row>
    <row r="458" spans="1:18">
      <c r="A458" s="3">
        <v>6</v>
      </c>
      <c r="B458" s="3">
        <v>2</v>
      </c>
      <c r="C458" s="3">
        <v>34</v>
      </c>
      <c r="D458" s="3">
        <v>31</v>
      </c>
      <c r="E458" s="3">
        <f>((1/(INDEX(E0!J$4:J$52,C458,1)-INDEX(E0!J$4:J$52,D458,1))))*100000000</f>
        <v>0</v>
      </c>
      <c r="F458" s="4" t="str">
        <f>HYPERLINK("http://141.218.60.56/~jnz1568/getInfo.php?workbook=06_02.xlsx&amp;sheet=A0&amp;row=458&amp;col=6&amp;number=&amp;sourceID=27","")</f>
        <v/>
      </c>
      <c r="G458" s="4" t="str">
        <f>HYPERLINK("http://141.218.60.56/~jnz1568/getInfo.php?workbook=06_02.xlsx&amp;sheet=A0&amp;row=458&amp;col=7&amp;number=&amp;sourceID=34","")</f>
        <v/>
      </c>
      <c r="H458" s="4" t="str">
        <f>HYPERLINK("http://141.218.60.56/~jnz1568/getInfo.php?workbook=06_02.xlsx&amp;sheet=A0&amp;row=458&amp;col=8&amp;number=&amp;sourceID=34","")</f>
        <v/>
      </c>
      <c r="I458" s="4" t="str">
        <f>HYPERLINK("http://141.218.60.56/~jnz1568/getInfo.php?workbook=06_02.xlsx&amp;sheet=A0&amp;row=458&amp;col=9&amp;number=&amp;sourceID=34","")</f>
        <v/>
      </c>
      <c r="J458" s="4" t="str">
        <f>HYPERLINK("http://141.218.60.56/~jnz1568/getInfo.php?workbook=06_02.xlsx&amp;sheet=A0&amp;row=458&amp;col=10&amp;number=&amp;sourceID=34","")</f>
        <v/>
      </c>
      <c r="K458" s="4" t="str">
        <f>HYPERLINK("http://141.218.60.56/~jnz1568/getInfo.php?workbook=06_02.xlsx&amp;sheet=A0&amp;row=458&amp;col=11&amp;number=&amp;sourceID=30","")</f>
        <v/>
      </c>
      <c r="L458" s="4" t="str">
        <f>HYPERLINK("http://141.218.60.56/~jnz1568/getInfo.php?workbook=06_02.xlsx&amp;sheet=A0&amp;row=458&amp;col=12&amp;number=&amp;sourceID=30","")</f>
        <v/>
      </c>
      <c r="M458" s="4" t="str">
        <f>HYPERLINK("http://141.218.60.56/~jnz1568/getInfo.php?workbook=06_02.xlsx&amp;sheet=A0&amp;row=458&amp;col=13&amp;number=0.0007129&amp;sourceID=30","0.0007129")</f>
        <v>0.0007129</v>
      </c>
      <c r="N458" s="4" t="str">
        <f>HYPERLINK("http://141.218.60.56/~jnz1568/getInfo.php?workbook=06_02.xlsx&amp;sheet=A0&amp;row=458&amp;col=14&amp;number=&amp;sourceID=30","")</f>
        <v/>
      </c>
      <c r="O458" s="4" t="str">
        <f>HYPERLINK("http://141.218.60.56/~jnz1568/getInfo.php?workbook=06_02.xlsx&amp;sheet=A0&amp;row=458&amp;col=15&amp;number=&amp;sourceID=32","")</f>
        <v/>
      </c>
      <c r="P458" s="4" t="str">
        <f>HYPERLINK("http://141.218.60.56/~jnz1568/getInfo.php?workbook=06_02.xlsx&amp;sheet=A0&amp;row=458&amp;col=16&amp;number=&amp;sourceID=32","")</f>
        <v/>
      </c>
      <c r="Q458" s="4" t="str">
        <f>HYPERLINK("http://141.218.60.56/~jnz1568/getInfo.php?workbook=06_02.xlsx&amp;sheet=A0&amp;row=458&amp;col=17&amp;number=0.0007302&amp;sourceID=32","0.0007302")</f>
        <v>0.0007302</v>
      </c>
      <c r="R458" s="4" t="str">
        <f>HYPERLINK("http://141.218.60.56/~jnz1568/getInfo.php?workbook=06_02.xlsx&amp;sheet=A0&amp;row=458&amp;col=18&amp;number=&amp;sourceID=32","")</f>
        <v/>
      </c>
    </row>
    <row r="459" spans="1:18">
      <c r="A459" s="3">
        <v>6</v>
      </c>
      <c r="B459" s="3">
        <v>2</v>
      </c>
      <c r="C459" s="3">
        <v>34</v>
      </c>
      <c r="D459" s="3">
        <v>32</v>
      </c>
      <c r="E459" s="3">
        <f>((1/(INDEX(E0!J$4:J$52,C459,1)-INDEX(E0!J$4:J$52,D459,1))))*100000000</f>
        <v>0</v>
      </c>
      <c r="F459" s="4" t="str">
        <f>HYPERLINK("http://141.218.60.56/~jnz1568/getInfo.php?workbook=06_02.xlsx&amp;sheet=A0&amp;row=459&amp;col=6&amp;number=&amp;sourceID=27","")</f>
        <v/>
      </c>
      <c r="G459" s="4" t="str">
        <f>HYPERLINK("http://141.218.60.56/~jnz1568/getInfo.php?workbook=06_02.xlsx&amp;sheet=A0&amp;row=459&amp;col=7&amp;number=&amp;sourceID=34","")</f>
        <v/>
      </c>
      <c r="H459" s="4" t="str">
        <f>HYPERLINK("http://141.218.60.56/~jnz1568/getInfo.php?workbook=06_02.xlsx&amp;sheet=A0&amp;row=459&amp;col=8&amp;number=&amp;sourceID=34","")</f>
        <v/>
      </c>
      <c r="I459" s="4" t="str">
        <f>HYPERLINK("http://141.218.60.56/~jnz1568/getInfo.php?workbook=06_02.xlsx&amp;sheet=A0&amp;row=459&amp;col=9&amp;number=&amp;sourceID=34","")</f>
        <v/>
      </c>
      <c r="J459" s="4" t="str">
        <f>HYPERLINK("http://141.218.60.56/~jnz1568/getInfo.php?workbook=06_02.xlsx&amp;sheet=A0&amp;row=459&amp;col=10&amp;number=&amp;sourceID=34","")</f>
        <v/>
      </c>
      <c r="K459" s="4" t="str">
        <f>HYPERLINK("http://141.218.60.56/~jnz1568/getInfo.php?workbook=06_02.xlsx&amp;sheet=A0&amp;row=459&amp;col=11&amp;number=528600&amp;sourceID=30","528600")</f>
        <v>528600</v>
      </c>
      <c r="L459" s="4" t="str">
        <f>HYPERLINK("http://141.218.60.56/~jnz1568/getInfo.php?workbook=06_02.xlsx&amp;sheet=A0&amp;row=459&amp;col=12&amp;number=&amp;sourceID=30","")</f>
        <v/>
      </c>
      <c r="M459" s="4" t="str">
        <f>HYPERLINK("http://141.218.60.56/~jnz1568/getInfo.php?workbook=06_02.xlsx&amp;sheet=A0&amp;row=459&amp;col=13&amp;number=&amp;sourceID=30","")</f>
        <v/>
      </c>
      <c r="N459" s="4" t="str">
        <f>HYPERLINK("http://141.218.60.56/~jnz1568/getInfo.php?workbook=06_02.xlsx&amp;sheet=A0&amp;row=459&amp;col=14&amp;number=&amp;sourceID=30","")</f>
        <v/>
      </c>
      <c r="O459" s="4" t="str">
        <f>HYPERLINK("http://141.218.60.56/~jnz1568/getInfo.php?workbook=06_02.xlsx&amp;sheet=A0&amp;row=459&amp;col=15&amp;number=503500&amp;sourceID=32","503500")</f>
        <v>503500</v>
      </c>
      <c r="P459" s="4" t="str">
        <f>HYPERLINK("http://141.218.60.56/~jnz1568/getInfo.php?workbook=06_02.xlsx&amp;sheet=A0&amp;row=459&amp;col=16&amp;number=&amp;sourceID=32","")</f>
        <v/>
      </c>
      <c r="Q459" s="4" t="str">
        <f>HYPERLINK("http://141.218.60.56/~jnz1568/getInfo.php?workbook=06_02.xlsx&amp;sheet=A0&amp;row=459&amp;col=17&amp;number=&amp;sourceID=32","")</f>
        <v/>
      </c>
      <c r="R459" s="4" t="str">
        <f>HYPERLINK("http://141.218.60.56/~jnz1568/getInfo.php?workbook=06_02.xlsx&amp;sheet=A0&amp;row=459&amp;col=18&amp;number=&amp;sourceID=32","")</f>
        <v/>
      </c>
    </row>
    <row r="460" spans="1:18">
      <c r="A460" s="3">
        <v>6</v>
      </c>
      <c r="B460" s="3">
        <v>2</v>
      </c>
      <c r="C460" s="3">
        <v>35</v>
      </c>
      <c r="D460" s="3">
        <v>1</v>
      </c>
      <c r="E460" s="3">
        <f>((1/(INDEX(E0!J$4:J$52,C460,1)-INDEX(E0!J$4:J$52,D460,1))))*100000000</f>
        <v>0</v>
      </c>
      <c r="F460" s="4" t="str">
        <f>HYPERLINK("http://141.218.60.56/~jnz1568/getInfo.php?workbook=06_02.xlsx&amp;sheet=A0&amp;row=460&amp;col=6&amp;number=&amp;sourceID=27","")</f>
        <v/>
      </c>
      <c r="G460" s="4" t="str">
        <f>HYPERLINK("http://141.218.60.56/~jnz1568/getInfo.php?workbook=06_02.xlsx&amp;sheet=A0&amp;row=460&amp;col=7&amp;number=&amp;sourceID=34","")</f>
        <v/>
      </c>
      <c r="H460" s="4" t="str">
        <f>HYPERLINK("http://141.218.60.56/~jnz1568/getInfo.php?workbook=06_02.xlsx&amp;sheet=A0&amp;row=460&amp;col=8&amp;number=&amp;sourceID=34","")</f>
        <v/>
      </c>
      <c r="I460" s="4" t="str">
        <f>HYPERLINK("http://141.218.60.56/~jnz1568/getInfo.php?workbook=06_02.xlsx&amp;sheet=A0&amp;row=460&amp;col=9&amp;number=&amp;sourceID=34","")</f>
        <v/>
      </c>
      <c r="J460" s="4" t="str">
        <f>HYPERLINK("http://141.218.60.56/~jnz1568/getInfo.php?workbook=06_02.xlsx&amp;sheet=A0&amp;row=460&amp;col=10&amp;number=&amp;sourceID=34","")</f>
        <v/>
      </c>
      <c r="K460" s="4" t="str">
        <f>HYPERLINK("http://141.218.60.56/~jnz1568/getInfo.php?workbook=06_02.xlsx&amp;sheet=A0&amp;row=460&amp;col=11&amp;number=3771000&amp;sourceID=30","3771000")</f>
        <v>3771000</v>
      </c>
      <c r="L460" s="4" t="str">
        <f>HYPERLINK("http://141.218.60.56/~jnz1568/getInfo.php?workbook=06_02.xlsx&amp;sheet=A0&amp;row=460&amp;col=12&amp;number=&amp;sourceID=30","")</f>
        <v/>
      </c>
      <c r="M460" s="4" t="str">
        <f>HYPERLINK("http://141.218.60.56/~jnz1568/getInfo.php?workbook=06_02.xlsx&amp;sheet=A0&amp;row=460&amp;col=13&amp;number=&amp;sourceID=30","")</f>
        <v/>
      </c>
      <c r="N460" s="4" t="str">
        <f>HYPERLINK("http://141.218.60.56/~jnz1568/getInfo.php?workbook=06_02.xlsx&amp;sheet=A0&amp;row=460&amp;col=14&amp;number=&amp;sourceID=30","")</f>
        <v/>
      </c>
      <c r="O460" s="4" t="str">
        <f>HYPERLINK("http://141.218.60.56/~jnz1568/getInfo.php?workbook=06_02.xlsx&amp;sheet=A0&amp;row=460&amp;col=15&amp;number=1702000&amp;sourceID=32","1702000")</f>
        <v>1702000</v>
      </c>
      <c r="P460" s="4" t="str">
        <f>HYPERLINK("http://141.218.60.56/~jnz1568/getInfo.php?workbook=06_02.xlsx&amp;sheet=A0&amp;row=460&amp;col=16&amp;number=&amp;sourceID=32","")</f>
        <v/>
      </c>
      <c r="Q460" s="4" t="str">
        <f>HYPERLINK("http://141.218.60.56/~jnz1568/getInfo.php?workbook=06_02.xlsx&amp;sheet=A0&amp;row=460&amp;col=17&amp;number=&amp;sourceID=32","")</f>
        <v/>
      </c>
      <c r="R460" s="4" t="str">
        <f>HYPERLINK("http://141.218.60.56/~jnz1568/getInfo.php?workbook=06_02.xlsx&amp;sheet=A0&amp;row=460&amp;col=18&amp;number=&amp;sourceID=32","")</f>
        <v/>
      </c>
    </row>
    <row r="461" spans="1:18">
      <c r="A461" s="3">
        <v>6</v>
      </c>
      <c r="B461" s="3">
        <v>2</v>
      </c>
      <c r="C461" s="3">
        <v>35</v>
      </c>
      <c r="D461" s="3">
        <v>2</v>
      </c>
      <c r="E461" s="3">
        <f>((1/(INDEX(E0!J$4:J$52,C461,1)-INDEX(E0!J$4:J$52,D461,1))))*100000000</f>
        <v>0</v>
      </c>
      <c r="F461" s="4" t="str">
        <f>HYPERLINK("http://141.218.60.56/~jnz1568/getInfo.php?workbook=06_02.xlsx&amp;sheet=A0&amp;row=461&amp;col=6&amp;number=&amp;sourceID=27","")</f>
        <v/>
      </c>
      <c r="G461" s="4" t="str">
        <f>HYPERLINK("http://141.218.60.56/~jnz1568/getInfo.php?workbook=06_02.xlsx&amp;sheet=A0&amp;row=461&amp;col=7&amp;number=&amp;sourceID=34","")</f>
        <v/>
      </c>
      <c r="H461" s="4" t="str">
        <f>HYPERLINK("http://141.218.60.56/~jnz1568/getInfo.php?workbook=06_02.xlsx&amp;sheet=A0&amp;row=461&amp;col=8&amp;number=&amp;sourceID=34","")</f>
        <v/>
      </c>
      <c r="I461" s="4" t="str">
        <f>HYPERLINK("http://141.218.60.56/~jnz1568/getInfo.php?workbook=06_02.xlsx&amp;sheet=A0&amp;row=461&amp;col=9&amp;number=&amp;sourceID=34","")</f>
        <v/>
      </c>
      <c r="J461" s="4" t="str">
        <f>HYPERLINK("http://141.218.60.56/~jnz1568/getInfo.php?workbook=06_02.xlsx&amp;sheet=A0&amp;row=461&amp;col=10&amp;number=&amp;sourceID=34","")</f>
        <v/>
      </c>
      <c r="K461" s="4" t="str">
        <f>HYPERLINK("http://141.218.60.56/~jnz1568/getInfo.php?workbook=06_02.xlsx&amp;sheet=A0&amp;row=461&amp;col=11&amp;number=2555000000&amp;sourceID=30","2555000000")</f>
        <v>2555000000</v>
      </c>
      <c r="L461" s="4" t="str">
        <f>HYPERLINK("http://141.218.60.56/~jnz1568/getInfo.php?workbook=06_02.xlsx&amp;sheet=A0&amp;row=461&amp;col=12&amp;number=&amp;sourceID=30","")</f>
        <v/>
      </c>
      <c r="M461" s="4" t="str">
        <f>HYPERLINK("http://141.218.60.56/~jnz1568/getInfo.php?workbook=06_02.xlsx&amp;sheet=A0&amp;row=461&amp;col=13&amp;number=&amp;sourceID=30","")</f>
        <v/>
      </c>
      <c r="N461" s="4" t="str">
        <f>HYPERLINK("http://141.218.60.56/~jnz1568/getInfo.php?workbook=06_02.xlsx&amp;sheet=A0&amp;row=461&amp;col=14&amp;number=3.782&amp;sourceID=30","3.782")</f>
        <v>3.782</v>
      </c>
      <c r="O461" s="4" t="str">
        <f>HYPERLINK("http://141.218.60.56/~jnz1568/getInfo.php?workbook=06_02.xlsx&amp;sheet=A0&amp;row=461&amp;col=15&amp;number=3222000000&amp;sourceID=32","3222000000")</f>
        <v>3222000000</v>
      </c>
      <c r="P461" s="4" t="str">
        <f>HYPERLINK("http://141.218.60.56/~jnz1568/getInfo.php?workbook=06_02.xlsx&amp;sheet=A0&amp;row=461&amp;col=16&amp;number=&amp;sourceID=32","")</f>
        <v/>
      </c>
      <c r="Q461" s="4" t="str">
        <f>HYPERLINK("http://141.218.60.56/~jnz1568/getInfo.php?workbook=06_02.xlsx&amp;sheet=A0&amp;row=461&amp;col=17&amp;number=&amp;sourceID=32","")</f>
        <v/>
      </c>
      <c r="R461" s="4" t="str">
        <f>HYPERLINK("http://141.218.60.56/~jnz1568/getInfo.php?workbook=06_02.xlsx&amp;sheet=A0&amp;row=461&amp;col=18&amp;number=4.781&amp;sourceID=32","4.781")</f>
        <v>4.781</v>
      </c>
    </row>
    <row r="462" spans="1:18">
      <c r="A462" s="3">
        <v>6</v>
      </c>
      <c r="B462" s="3">
        <v>2</v>
      </c>
      <c r="C462" s="3">
        <v>35</v>
      </c>
      <c r="D462" s="3">
        <v>3</v>
      </c>
      <c r="E462" s="3">
        <f>((1/(INDEX(E0!J$4:J$52,C462,1)-INDEX(E0!J$4:J$52,D462,1))))*100000000</f>
        <v>0</v>
      </c>
      <c r="F462" s="4" t="str">
        <f>HYPERLINK("http://141.218.60.56/~jnz1568/getInfo.php?workbook=06_02.xlsx&amp;sheet=A0&amp;row=462&amp;col=6&amp;number=&amp;sourceID=27","")</f>
        <v/>
      </c>
      <c r="G462" s="4" t="str">
        <f>HYPERLINK("http://141.218.60.56/~jnz1568/getInfo.php?workbook=06_02.xlsx&amp;sheet=A0&amp;row=462&amp;col=7&amp;number=&amp;sourceID=34","")</f>
        <v/>
      </c>
      <c r="H462" s="4" t="str">
        <f>HYPERLINK("http://141.218.60.56/~jnz1568/getInfo.php?workbook=06_02.xlsx&amp;sheet=A0&amp;row=462&amp;col=8&amp;number=&amp;sourceID=34","")</f>
        <v/>
      </c>
      <c r="I462" s="4" t="str">
        <f>HYPERLINK("http://141.218.60.56/~jnz1568/getInfo.php?workbook=06_02.xlsx&amp;sheet=A0&amp;row=462&amp;col=9&amp;number=&amp;sourceID=34","")</f>
        <v/>
      </c>
      <c r="J462" s="4" t="str">
        <f>HYPERLINK("http://141.218.60.56/~jnz1568/getInfo.php?workbook=06_02.xlsx&amp;sheet=A0&amp;row=462&amp;col=10&amp;number=&amp;sourceID=34","")</f>
        <v/>
      </c>
      <c r="K462" s="4" t="str">
        <f>HYPERLINK("http://141.218.60.56/~jnz1568/getInfo.php?workbook=06_02.xlsx&amp;sheet=A0&amp;row=462&amp;col=11&amp;number=151000&amp;sourceID=30","151000")</f>
        <v>151000</v>
      </c>
      <c r="L462" s="4" t="str">
        <f>HYPERLINK("http://141.218.60.56/~jnz1568/getInfo.php?workbook=06_02.xlsx&amp;sheet=A0&amp;row=462&amp;col=12&amp;number=&amp;sourceID=30","")</f>
        <v/>
      </c>
      <c r="M462" s="4" t="str">
        <f>HYPERLINK("http://141.218.60.56/~jnz1568/getInfo.php?workbook=06_02.xlsx&amp;sheet=A0&amp;row=462&amp;col=13&amp;number=&amp;sourceID=30","")</f>
        <v/>
      </c>
      <c r="N462" s="4" t="str">
        <f>HYPERLINK("http://141.218.60.56/~jnz1568/getInfo.php?workbook=06_02.xlsx&amp;sheet=A0&amp;row=462&amp;col=14&amp;number=&amp;sourceID=30","")</f>
        <v/>
      </c>
      <c r="O462" s="4" t="str">
        <f>HYPERLINK("http://141.218.60.56/~jnz1568/getInfo.php?workbook=06_02.xlsx&amp;sheet=A0&amp;row=462&amp;col=15&amp;number=103600&amp;sourceID=32","103600")</f>
        <v>103600</v>
      </c>
      <c r="P462" s="4" t="str">
        <f>HYPERLINK("http://141.218.60.56/~jnz1568/getInfo.php?workbook=06_02.xlsx&amp;sheet=A0&amp;row=462&amp;col=16&amp;number=&amp;sourceID=32","")</f>
        <v/>
      </c>
      <c r="Q462" s="4" t="str">
        <f>HYPERLINK("http://141.218.60.56/~jnz1568/getInfo.php?workbook=06_02.xlsx&amp;sheet=A0&amp;row=462&amp;col=17&amp;number=&amp;sourceID=32","")</f>
        <v/>
      </c>
      <c r="R462" s="4" t="str">
        <f>HYPERLINK("http://141.218.60.56/~jnz1568/getInfo.php?workbook=06_02.xlsx&amp;sheet=A0&amp;row=462&amp;col=18&amp;number=5&amp;sourceID=32","5")</f>
        <v>5</v>
      </c>
    </row>
    <row r="463" spans="1:18">
      <c r="A463" s="3">
        <v>6</v>
      </c>
      <c r="B463" s="3">
        <v>2</v>
      </c>
      <c r="C463" s="3">
        <v>35</v>
      </c>
      <c r="D463" s="3">
        <v>4</v>
      </c>
      <c r="E463" s="3">
        <f>((1/(INDEX(E0!J$4:J$52,C463,1)-INDEX(E0!J$4:J$52,D463,1))))*100000000</f>
        <v>0</v>
      </c>
      <c r="F463" s="4" t="str">
        <f>HYPERLINK("http://141.218.60.56/~jnz1568/getInfo.php?workbook=06_02.xlsx&amp;sheet=A0&amp;row=463&amp;col=6&amp;number=&amp;sourceID=27","")</f>
        <v/>
      </c>
      <c r="G463" s="4" t="str">
        <f>HYPERLINK("http://141.218.60.56/~jnz1568/getInfo.php?workbook=06_02.xlsx&amp;sheet=A0&amp;row=463&amp;col=7&amp;number=&amp;sourceID=34","")</f>
        <v/>
      </c>
      <c r="H463" s="4" t="str">
        <f>HYPERLINK("http://141.218.60.56/~jnz1568/getInfo.php?workbook=06_02.xlsx&amp;sheet=A0&amp;row=463&amp;col=8&amp;number=&amp;sourceID=34","")</f>
        <v/>
      </c>
      <c r="I463" s="4" t="str">
        <f>HYPERLINK("http://141.218.60.56/~jnz1568/getInfo.php?workbook=06_02.xlsx&amp;sheet=A0&amp;row=463&amp;col=9&amp;number=&amp;sourceID=34","")</f>
        <v/>
      </c>
      <c r="J463" s="4" t="str">
        <f>HYPERLINK("http://141.218.60.56/~jnz1568/getInfo.php?workbook=06_02.xlsx&amp;sheet=A0&amp;row=463&amp;col=10&amp;number=&amp;sourceID=34","")</f>
        <v/>
      </c>
      <c r="K463" s="4" t="str">
        <f>HYPERLINK("http://141.218.60.56/~jnz1568/getInfo.php?workbook=06_02.xlsx&amp;sheet=A0&amp;row=463&amp;col=11&amp;number=&amp;sourceID=30","")</f>
        <v/>
      </c>
      <c r="L463" s="4" t="str">
        <f>HYPERLINK("http://141.218.60.56/~jnz1568/getInfo.php?workbook=06_02.xlsx&amp;sheet=A0&amp;row=463&amp;col=12&amp;number=2842&amp;sourceID=30","2842")</f>
        <v>2842</v>
      </c>
      <c r="M463" s="4" t="str">
        <f>HYPERLINK("http://141.218.60.56/~jnz1568/getInfo.php?workbook=06_02.xlsx&amp;sheet=A0&amp;row=463&amp;col=13&amp;number=0.009985&amp;sourceID=30","0.009985")</f>
        <v>0.009985</v>
      </c>
      <c r="N463" s="4" t="str">
        <f>HYPERLINK("http://141.218.60.56/~jnz1568/getInfo.php?workbook=06_02.xlsx&amp;sheet=A0&amp;row=463&amp;col=14&amp;number=&amp;sourceID=30","")</f>
        <v/>
      </c>
      <c r="O463" s="4" t="str">
        <f>HYPERLINK("http://141.218.60.56/~jnz1568/getInfo.php?workbook=06_02.xlsx&amp;sheet=A0&amp;row=463&amp;col=15&amp;number=&amp;sourceID=32","")</f>
        <v/>
      </c>
      <c r="P463" s="4" t="str">
        <f>HYPERLINK("http://141.218.60.56/~jnz1568/getInfo.php?workbook=06_02.xlsx&amp;sheet=A0&amp;row=463&amp;col=16&amp;number=21990&amp;sourceID=32","21990")</f>
        <v>21990</v>
      </c>
      <c r="Q463" s="4" t="str">
        <f>HYPERLINK("http://141.218.60.56/~jnz1568/getInfo.php?workbook=06_02.xlsx&amp;sheet=A0&amp;row=463&amp;col=17&amp;number=0.008135&amp;sourceID=32","0.008135")</f>
        <v>0.008135</v>
      </c>
      <c r="R463" s="4" t="str">
        <f>HYPERLINK("http://141.218.60.56/~jnz1568/getInfo.php?workbook=06_02.xlsx&amp;sheet=A0&amp;row=463&amp;col=18&amp;number=&amp;sourceID=32","")</f>
        <v/>
      </c>
    </row>
    <row r="464" spans="1:18">
      <c r="A464" s="3">
        <v>6</v>
      </c>
      <c r="B464" s="3">
        <v>2</v>
      </c>
      <c r="C464" s="3">
        <v>35</v>
      </c>
      <c r="D464" s="3">
        <v>5</v>
      </c>
      <c r="E464" s="3">
        <f>((1/(INDEX(E0!J$4:J$52,C464,1)-INDEX(E0!J$4:J$52,D464,1))))*100000000</f>
        <v>0</v>
      </c>
      <c r="F464" s="4" t="str">
        <f>HYPERLINK("http://141.218.60.56/~jnz1568/getInfo.php?workbook=06_02.xlsx&amp;sheet=A0&amp;row=464&amp;col=6&amp;number=&amp;sourceID=27","")</f>
        <v/>
      </c>
      <c r="G464" s="4" t="str">
        <f>HYPERLINK("http://141.218.60.56/~jnz1568/getInfo.php?workbook=06_02.xlsx&amp;sheet=A0&amp;row=464&amp;col=7&amp;number=&amp;sourceID=34","")</f>
        <v/>
      </c>
      <c r="H464" s="4" t="str">
        <f>HYPERLINK("http://141.218.60.56/~jnz1568/getInfo.php?workbook=06_02.xlsx&amp;sheet=A0&amp;row=464&amp;col=8&amp;number=&amp;sourceID=34","")</f>
        <v/>
      </c>
      <c r="I464" s="4" t="str">
        <f>HYPERLINK("http://141.218.60.56/~jnz1568/getInfo.php?workbook=06_02.xlsx&amp;sheet=A0&amp;row=464&amp;col=9&amp;number=&amp;sourceID=34","")</f>
        <v/>
      </c>
      <c r="J464" s="4" t="str">
        <f>HYPERLINK("http://141.218.60.56/~jnz1568/getInfo.php?workbook=06_02.xlsx&amp;sheet=A0&amp;row=464&amp;col=10&amp;number=&amp;sourceID=34","")</f>
        <v/>
      </c>
      <c r="K464" s="4" t="str">
        <f>HYPERLINK("http://141.218.60.56/~jnz1568/getInfo.php?workbook=06_02.xlsx&amp;sheet=A0&amp;row=464&amp;col=11&amp;number=&amp;sourceID=30","")</f>
        <v/>
      </c>
      <c r="L464" s="4" t="str">
        <f>HYPERLINK("http://141.218.60.56/~jnz1568/getInfo.php?workbook=06_02.xlsx&amp;sheet=A0&amp;row=464&amp;col=12&amp;number=&amp;sourceID=30","")</f>
        <v/>
      </c>
      <c r="M464" s="4" t="str">
        <f>HYPERLINK("http://141.218.60.56/~jnz1568/getInfo.php?workbook=06_02.xlsx&amp;sheet=A0&amp;row=464&amp;col=13&amp;number=5.647e-06&amp;sourceID=30","5.647e-06")</f>
        <v>5.647e-06</v>
      </c>
      <c r="N464" s="4" t="str">
        <f>HYPERLINK("http://141.218.60.56/~jnz1568/getInfo.php?workbook=06_02.xlsx&amp;sheet=A0&amp;row=464&amp;col=14&amp;number=&amp;sourceID=30","")</f>
        <v/>
      </c>
      <c r="O464" s="4" t="str">
        <f>HYPERLINK("http://141.218.60.56/~jnz1568/getInfo.php?workbook=06_02.xlsx&amp;sheet=A0&amp;row=464&amp;col=15&amp;number=&amp;sourceID=32","")</f>
        <v/>
      </c>
      <c r="P464" s="4" t="str">
        <f>HYPERLINK("http://141.218.60.56/~jnz1568/getInfo.php?workbook=06_02.xlsx&amp;sheet=A0&amp;row=464&amp;col=16&amp;number=&amp;sourceID=32","")</f>
        <v/>
      </c>
      <c r="Q464" s="4" t="str">
        <f>HYPERLINK("http://141.218.60.56/~jnz1568/getInfo.php?workbook=06_02.xlsx&amp;sheet=A0&amp;row=464&amp;col=17&amp;number=0.0003592&amp;sourceID=32","0.0003592")</f>
        <v>0.0003592</v>
      </c>
      <c r="R464" s="4" t="str">
        <f>HYPERLINK("http://141.218.60.56/~jnz1568/getInfo.php?workbook=06_02.xlsx&amp;sheet=A0&amp;row=464&amp;col=18&amp;number=&amp;sourceID=32","")</f>
        <v/>
      </c>
    </row>
    <row r="465" spans="1:18">
      <c r="A465" s="3">
        <v>6</v>
      </c>
      <c r="B465" s="3">
        <v>2</v>
      </c>
      <c r="C465" s="3">
        <v>35</v>
      </c>
      <c r="D465" s="3">
        <v>6</v>
      </c>
      <c r="E465" s="3">
        <f>((1/(INDEX(E0!J$4:J$52,C465,1)-INDEX(E0!J$4:J$52,D465,1))))*100000000</f>
        <v>0</v>
      </c>
      <c r="F465" s="4" t="str">
        <f>HYPERLINK("http://141.218.60.56/~jnz1568/getInfo.php?workbook=06_02.xlsx&amp;sheet=A0&amp;row=465&amp;col=6&amp;number=&amp;sourceID=27","")</f>
        <v/>
      </c>
      <c r="G465" s="4" t="str">
        <f>HYPERLINK("http://141.218.60.56/~jnz1568/getInfo.php?workbook=06_02.xlsx&amp;sheet=A0&amp;row=465&amp;col=7&amp;number=&amp;sourceID=34","")</f>
        <v/>
      </c>
      <c r="H465" s="4" t="str">
        <f>HYPERLINK("http://141.218.60.56/~jnz1568/getInfo.php?workbook=06_02.xlsx&amp;sheet=A0&amp;row=465&amp;col=8&amp;number=&amp;sourceID=34","")</f>
        <v/>
      </c>
      <c r="I465" s="4" t="str">
        <f>HYPERLINK("http://141.218.60.56/~jnz1568/getInfo.php?workbook=06_02.xlsx&amp;sheet=A0&amp;row=465&amp;col=9&amp;number=&amp;sourceID=34","")</f>
        <v/>
      </c>
      <c r="J465" s="4" t="str">
        <f>HYPERLINK("http://141.218.60.56/~jnz1568/getInfo.php?workbook=06_02.xlsx&amp;sheet=A0&amp;row=465&amp;col=10&amp;number=&amp;sourceID=34","")</f>
        <v/>
      </c>
      <c r="K465" s="4" t="str">
        <f>HYPERLINK("http://141.218.60.56/~jnz1568/getInfo.php?workbook=06_02.xlsx&amp;sheet=A0&amp;row=465&amp;col=11&amp;number=&amp;sourceID=30","")</f>
        <v/>
      </c>
      <c r="L465" s="4" t="str">
        <f>HYPERLINK("http://141.218.60.56/~jnz1568/getInfo.php?workbook=06_02.xlsx&amp;sheet=A0&amp;row=465&amp;col=12&amp;number=8344&amp;sourceID=30","8344")</f>
        <v>8344</v>
      </c>
      <c r="M465" s="4" t="str">
        <f>HYPERLINK("http://141.218.60.56/~jnz1568/getInfo.php?workbook=06_02.xlsx&amp;sheet=A0&amp;row=465&amp;col=13&amp;number=0.0128&amp;sourceID=30","0.0128")</f>
        <v>0.0128</v>
      </c>
      <c r="N465" s="4" t="str">
        <f>HYPERLINK("http://141.218.60.56/~jnz1568/getInfo.php?workbook=06_02.xlsx&amp;sheet=A0&amp;row=465&amp;col=14&amp;number=&amp;sourceID=30","")</f>
        <v/>
      </c>
      <c r="O465" s="4" t="str">
        <f>HYPERLINK("http://141.218.60.56/~jnz1568/getInfo.php?workbook=06_02.xlsx&amp;sheet=A0&amp;row=465&amp;col=15&amp;number=&amp;sourceID=32","")</f>
        <v/>
      </c>
      <c r="P465" s="4" t="str">
        <f>HYPERLINK("http://141.218.60.56/~jnz1568/getInfo.php?workbook=06_02.xlsx&amp;sheet=A0&amp;row=465&amp;col=16&amp;number=65940&amp;sourceID=32","65940")</f>
        <v>65940</v>
      </c>
      <c r="Q465" s="4" t="str">
        <f>HYPERLINK("http://141.218.60.56/~jnz1568/getInfo.php?workbook=06_02.xlsx&amp;sheet=A0&amp;row=465&amp;col=17&amp;number=0.01013&amp;sourceID=32","0.01013")</f>
        <v>0.01013</v>
      </c>
      <c r="R465" s="4" t="str">
        <f>HYPERLINK("http://141.218.60.56/~jnz1568/getInfo.php?workbook=06_02.xlsx&amp;sheet=A0&amp;row=465&amp;col=18&amp;number=&amp;sourceID=32","")</f>
        <v/>
      </c>
    </row>
    <row r="466" spans="1:18">
      <c r="A466" s="3">
        <v>6</v>
      </c>
      <c r="B466" s="3">
        <v>2</v>
      </c>
      <c r="C466" s="3">
        <v>35</v>
      </c>
      <c r="D466" s="3">
        <v>7</v>
      </c>
      <c r="E466" s="3">
        <f>((1/(INDEX(E0!J$4:J$52,C466,1)-INDEX(E0!J$4:J$52,D466,1))))*100000000</f>
        <v>0</v>
      </c>
      <c r="F466" s="4" t="str">
        <f>HYPERLINK("http://141.218.60.56/~jnz1568/getInfo.php?workbook=06_02.xlsx&amp;sheet=A0&amp;row=466&amp;col=6&amp;number=&amp;sourceID=27","")</f>
        <v/>
      </c>
      <c r="G466" s="4" t="str">
        <f>HYPERLINK("http://141.218.60.56/~jnz1568/getInfo.php?workbook=06_02.xlsx&amp;sheet=A0&amp;row=466&amp;col=7&amp;number=&amp;sourceID=34","")</f>
        <v/>
      </c>
      <c r="H466" s="4" t="str">
        <f>HYPERLINK("http://141.218.60.56/~jnz1568/getInfo.php?workbook=06_02.xlsx&amp;sheet=A0&amp;row=466&amp;col=8&amp;number=&amp;sourceID=34","")</f>
        <v/>
      </c>
      <c r="I466" s="4" t="str">
        <f>HYPERLINK("http://141.218.60.56/~jnz1568/getInfo.php?workbook=06_02.xlsx&amp;sheet=A0&amp;row=466&amp;col=9&amp;number=&amp;sourceID=34","")</f>
        <v/>
      </c>
      <c r="J466" s="4" t="str">
        <f>HYPERLINK("http://141.218.60.56/~jnz1568/getInfo.php?workbook=06_02.xlsx&amp;sheet=A0&amp;row=466&amp;col=10&amp;number=&amp;sourceID=34","")</f>
        <v/>
      </c>
      <c r="K466" s="4" t="str">
        <f>HYPERLINK("http://141.218.60.56/~jnz1568/getInfo.php?workbook=06_02.xlsx&amp;sheet=A0&amp;row=466&amp;col=11&amp;number=&amp;sourceID=30","")</f>
        <v/>
      </c>
      <c r="L466" s="4" t="str">
        <f>HYPERLINK("http://141.218.60.56/~jnz1568/getInfo.php?workbook=06_02.xlsx&amp;sheet=A0&amp;row=466&amp;col=12&amp;number=20.07&amp;sourceID=30","20.07")</f>
        <v>20.07</v>
      </c>
      <c r="M466" s="4" t="str">
        <f>HYPERLINK("http://141.218.60.56/~jnz1568/getInfo.php?workbook=06_02.xlsx&amp;sheet=A0&amp;row=466&amp;col=13&amp;number=0.008831&amp;sourceID=30","0.008831")</f>
        <v>0.008831</v>
      </c>
      <c r="N466" s="4" t="str">
        <f>HYPERLINK("http://141.218.60.56/~jnz1568/getInfo.php?workbook=06_02.xlsx&amp;sheet=A0&amp;row=466&amp;col=14&amp;number=&amp;sourceID=30","")</f>
        <v/>
      </c>
      <c r="O466" s="4" t="str">
        <f>HYPERLINK("http://141.218.60.56/~jnz1568/getInfo.php?workbook=06_02.xlsx&amp;sheet=A0&amp;row=466&amp;col=15&amp;number=&amp;sourceID=32","")</f>
        <v/>
      </c>
      <c r="P466" s="4" t="str">
        <f>HYPERLINK("http://141.218.60.56/~jnz1568/getInfo.php?workbook=06_02.xlsx&amp;sheet=A0&amp;row=466&amp;col=16&amp;number=5.13&amp;sourceID=32","5.13")</f>
        <v>5.13</v>
      </c>
      <c r="Q466" s="4" t="str">
        <f>HYPERLINK("http://141.218.60.56/~jnz1568/getInfo.php?workbook=06_02.xlsx&amp;sheet=A0&amp;row=466&amp;col=17&amp;number=0.02148&amp;sourceID=32","0.02148")</f>
        <v>0.02148</v>
      </c>
      <c r="R466" s="4" t="str">
        <f>HYPERLINK("http://141.218.60.56/~jnz1568/getInfo.php?workbook=06_02.xlsx&amp;sheet=A0&amp;row=466&amp;col=18&amp;number=&amp;sourceID=32","")</f>
        <v/>
      </c>
    </row>
    <row r="467" spans="1:18">
      <c r="A467" s="3">
        <v>6</v>
      </c>
      <c r="B467" s="3">
        <v>2</v>
      </c>
      <c r="C467" s="3">
        <v>35</v>
      </c>
      <c r="D467" s="3">
        <v>8</v>
      </c>
      <c r="E467" s="3">
        <f>((1/(INDEX(E0!J$4:J$52,C467,1)-INDEX(E0!J$4:J$52,D467,1))))*100000000</f>
        <v>0</v>
      </c>
      <c r="F467" s="4" t="str">
        <f>HYPERLINK("http://141.218.60.56/~jnz1568/getInfo.php?workbook=06_02.xlsx&amp;sheet=A0&amp;row=467&amp;col=6&amp;number=&amp;sourceID=27","")</f>
        <v/>
      </c>
      <c r="G467" s="4" t="str">
        <f>HYPERLINK("http://141.218.60.56/~jnz1568/getInfo.php?workbook=06_02.xlsx&amp;sheet=A0&amp;row=467&amp;col=7&amp;number=&amp;sourceID=34","")</f>
        <v/>
      </c>
      <c r="H467" s="4" t="str">
        <f>HYPERLINK("http://141.218.60.56/~jnz1568/getInfo.php?workbook=06_02.xlsx&amp;sheet=A0&amp;row=467&amp;col=8&amp;number=&amp;sourceID=34","")</f>
        <v/>
      </c>
      <c r="I467" s="4" t="str">
        <f>HYPERLINK("http://141.218.60.56/~jnz1568/getInfo.php?workbook=06_02.xlsx&amp;sheet=A0&amp;row=467&amp;col=9&amp;number=&amp;sourceID=34","")</f>
        <v/>
      </c>
      <c r="J467" s="4" t="str">
        <f>HYPERLINK("http://141.218.60.56/~jnz1568/getInfo.php?workbook=06_02.xlsx&amp;sheet=A0&amp;row=467&amp;col=10&amp;number=&amp;sourceID=34","")</f>
        <v/>
      </c>
      <c r="K467" s="4" t="str">
        <f>HYPERLINK("http://141.218.60.56/~jnz1568/getInfo.php?workbook=06_02.xlsx&amp;sheet=A0&amp;row=467&amp;col=11&amp;number=846900000&amp;sourceID=30","846900000")</f>
        <v>846900000</v>
      </c>
      <c r="L467" s="4" t="str">
        <f>HYPERLINK("http://141.218.60.56/~jnz1568/getInfo.php?workbook=06_02.xlsx&amp;sheet=A0&amp;row=467&amp;col=12&amp;number=&amp;sourceID=30","")</f>
        <v/>
      </c>
      <c r="M467" s="4" t="str">
        <f>HYPERLINK("http://141.218.60.56/~jnz1568/getInfo.php?workbook=06_02.xlsx&amp;sheet=A0&amp;row=467&amp;col=13&amp;number=&amp;sourceID=30","")</f>
        <v/>
      </c>
      <c r="N467" s="4" t="str">
        <f>HYPERLINK("http://141.218.60.56/~jnz1568/getInfo.php?workbook=06_02.xlsx&amp;sheet=A0&amp;row=467&amp;col=14&amp;number=0.1374&amp;sourceID=30","0.1374")</f>
        <v>0.1374</v>
      </c>
      <c r="O467" s="4" t="str">
        <f>HYPERLINK("http://141.218.60.56/~jnz1568/getInfo.php?workbook=06_02.xlsx&amp;sheet=A0&amp;row=467&amp;col=15&amp;number=948100000&amp;sourceID=32","948100000")</f>
        <v>948100000</v>
      </c>
      <c r="P467" s="4" t="str">
        <f>HYPERLINK("http://141.218.60.56/~jnz1568/getInfo.php?workbook=06_02.xlsx&amp;sheet=A0&amp;row=467&amp;col=16&amp;number=&amp;sourceID=32","")</f>
        <v/>
      </c>
      <c r="Q467" s="4" t="str">
        <f>HYPERLINK("http://141.218.60.56/~jnz1568/getInfo.php?workbook=06_02.xlsx&amp;sheet=A0&amp;row=467&amp;col=17&amp;number=&amp;sourceID=32","")</f>
        <v/>
      </c>
      <c r="R467" s="4" t="str">
        <f>HYPERLINK("http://141.218.60.56/~jnz1568/getInfo.php?workbook=06_02.xlsx&amp;sheet=A0&amp;row=467&amp;col=18&amp;number=0.154&amp;sourceID=32","0.154")</f>
        <v>0.154</v>
      </c>
    </row>
    <row r="468" spans="1:18">
      <c r="A468" s="3">
        <v>6</v>
      </c>
      <c r="B468" s="3">
        <v>2</v>
      </c>
      <c r="C468" s="3">
        <v>35</v>
      </c>
      <c r="D468" s="3">
        <v>9</v>
      </c>
      <c r="E468" s="3">
        <f>((1/(INDEX(E0!J$4:J$52,C468,1)-INDEX(E0!J$4:J$52,D468,1))))*100000000</f>
        <v>0</v>
      </c>
      <c r="F468" s="4" t="str">
        <f>HYPERLINK("http://141.218.60.56/~jnz1568/getInfo.php?workbook=06_02.xlsx&amp;sheet=A0&amp;row=468&amp;col=6&amp;number=&amp;sourceID=27","")</f>
        <v/>
      </c>
      <c r="G468" s="4" t="str">
        <f>HYPERLINK("http://141.218.60.56/~jnz1568/getInfo.php?workbook=06_02.xlsx&amp;sheet=A0&amp;row=468&amp;col=7&amp;number=&amp;sourceID=34","")</f>
        <v/>
      </c>
      <c r="H468" s="4" t="str">
        <f>HYPERLINK("http://141.218.60.56/~jnz1568/getInfo.php?workbook=06_02.xlsx&amp;sheet=A0&amp;row=468&amp;col=8&amp;number=&amp;sourceID=34","")</f>
        <v/>
      </c>
      <c r="I468" s="4" t="str">
        <f>HYPERLINK("http://141.218.60.56/~jnz1568/getInfo.php?workbook=06_02.xlsx&amp;sheet=A0&amp;row=468&amp;col=9&amp;number=&amp;sourceID=34","")</f>
        <v/>
      </c>
      <c r="J468" s="4" t="str">
        <f>HYPERLINK("http://141.218.60.56/~jnz1568/getInfo.php?workbook=06_02.xlsx&amp;sheet=A0&amp;row=468&amp;col=10&amp;number=&amp;sourceID=34","")</f>
        <v/>
      </c>
      <c r="K468" s="4" t="str">
        <f>HYPERLINK("http://141.218.60.56/~jnz1568/getInfo.php?workbook=06_02.xlsx&amp;sheet=A0&amp;row=468&amp;col=11&amp;number=38640&amp;sourceID=30","38640")</f>
        <v>38640</v>
      </c>
      <c r="L468" s="4" t="str">
        <f>HYPERLINK("http://141.218.60.56/~jnz1568/getInfo.php?workbook=06_02.xlsx&amp;sheet=A0&amp;row=468&amp;col=12&amp;number=&amp;sourceID=30","")</f>
        <v/>
      </c>
      <c r="M468" s="4" t="str">
        <f>HYPERLINK("http://141.218.60.56/~jnz1568/getInfo.php?workbook=06_02.xlsx&amp;sheet=A0&amp;row=468&amp;col=13&amp;number=&amp;sourceID=30","")</f>
        <v/>
      </c>
      <c r="N468" s="4" t="str">
        <f>HYPERLINK("http://141.218.60.56/~jnz1568/getInfo.php?workbook=06_02.xlsx&amp;sheet=A0&amp;row=468&amp;col=14&amp;number=&amp;sourceID=30","")</f>
        <v/>
      </c>
      <c r="O468" s="4" t="str">
        <f>HYPERLINK("http://141.218.60.56/~jnz1568/getInfo.php?workbook=06_02.xlsx&amp;sheet=A0&amp;row=468&amp;col=15&amp;number=34000&amp;sourceID=32","34000")</f>
        <v>34000</v>
      </c>
      <c r="P468" s="4" t="str">
        <f>HYPERLINK("http://141.218.60.56/~jnz1568/getInfo.php?workbook=06_02.xlsx&amp;sheet=A0&amp;row=468&amp;col=16&amp;number=&amp;sourceID=32","")</f>
        <v/>
      </c>
      <c r="Q468" s="4" t="str">
        <f>HYPERLINK("http://141.218.60.56/~jnz1568/getInfo.php?workbook=06_02.xlsx&amp;sheet=A0&amp;row=468&amp;col=17&amp;number=&amp;sourceID=32","")</f>
        <v/>
      </c>
      <c r="R468" s="4" t="str">
        <f>HYPERLINK("http://141.218.60.56/~jnz1568/getInfo.php?workbook=06_02.xlsx&amp;sheet=A0&amp;row=468&amp;col=18&amp;number=&amp;sourceID=32","")</f>
        <v/>
      </c>
    </row>
    <row r="469" spans="1:18">
      <c r="A469" s="3">
        <v>6</v>
      </c>
      <c r="B469" s="3">
        <v>2</v>
      </c>
      <c r="C469" s="3">
        <v>35</v>
      </c>
      <c r="D469" s="3">
        <v>10</v>
      </c>
      <c r="E469" s="3">
        <f>((1/(INDEX(E0!J$4:J$52,C469,1)-INDEX(E0!J$4:J$52,D469,1))))*100000000</f>
        <v>0</v>
      </c>
      <c r="F469" s="4" t="str">
        <f>HYPERLINK("http://141.218.60.56/~jnz1568/getInfo.php?workbook=06_02.xlsx&amp;sheet=A0&amp;row=469&amp;col=6&amp;number=&amp;sourceID=27","")</f>
        <v/>
      </c>
      <c r="G469" s="4" t="str">
        <f>HYPERLINK("http://141.218.60.56/~jnz1568/getInfo.php?workbook=06_02.xlsx&amp;sheet=A0&amp;row=469&amp;col=7&amp;number=&amp;sourceID=34","")</f>
        <v/>
      </c>
      <c r="H469" s="4" t="str">
        <f>HYPERLINK("http://141.218.60.56/~jnz1568/getInfo.php?workbook=06_02.xlsx&amp;sheet=A0&amp;row=469&amp;col=8&amp;number=&amp;sourceID=34","")</f>
        <v/>
      </c>
      <c r="I469" s="4" t="str">
        <f>HYPERLINK("http://141.218.60.56/~jnz1568/getInfo.php?workbook=06_02.xlsx&amp;sheet=A0&amp;row=469&amp;col=9&amp;number=&amp;sourceID=34","")</f>
        <v/>
      </c>
      <c r="J469" s="4" t="str">
        <f>HYPERLINK("http://141.218.60.56/~jnz1568/getInfo.php?workbook=06_02.xlsx&amp;sheet=A0&amp;row=469&amp;col=10&amp;number=&amp;sourceID=34","")</f>
        <v/>
      </c>
      <c r="K469" s="4" t="str">
        <f>HYPERLINK("http://141.218.60.56/~jnz1568/getInfo.php?workbook=06_02.xlsx&amp;sheet=A0&amp;row=469&amp;col=11&amp;number=&amp;sourceID=30","")</f>
        <v/>
      </c>
      <c r="L469" s="4" t="str">
        <f>HYPERLINK("http://141.218.60.56/~jnz1568/getInfo.php?workbook=06_02.xlsx&amp;sheet=A0&amp;row=469&amp;col=12&amp;number=4581&amp;sourceID=30","4581")</f>
        <v>4581</v>
      </c>
      <c r="M469" s="4" t="str">
        <f>HYPERLINK("http://141.218.60.56/~jnz1568/getInfo.php?workbook=06_02.xlsx&amp;sheet=A0&amp;row=469&amp;col=13&amp;number=0.000224&amp;sourceID=30","0.000224")</f>
        <v>0.000224</v>
      </c>
      <c r="N469" s="4" t="str">
        <f>HYPERLINK("http://141.218.60.56/~jnz1568/getInfo.php?workbook=06_02.xlsx&amp;sheet=A0&amp;row=469&amp;col=14&amp;number=&amp;sourceID=30","")</f>
        <v/>
      </c>
      <c r="O469" s="4" t="str">
        <f>HYPERLINK("http://141.218.60.56/~jnz1568/getInfo.php?workbook=06_02.xlsx&amp;sheet=A0&amp;row=469&amp;col=15&amp;number=&amp;sourceID=32","")</f>
        <v/>
      </c>
      <c r="P469" s="4" t="str">
        <f>HYPERLINK("http://141.218.60.56/~jnz1568/getInfo.php?workbook=06_02.xlsx&amp;sheet=A0&amp;row=469&amp;col=16&amp;number=5884&amp;sourceID=32","5884")</f>
        <v>5884</v>
      </c>
      <c r="Q469" s="4" t="str">
        <f>HYPERLINK("http://141.218.60.56/~jnz1568/getInfo.php?workbook=06_02.xlsx&amp;sheet=A0&amp;row=469&amp;col=17&amp;number=0.0002334&amp;sourceID=32","0.0002334")</f>
        <v>0.0002334</v>
      </c>
      <c r="R469" s="4" t="str">
        <f>HYPERLINK("http://141.218.60.56/~jnz1568/getInfo.php?workbook=06_02.xlsx&amp;sheet=A0&amp;row=469&amp;col=18&amp;number=&amp;sourceID=32","")</f>
        <v/>
      </c>
    </row>
    <row r="470" spans="1:18">
      <c r="A470" s="3">
        <v>6</v>
      </c>
      <c r="B470" s="3">
        <v>2</v>
      </c>
      <c r="C470" s="3">
        <v>35</v>
      </c>
      <c r="D470" s="3">
        <v>11</v>
      </c>
      <c r="E470" s="3">
        <f>((1/(INDEX(E0!J$4:J$52,C470,1)-INDEX(E0!J$4:J$52,D470,1))))*100000000</f>
        <v>0</v>
      </c>
      <c r="F470" s="4" t="str">
        <f>HYPERLINK("http://141.218.60.56/~jnz1568/getInfo.php?workbook=06_02.xlsx&amp;sheet=A0&amp;row=470&amp;col=6&amp;number=&amp;sourceID=27","")</f>
        <v/>
      </c>
      <c r="G470" s="4" t="str">
        <f>HYPERLINK("http://141.218.60.56/~jnz1568/getInfo.php?workbook=06_02.xlsx&amp;sheet=A0&amp;row=470&amp;col=7&amp;number=&amp;sourceID=34","")</f>
        <v/>
      </c>
      <c r="H470" s="4" t="str">
        <f>HYPERLINK("http://141.218.60.56/~jnz1568/getInfo.php?workbook=06_02.xlsx&amp;sheet=A0&amp;row=470&amp;col=8&amp;number=&amp;sourceID=34","")</f>
        <v/>
      </c>
      <c r="I470" s="4" t="str">
        <f>HYPERLINK("http://141.218.60.56/~jnz1568/getInfo.php?workbook=06_02.xlsx&amp;sheet=A0&amp;row=470&amp;col=9&amp;number=&amp;sourceID=34","")</f>
        <v/>
      </c>
      <c r="J470" s="4" t="str">
        <f>HYPERLINK("http://141.218.60.56/~jnz1568/getInfo.php?workbook=06_02.xlsx&amp;sheet=A0&amp;row=470&amp;col=10&amp;number=&amp;sourceID=34","")</f>
        <v/>
      </c>
      <c r="K470" s="4" t="str">
        <f>HYPERLINK("http://141.218.60.56/~jnz1568/getInfo.php?workbook=06_02.xlsx&amp;sheet=A0&amp;row=470&amp;col=11&amp;number=&amp;sourceID=30","")</f>
        <v/>
      </c>
      <c r="L470" s="4" t="str">
        <f>HYPERLINK("http://141.218.60.56/~jnz1568/getInfo.php?workbook=06_02.xlsx&amp;sheet=A0&amp;row=470&amp;col=12&amp;number=&amp;sourceID=30","")</f>
        <v/>
      </c>
      <c r="M470" s="4" t="str">
        <f>HYPERLINK("http://141.218.60.56/~jnz1568/getInfo.php?workbook=06_02.xlsx&amp;sheet=A0&amp;row=470&amp;col=13&amp;number=3.03e-06&amp;sourceID=30","3.03e-06")</f>
        <v>3.03e-06</v>
      </c>
      <c r="N470" s="4" t="str">
        <f>HYPERLINK("http://141.218.60.56/~jnz1568/getInfo.php?workbook=06_02.xlsx&amp;sheet=A0&amp;row=470&amp;col=14&amp;number=&amp;sourceID=30","")</f>
        <v/>
      </c>
      <c r="O470" s="4" t="str">
        <f>HYPERLINK("http://141.218.60.56/~jnz1568/getInfo.php?workbook=06_02.xlsx&amp;sheet=A0&amp;row=470&amp;col=15&amp;number=&amp;sourceID=32","")</f>
        <v/>
      </c>
      <c r="P470" s="4" t="str">
        <f>HYPERLINK("http://141.218.60.56/~jnz1568/getInfo.php?workbook=06_02.xlsx&amp;sheet=A0&amp;row=470&amp;col=16&amp;number=&amp;sourceID=32","")</f>
        <v/>
      </c>
      <c r="Q470" s="4" t="str">
        <f>HYPERLINK("http://141.218.60.56/~jnz1568/getInfo.php?workbook=06_02.xlsx&amp;sheet=A0&amp;row=470&amp;col=17&amp;number=7.296e-06&amp;sourceID=32","7.296e-06")</f>
        <v>7.296e-06</v>
      </c>
      <c r="R470" s="4" t="str">
        <f>HYPERLINK("http://141.218.60.56/~jnz1568/getInfo.php?workbook=06_02.xlsx&amp;sheet=A0&amp;row=470&amp;col=18&amp;number=&amp;sourceID=32","")</f>
        <v/>
      </c>
    </row>
    <row r="471" spans="1:18">
      <c r="A471" s="3">
        <v>6</v>
      </c>
      <c r="B471" s="3">
        <v>2</v>
      </c>
      <c r="C471" s="3">
        <v>35</v>
      </c>
      <c r="D471" s="3">
        <v>12</v>
      </c>
      <c r="E471" s="3">
        <f>((1/(INDEX(E0!J$4:J$52,C471,1)-INDEX(E0!J$4:J$52,D471,1))))*100000000</f>
        <v>0</v>
      </c>
      <c r="F471" s="4" t="str">
        <f>HYPERLINK("http://141.218.60.56/~jnz1568/getInfo.php?workbook=06_02.xlsx&amp;sheet=A0&amp;row=471&amp;col=6&amp;number=&amp;sourceID=27","")</f>
        <v/>
      </c>
      <c r="G471" s="4" t="str">
        <f>HYPERLINK("http://141.218.60.56/~jnz1568/getInfo.php?workbook=06_02.xlsx&amp;sheet=A0&amp;row=471&amp;col=7&amp;number=&amp;sourceID=34","")</f>
        <v/>
      </c>
      <c r="H471" s="4" t="str">
        <f>HYPERLINK("http://141.218.60.56/~jnz1568/getInfo.php?workbook=06_02.xlsx&amp;sheet=A0&amp;row=471&amp;col=8&amp;number=&amp;sourceID=34","")</f>
        <v/>
      </c>
      <c r="I471" s="4" t="str">
        <f>HYPERLINK("http://141.218.60.56/~jnz1568/getInfo.php?workbook=06_02.xlsx&amp;sheet=A0&amp;row=471&amp;col=9&amp;number=&amp;sourceID=34","")</f>
        <v/>
      </c>
      <c r="J471" s="4" t="str">
        <f>HYPERLINK("http://141.218.60.56/~jnz1568/getInfo.php?workbook=06_02.xlsx&amp;sheet=A0&amp;row=471&amp;col=10&amp;number=&amp;sourceID=34","")</f>
        <v/>
      </c>
      <c r="K471" s="4" t="str">
        <f>HYPERLINK("http://141.218.60.56/~jnz1568/getInfo.php?workbook=06_02.xlsx&amp;sheet=A0&amp;row=471&amp;col=11&amp;number=&amp;sourceID=30","")</f>
        <v/>
      </c>
      <c r="L471" s="4" t="str">
        <f>HYPERLINK("http://141.218.60.56/~jnz1568/getInfo.php?workbook=06_02.xlsx&amp;sheet=A0&amp;row=471&amp;col=12&amp;number=13720&amp;sourceID=30","13720")</f>
        <v>13720</v>
      </c>
      <c r="M471" s="4" t="str">
        <f>HYPERLINK("http://141.218.60.56/~jnz1568/getInfo.php?workbook=06_02.xlsx&amp;sheet=A0&amp;row=471&amp;col=13&amp;number=0.0014&amp;sourceID=30","0.0014")</f>
        <v>0.0014</v>
      </c>
      <c r="N471" s="4" t="str">
        <f>HYPERLINK("http://141.218.60.56/~jnz1568/getInfo.php?workbook=06_02.xlsx&amp;sheet=A0&amp;row=471&amp;col=14&amp;number=&amp;sourceID=30","")</f>
        <v/>
      </c>
      <c r="O471" s="4" t="str">
        <f>HYPERLINK("http://141.218.60.56/~jnz1568/getInfo.php?workbook=06_02.xlsx&amp;sheet=A0&amp;row=471&amp;col=15&amp;number=&amp;sourceID=32","")</f>
        <v/>
      </c>
      <c r="P471" s="4" t="str">
        <f>HYPERLINK("http://141.218.60.56/~jnz1568/getInfo.php?workbook=06_02.xlsx&amp;sheet=A0&amp;row=471&amp;col=16&amp;number=17650&amp;sourceID=32","17650")</f>
        <v>17650</v>
      </c>
      <c r="Q471" s="4" t="str">
        <f>HYPERLINK("http://141.218.60.56/~jnz1568/getInfo.php?workbook=06_02.xlsx&amp;sheet=A0&amp;row=471&amp;col=17&amp;number=0.001288&amp;sourceID=32","0.001288")</f>
        <v>0.001288</v>
      </c>
      <c r="R471" s="4" t="str">
        <f>HYPERLINK("http://141.218.60.56/~jnz1568/getInfo.php?workbook=06_02.xlsx&amp;sheet=A0&amp;row=471&amp;col=18&amp;number=&amp;sourceID=32","")</f>
        <v/>
      </c>
    </row>
    <row r="472" spans="1:18">
      <c r="A472" s="3">
        <v>6</v>
      </c>
      <c r="B472" s="3">
        <v>2</v>
      </c>
      <c r="C472" s="3">
        <v>35</v>
      </c>
      <c r="D472" s="3">
        <v>13</v>
      </c>
      <c r="E472" s="3">
        <f>((1/(INDEX(E0!J$4:J$52,C472,1)-INDEX(E0!J$4:J$52,D472,1))))*100000000</f>
        <v>0</v>
      </c>
      <c r="F472" s="4" t="str">
        <f>HYPERLINK("http://141.218.60.56/~jnz1568/getInfo.php?workbook=06_02.xlsx&amp;sheet=A0&amp;row=472&amp;col=6&amp;number=&amp;sourceID=27","")</f>
        <v/>
      </c>
      <c r="G472" s="4" t="str">
        <f>HYPERLINK("http://141.218.60.56/~jnz1568/getInfo.php?workbook=06_02.xlsx&amp;sheet=A0&amp;row=472&amp;col=7&amp;number=&amp;sourceID=34","")</f>
        <v/>
      </c>
      <c r="H472" s="4" t="str">
        <f>HYPERLINK("http://141.218.60.56/~jnz1568/getInfo.php?workbook=06_02.xlsx&amp;sheet=A0&amp;row=472&amp;col=8&amp;number=&amp;sourceID=34","")</f>
        <v/>
      </c>
      <c r="I472" s="4" t="str">
        <f>HYPERLINK("http://141.218.60.56/~jnz1568/getInfo.php?workbook=06_02.xlsx&amp;sheet=A0&amp;row=472&amp;col=9&amp;number=&amp;sourceID=34","")</f>
        <v/>
      </c>
      <c r="J472" s="4" t="str">
        <f>HYPERLINK("http://141.218.60.56/~jnz1568/getInfo.php?workbook=06_02.xlsx&amp;sheet=A0&amp;row=472&amp;col=10&amp;number=&amp;sourceID=34","")</f>
        <v/>
      </c>
      <c r="K472" s="4" t="str">
        <f>HYPERLINK("http://141.218.60.56/~jnz1568/getInfo.php?workbook=06_02.xlsx&amp;sheet=A0&amp;row=472&amp;col=11&amp;number=29660000&amp;sourceID=30","29660000")</f>
        <v>29660000</v>
      </c>
      <c r="L472" s="4" t="str">
        <f>HYPERLINK("http://141.218.60.56/~jnz1568/getInfo.php?workbook=06_02.xlsx&amp;sheet=A0&amp;row=472&amp;col=12&amp;number=&amp;sourceID=30","")</f>
        <v/>
      </c>
      <c r="M472" s="4" t="str">
        <f>HYPERLINK("http://141.218.60.56/~jnz1568/getInfo.php?workbook=06_02.xlsx&amp;sheet=A0&amp;row=472&amp;col=13&amp;number=&amp;sourceID=30","")</f>
        <v/>
      </c>
      <c r="N472" s="4" t="str">
        <f>HYPERLINK("http://141.218.60.56/~jnz1568/getInfo.php?workbook=06_02.xlsx&amp;sheet=A0&amp;row=472&amp;col=14&amp;number=0.0006638&amp;sourceID=30","0.0006638")</f>
        <v>0.0006638</v>
      </c>
      <c r="O472" s="4" t="str">
        <f>HYPERLINK("http://141.218.60.56/~jnz1568/getInfo.php?workbook=06_02.xlsx&amp;sheet=A0&amp;row=472&amp;col=15&amp;number=31270000&amp;sourceID=32","31270000")</f>
        <v>31270000</v>
      </c>
      <c r="P472" s="4" t="str">
        <f>HYPERLINK("http://141.218.60.56/~jnz1568/getInfo.php?workbook=06_02.xlsx&amp;sheet=A0&amp;row=472&amp;col=16&amp;number=&amp;sourceID=32","")</f>
        <v/>
      </c>
      <c r="Q472" s="4" t="str">
        <f>HYPERLINK("http://141.218.60.56/~jnz1568/getInfo.php?workbook=06_02.xlsx&amp;sheet=A0&amp;row=472&amp;col=17&amp;number=&amp;sourceID=32","")</f>
        <v/>
      </c>
      <c r="R472" s="4" t="str">
        <f>HYPERLINK("http://141.218.60.56/~jnz1568/getInfo.php?workbook=06_02.xlsx&amp;sheet=A0&amp;row=472&amp;col=18&amp;number=0.0006958&amp;sourceID=32","0.0006958")</f>
        <v>0.0006958</v>
      </c>
    </row>
    <row r="473" spans="1:18">
      <c r="A473" s="3">
        <v>6</v>
      </c>
      <c r="B473" s="3">
        <v>2</v>
      </c>
      <c r="C473" s="3">
        <v>35</v>
      </c>
      <c r="D473" s="3">
        <v>14</v>
      </c>
      <c r="E473" s="3">
        <f>((1/(INDEX(E0!J$4:J$52,C473,1)-INDEX(E0!J$4:J$52,D473,1))))*100000000</f>
        <v>0</v>
      </c>
      <c r="F473" s="4" t="str">
        <f>HYPERLINK("http://141.218.60.56/~jnz1568/getInfo.php?workbook=06_02.xlsx&amp;sheet=A0&amp;row=473&amp;col=6&amp;number=&amp;sourceID=27","")</f>
        <v/>
      </c>
      <c r="G473" s="4" t="str">
        <f>HYPERLINK("http://141.218.60.56/~jnz1568/getInfo.php?workbook=06_02.xlsx&amp;sheet=A0&amp;row=473&amp;col=7&amp;number=&amp;sourceID=34","")</f>
        <v/>
      </c>
      <c r="H473" s="4" t="str">
        <f>HYPERLINK("http://141.218.60.56/~jnz1568/getInfo.php?workbook=06_02.xlsx&amp;sheet=A0&amp;row=473&amp;col=8&amp;number=&amp;sourceID=34","")</f>
        <v/>
      </c>
      <c r="I473" s="4" t="str">
        <f>HYPERLINK("http://141.218.60.56/~jnz1568/getInfo.php?workbook=06_02.xlsx&amp;sheet=A0&amp;row=473&amp;col=9&amp;number=&amp;sourceID=34","")</f>
        <v/>
      </c>
      <c r="J473" s="4" t="str">
        <f>HYPERLINK("http://141.218.60.56/~jnz1568/getInfo.php?workbook=06_02.xlsx&amp;sheet=A0&amp;row=473&amp;col=10&amp;number=&amp;sourceID=34","")</f>
        <v/>
      </c>
      <c r="K473" s="4" t="str">
        <f>HYPERLINK("http://141.218.60.56/~jnz1568/getInfo.php?workbook=06_02.xlsx&amp;sheet=A0&amp;row=473&amp;col=11&amp;number=88600000&amp;sourceID=30","88600000")</f>
        <v>88600000</v>
      </c>
      <c r="L473" s="4" t="str">
        <f>HYPERLINK("http://141.218.60.56/~jnz1568/getInfo.php?workbook=06_02.xlsx&amp;sheet=A0&amp;row=473&amp;col=12&amp;number=&amp;sourceID=30","")</f>
        <v/>
      </c>
      <c r="M473" s="4" t="str">
        <f>HYPERLINK("http://141.218.60.56/~jnz1568/getInfo.php?workbook=06_02.xlsx&amp;sheet=A0&amp;row=473&amp;col=13&amp;number=&amp;sourceID=30","")</f>
        <v/>
      </c>
      <c r="N473" s="4" t="str">
        <f>HYPERLINK("http://141.218.60.56/~jnz1568/getInfo.php?workbook=06_02.xlsx&amp;sheet=A0&amp;row=473&amp;col=14&amp;number=0.01557&amp;sourceID=30","0.01557")</f>
        <v>0.01557</v>
      </c>
      <c r="O473" s="4" t="str">
        <f>HYPERLINK("http://141.218.60.56/~jnz1568/getInfo.php?workbook=06_02.xlsx&amp;sheet=A0&amp;row=473&amp;col=15&amp;number=93410000&amp;sourceID=32","93410000")</f>
        <v>93410000</v>
      </c>
      <c r="P473" s="4" t="str">
        <f>HYPERLINK("http://141.218.60.56/~jnz1568/getInfo.php?workbook=06_02.xlsx&amp;sheet=A0&amp;row=473&amp;col=16&amp;number=&amp;sourceID=32","")</f>
        <v/>
      </c>
      <c r="Q473" s="4" t="str">
        <f>HYPERLINK("http://141.218.60.56/~jnz1568/getInfo.php?workbook=06_02.xlsx&amp;sheet=A0&amp;row=473&amp;col=17&amp;number=&amp;sourceID=32","")</f>
        <v/>
      </c>
      <c r="R473" s="4" t="str">
        <f>HYPERLINK("http://141.218.60.56/~jnz1568/getInfo.php?workbook=06_02.xlsx&amp;sheet=A0&amp;row=473&amp;col=18&amp;number=0.01615&amp;sourceID=32","0.01615")</f>
        <v>0.01615</v>
      </c>
    </row>
    <row r="474" spans="1:18">
      <c r="A474" s="3">
        <v>6</v>
      </c>
      <c r="B474" s="3">
        <v>2</v>
      </c>
      <c r="C474" s="3">
        <v>35</v>
      </c>
      <c r="D474" s="3">
        <v>15</v>
      </c>
      <c r="E474" s="3">
        <f>((1/(INDEX(E0!J$4:J$52,C474,1)-INDEX(E0!J$4:J$52,D474,1))))*100000000</f>
        <v>0</v>
      </c>
      <c r="F474" s="4" t="str">
        <f>HYPERLINK("http://141.218.60.56/~jnz1568/getInfo.php?workbook=06_02.xlsx&amp;sheet=A0&amp;row=474&amp;col=6&amp;number=&amp;sourceID=27","")</f>
        <v/>
      </c>
      <c r="G474" s="4" t="str">
        <f>HYPERLINK("http://141.218.60.56/~jnz1568/getInfo.php?workbook=06_02.xlsx&amp;sheet=A0&amp;row=474&amp;col=7&amp;number=&amp;sourceID=34","")</f>
        <v/>
      </c>
      <c r="H474" s="4" t="str">
        <f>HYPERLINK("http://141.218.60.56/~jnz1568/getInfo.php?workbook=06_02.xlsx&amp;sheet=A0&amp;row=474&amp;col=8&amp;number=&amp;sourceID=34","")</f>
        <v/>
      </c>
      <c r="I474" s="4" t="str">
        <f>HYPERLINK("http://141.218.60.56/~jnz1568/getInfo.php?workbook=06_02.xlsx&amp;sheet=A0&amp;row=474&amp;col=9&amp;number=&amp;sourceID=34","")</f>
        <v/>
      </c>
      <c r="J474" s="4" t="str">
        <f>HYPERLINK("http://141.218.60.56/~jnz1568/getInfo.php?workbook=06_02.xlsx&amp;sheet=A0&amp;row=474&amp;col=10&amp;number=&amp;sourceID=34","")</f>
        <v/>
      </c>
      <c r="K474" s="4" t="str">
        <f>HYPERLINK("http://141.218.60.56/~jnz1568/getInfo.php?workbook=06_02.xlsx&amp;sheet=A0&amp;row=474&amp;col=11&amp;number=&amp;sourceID=30","")</f>
        <v/>
      </c>
      <c r="L474" s="4" t="str">
        <f>HYPERLINK("http://141.218.60.56/~jnz1568/getInfo.php?workbook=06_02.xlsx&amp;sheet=A0&amp;row=474&amp;col=12&amp;number=&amp;sourceID=30","")</f>
        <v/>
      </c>
      <c r="M474" s="4" t="str">
        <f>HYPERLINK("http://141.218.60.56/~jnz1568/getInfo.php?workbook=06_02.xlsx&amp;sheet=A0&amp;row=474&amp;col=13&amp;number=&amp;sourceID=30","")</f>
        <v/>
      </c>
      <c r="N474" s="4" t="str">
        <f>HYPERLINK("http://141.218.60.56/~jnz1568/getInfo.php?workbook=06_02.xlsx&amp;sheet=A0&amp;row=474&amp;col=14&amp;number=0.001603&amp;sourceID=30","0.001603")</f>
        <v>0.001603</v>
      </c>
      <c r="O474" s="4" t="str">
        <f>HYPERLINK("http://141.218.60.56/~jnz1568/getInfo.php?workbook=06_02.xlsx&amp;sheet=A0&amp;row=474&amp;col=15&amp;number=&amp;sourceID=32","")</f>
        <v/>
      </c>
      <c r="P474" s="4" t="str">
        <f>HYPERLINK("http://141.218.60.56/~jnz1568/getInfo.php?workbook=06_02.xlsx&amp;sheet=A0&amp;row=474&amp;col=16&amp;number=&amp;sourceID=32","")</f>
        <v/>
      </c>
      <c r="Q474" s="4" t="str">
        <f>HYPERLINK("http://141.218.60.56/~jnz1568/getInfo.php?workbook=06_02.xlsx&amp;sheet=A0&amp;row=474&amp;col=17&amp;number=&amp;sourceID=32","")</f>
        <v/>
      </c>
      <c r="R474" s="4" t="str">
        <f>HYPERLINK("http://141.218.60.56/~jnz1568/getInfo.php?workbook=06_02.xlsx&amp;sheet=A0&amp;row=474&amp;col=18&amp;number=0.001702&amp;sourceID=32","0.001702")</f>
        <v>0.001702</v>
      </c>
    </row>
    <row r="475" spans="1:18">
      <c r="A475" s="3">
        <v>6</v>
      </c>
      <c r="B475" s="3">
        <v>2</v>
      </c>
      <c r="C475" s="3">
        <v>35</v>
      </c>
      <c r="D475" s="3">
        <v>16</v>
      </c>
      <c r="E475" s="3">
        <f>((1/(INDEX(E0!J$4:J$52,C475,1)-INDEX(E0!J$4:J$52,D475,1))))*100000000</f>
        <v>0</v>
      </c>
      <c r="F475" s="4" t="str">
        <f>HYPERLINK("http://141.218.60.56/~jnz1568/getInfo.php?workbook=06_02.xlsx&amp;sheet=A0&amp;row=475&amp;col=6&amp;number=&amp;sourceID=27","")</f>
        <v/>
      </c>
      <c r="G475" s="4" t="str">
        <f>HYPERLINK("http://141.218.60.56/~jnz1568/getInfo.php?workbook=06_02.xlsx&amp;sheet=A0&amp;row=475&amp;col=7&amp;number=&amp;sourceID=34","")</f>
        <v/>
      </c>
      <c r="H475" s="4" t="str">
        <f>HYPERLINK("http://141.218.60.56/~jnz1568/getInfo.php?workbook=06_02.xlsx&amp;sheet=A0&amp;row=475&amp;col=8&amp;number=&amp;sourceID=34","")</f>
        <v/>
      </c>
      <c r="I475" s="4" t="str">
        <f>HYPERLINK("http://141.218.60.56/~jnz1568/getInfo.php?workbook=06_02.xlsx&amp;sheet=A0&amp;row=475&amp;col=9&amp;number=&amp;sourceID=34","")</f>
        <v/>
      </c>
      <c r="J475" s="4" t="str">
        <f>HYPERLINK("http://141.218.60.56/~jnz1568/getInfo.php?workbook=06_02.xlsx&amp;sheet=A0&amp;row=475&amp;col=10&amp;number=&amp;sourceID=34","")</f>
        <v/>
      </c>
      <c r="K475" s="4" t="str">
        <f>HYPERLINK("http://141.218.60.56/~jnz1568/getInfo.php?workbook=06_02.xlsx&amp;sheet=A0&amp;row=475&amp;col=11&amp;number=222800&amp;sourceID=30","222800")</f>
        <v>222800</v>
      </c>
      <c r="L475" s="4" t="str">
        <f>HYPERLINK("http://141.218.60.56/~jnz1568/getInfo.php?workbook=06_02.xlsx&amp;sheet=A0&amp;row=475&amp;col=12&amp;number=&amp;sourceID=30","")</f>
        <v/>
      </c>
      <c r="M475" s="4" t="str">
        <f>HYPERLINK("http://141.218.60.56/~jnz1568/getInfo.php?workbook=06_02.xlsx&amp;sheet=A0&amp;row=475&amp;col=13&amp;number=&amp;sourceID=30","")</f>
        <v/>
      </c>
      <c r="N475" s="4" t="str">
        <f>HYPERLINK("http://141.218.60.56/~jnz1568/getInfo.php?workbook=06_02.xlsx&amp;sheet=A0&amp;row=475&amp;col=14&amp;number=0.01754&amp;sourceID=30","0.01754")</f>
        <v>0.01754</v>
      </c>
      <c r="O475" s="4" t="str">
        <f>HYPERLINK("http://141.218.60.56/~jnz1568/getInfo.php?workbook=06_02.xlsx&amp;sheet=A0&amp;row=475&amp;col=15&amp;number=327600&amp;sourceID=32","327600")</f>
        <v>327600</v>
      </c>
      <c r="P475" s="4" t="str">
        <f>HYPERLINK("http://141.218.60.56/~jnz1568/getInfo.php?workbook=06_02.xlsx&amp;sheet=A0&amp;row=475&amp;col=16&amp;number=&amp;sourceID=32","")</f>
        <v/>
      </c>
      <c r="Q475" s="4" t="str">
        <f>HYPERLINK("http://141.218.60.56/~jnz1568/getInfo.php?workbook=06_02.xlsx&amp;sheet=A0&amp;row=475&amp;col=17&amp;number=&amp;sourceID=32","")</f>
        <v/>
      </c>
      <c r="R475" s="4" t="str">
        <f>HYPERLINK("http://141.218.60.56/~jnz1568/getInfo.php?workbook=06_02.xlsx&amp;sheet=A0&amp;row=475&amp;col=18&amp;number=0.01776&amp;sourceID=32","0.01776")</f>
        <v>0.01776</v>
      </c>
    </row>
    <row r="476" spans="1:18">
      <c r="A476" s="3">
        <v>6</v>
      </c>
      <c r="B476" s="3">
        <v>2</v>
      </c>
      <c r="C476" s="3">
        <v>35</v>
      </c>
      <c r="D476" s="3">
        <v>17</v>
      </c>
      <c r="E476" s="3">
        <f>((1/(INDEX(E0!J$4:J$52,C476,1)-INDEX(E0!J$4:J$52,D476,1))))*100000000</f>
        <v>0</v>
      </c>
      <c r="F476" s="4" t="str">
        <f>HYPERLINK("http://141.218.60.56/~jnz1568/getInfo.php?workbook=06_02.xlsx&amp;sheet=A0&amp;row=476&amp;col=6&amp;number=&amp;sourceID=27","")</f>
        <v/>
      </c>
      <c r="G476" s="4" t="str">
        <f>HYPERLINK("http://141.218.60.56/~jnz1568/getInfo.php?workbook=06_02.xlsx&amp;sheet=A0&amp;row=476&amp;col=7&amp;number=&amp;sourceID=34","")</f>
        <v/>
      </c>
      <c r="H476" s="4" t="str">
        <f>HYPERLINK("http://141.218.60.56/~jnz1568/getInfo.php?workbook=06_02.xlsx&amp;sheet=A0&amp;row=476&amp;col=8&amp;number=&amp;sourceID=34","")</f>
        <v/>
      </c>
      <c r="I476" s="4" t="str">
        <f>HYPERLINK("http://141.218.60.56/~jnz1568/getInfo.php?workbook=06_02.xlsx&amp;sheet=A0&amp;row=476&amp;col=9&amp;number=&amp;sourceID=34","")</f>
        <v/>
      </c>
      <c r="J476" s="4" t="str">
        <f>HYPERLINK("http://141.218.60.56/~jnz1568/getInfo.php?workbook=06_02.xlsx&amp;sheet=A0&amp;row=476&amp;col=10&amp;number=&amp;sourceID=34","")</f>
        <v/>
      </c>
      <c r="K476" s="4" t="str">
        <f>HYPERLINK("http://141.218.60.56/~jnz1568/getInfo.php?workbook=06_02.xlsx&amp;sheet=A0&amp;row=476&amp;col=11&amp;number=&amp;sourceID=30","")</f>
        <v/>
      </c>
      <c r="L476" s="4" t="str">
        <f>HYPERLINK("http://141.218.60.56/~jnz1568/getInfo.php?workbook=06_02.xlsx&amp;sheet=A0&amp;row=476&amp;col=12&amp;number=1.874&amp;sourceID=30","1.874")</f>
        <v>1.874</v>
      </c>
      <c r="M476" s="4" t="str">
        <f>HYPERLINK("http://141.218.60.56/~jnz1568/getInfo.php?workbook=06_02.xlsx&amp;sheet=A0&amp;row=476&amp;col=13&amp;number=0.001701&amp;sourceID=30","0.001701")</f>
        <v>0.001701</v>
      </c>
      <c r="N476" s="4" t="str">
        <f>HYPERLINK("http://141.218.60.56/~jnz1568/getInfo.php?workbook=06_02.xlsx&amp;sheet=A0&amp;row=476&amp;col=14&amp;number=&amp;sourceID=30","")</f>
        <v/>
      </c>
      <c r="O476" s="4" t="str">
        <f>HYPERLINK("http://141.218.60.56/~jnz1568/getInfo.php?workbook=06_02.xlsx&amp;sheet=A0&amp;row=476&amp;col=15&amp;number=&amp;sourceID=32","")</f>
        <v/>
      </c>
      <c r="P476" s="4" t="str">
        <f>HYPERLINK("http://141.218.60.56/~jnz1568/getInfo.php?workbook=06_02.xlsx&amp;sheet=A0&amp;row=476&amp;col=16&amp;number=1.482&amp;sourceID=32","1.482")</f>
        <v>1.482</v>
      </c>
      <c r="Q476" s="4" t="str">
        <f>HYPERLINK("http://141.218.60.56/~jnz1568/getInfo.php?workbook=06_02.xlsx&amp;sheet=A0&amp;row=476&amp;col=17&amp;number=0.001877&amp;sourceID=32","0.001877")</f>
        <v>0.001877</v>
      </c>
      <c r="R476" s="4" t="str">
        <f>HYPERLINK("http://141.218.60.56/~jnz1568/getInfo.php?workbook=06_02.xlsx&amp;sheet=A0&amp;row=476&amp;col=18&amp;number=&amp;sourceID=32","")</f>
        <v/>
      </c>
    </row>
    <row r="477" spans="1:18">
      <c r="A477" s="3">
        <v>6</v>
      </c>
      <c r="B477" s="3">
        <v>2</v>
      </c>
      <c r="C477" s="3">
        <v>35</v>
      </c>
      <c r="D477" s="3">
        <v>18</v>
      </c>
      <c r="E477" s="3">
        <f>((1/(INDEX(E0!J$4:J$52,C477,1)-INDEX(E0!J$4:J$52,D477,1))))*100000000</f>
        <v>0</v>
      </c>
      <c r="F477" s="4" t="str">
        <f>HYPERLINK("http://141.218.60.56/~jnz1568/getInfo.php?workbook=06_02.xlsx&amp;sheet=A0&amp;row=477&amp;col=6&amp;number=&amp;sourceID=27","")</f>
        <v/>
      </c>
      <c r="G477" s="4" t="str">
        <f>HYPERLINK("http://141.218.60.56/~jnz1568/getInfo.php?workbook=06_02.xlsx&amp;sheet=A0&amp;row=477&amp;col=7&amp;number=&amp;sourceID=34","")</f>
        <v/>
      </c>
      <c r="H477" s="4" t="str">
        <f>HYPERLINK("http://141.218.60.56/~jnz1568/getInfo.php?workbook=06_02.xlsx&amp;sheet=A0&amp;row=477&amp;col=8&amp;number=&amp;sourceID=34","")</f>
        <v/>
      </c>
      <c r="I477" s="4" t="str">
        <f>HYPERLINK("http://141.218.60.56/~jnz1568/getInfo.php?workbook=06_02.xlsx&amp;sheet=A0&amp;row=477&amp;col=9&amp;number=&amp;sourceID=34","")</f>
        <v/>
      </c>
      <c r="J477" s="4" t="str">
        <f>HYPERLINK("http://141.218.60.56/~jnz1568/getInfo.php?workbook=06_02.xlsx&amp;sheet=A0&amp;row=477&amp;col=10&amp;number=&amp;sourceID=34","")</f>
        <v/>
      </c>
      <c r="K477" s="4" t="str">
        <f>HYPERLINK("http://141.218.60.56/~jnz1568/getInfo.php?workbook=06_02.xlsx&amp;sheet=A0&amp;row=477&amp;col=11&amp;number=363200000&amp;sourceID=30","363200000")</f>
        <v>363200000</v>
      </c>
      <c r="L477" s="4" t="str">
        <f>HYPERLINK("http://141.218.60.56/~jnz1568/getInfo.php?workbook=06_02.xlsx&amp;sheet=A0&amp;row=477&amp;col=12&amp;number=&amp;sourceID=30","")</f>
        <v/>
      </c>
      <c r="M477" s="4" t="str">
        <f>HYPERLINK("http://141.218.60.56/~jnz1568/getInfo.php?workbook=06_02.xlsx&amp;sheet=A0&amp;row=477&amp;col=13&amp;number=&amp;sourceID=30","")</f>
        <v/>
      </c>
      <c r="N477" s="4" t="str">
        <f>HYPERLINK("http://141.218.60.56/~jnz1568/getInfo.php?workbook=06_02.xlsx&amp;sheet=A0&amp;row=477&amp;col=14&amp;number=0.006051&amp;sourceID=30","0.006051")</f>
        <v>0.006051</v>
      </c>
      <c r="O477" s="4" t="str">
        <f>HYPERLINK("http://141.218.60.56/~jnz1568/getInfo.php?workbook=06_02.xlsx&amp;sheet=A0&amp;row=477&amp;col=15&amp;number=382200000&amp;sourceID=32","382200000")</f>
        <v>382200000</v>
      </c>
      <c r="P477" s="4" t="str">
        <f>HYPERLINK("http://141.218.60.56/~jnz1568/getInfo.php?workbook=06_02.xlsx&amp;sheet=A0&amp;row=477&amp;col=16&amp;number=&amp;sourceID=32","")</f>
        <v/>
      </c>
      <c r="Q477" s="4" t="str">
        <f>HYPERLINK("http://141.218.60.56/~jnz1568/getInfo.php?workbook=06_02.xlsx&amp;sheet=A0&amp;row=477&amp;col=17&amp;number=&amp;sourceID=32","")</f>
        <v/>
      </c>
      <c r="R477" s="4" t="str">
        <f>HYPERLINK("http://141.218.60.56/~jnz1568/getInfo.php?workbook=06_02.xlsx&amp;sheet=A0&amp;row=477&amp;col=18&amp;number=0.006366&amp;sourceID=32","0.006366")</f>
        <v>0.006366</v>
      </c>
    </row>
    <row r="478" spans="1:18">
      <c r="A478" s="3">
        <v>6</v>
      </c>
      <c r="B478" s="3">
        <v>2</v>
      </c>
      <c r="C478" s="3">
        <v>35</v>
      </c>
      <c r="D478" s="3">
        <v>19</v>
      </c>
      <c r="E478" s="3">
        <f>((1/(INDEX(E0!J$4:J$52,C478,1)-INDEX(E0!J$4:J$52,D478,1))))*100000000</f>
        <v>0</v>
      </c>
      <c r="F478" s="4" t="str">
        <f>HYPERLINK("http://141.218.60.56/~jnz1568/getInfo.php?workbook=06_02.xlsx&amp;sheet=A0&amp;row=478&amp;col=6&amp;number=&amp;sourceID=27","")</f>
        <v/>
      </c>
      <c r="G478" s="4" t="str">
        <f>HYPERLINK("http://141.218.60.56/~jnz1568/getInfo.php?workbook=06_02.xlsx&amp;sheet=A0&amp;row=478&amp;col=7&amp;number=&amp;sourceID=34","")</f>
        <v/>
      </c>
      <c r="H478" s="4" t="str">
        <f>HYPERLINK("http://141.218.60.56/~jnz1568/getInfo.php?workbook=06_02.xlsx&amp;sheet=A0&amp;row=478&amp;col=8&amp;number=&amp;sourceID=34","")</f>
        <v/>
      </c>
      <c r="I478" s="4" t="str">
        <f>HYPERLINK("http://141.218.60.56/~jnz1568/getInfo.php?workbook=06_02.xlsx&amp;sheet=A0&amp;row=478&amp;col=9&amp;number=&amp;sourceID=34","")</f>
        <v/>
      </c>
      <c r="J478" s="4" t="str">
        <f>HYPERLINK("http://141.218.60.56/~jnz1568/getInfo.php?workbook=06_02.xlsx&amp;sheet=A0&amp;row=478&amp;col=10&amp;number=&amp;sourceID=34","")</f>
        <v/>
      </c>
      <c r="K478" s="4" t="str">
        <f>HYPERLINK("http://141.218.60.56/~jnz1568/getInfo.php?workbook=06_02.xlsx&amp;sheet=A0&amp;row=478&amp;col=11&amp;number=14960&amp;sourceID=30","14960")</f>
        <v>14960</v>
      </c>
      <c r="L478" s="4" t="str">
        <f>HYPERLINK("http://141.218.60.56/~jnz1568/getInfo.php?workbook=06_02.xlsx&amp;sheet=A0&amp;row=478&amp;col=12&amp;number=&amp;sourceID=30","")</f>
        <v/>
      </c>
      <c r="M478" s="4" t="str">
        <f>HYPERLINK("http://141.218.60.56/~jnz1568/getInfo.php?workbook=06_02.xlsx&amp;sheet=A0&amp;row=478&amp;col=13&amp;number=&amp;sourceID=30","")</f>
        <v/>
      </c>
      <c r="N478" s="4" t="str">
        <f>HYPERLINK("http://141.218.60.56/~jnz1568/getInfo.php?workbook=06_02.xlsx&amp;sheet=A0&amp;row=478&amp;col=14&amp;number=&amp;sourceID=30","")</f>
        <v/>
      </c>
      <c r="O478" s="4" t="str">
        <f>HYPERLINK("http://141.218.60.56/~jnz1568/getInfo.php?workbook=06_02.xlsx&amp;sheet=A0&amp;row=478&amp;col=15&amp;number=15190&amp;sourceID=32","15190")</f>
        <v>15190</v>
      </c>
      <c r="P478" s="4" t="str">
        <f>HYPERLINK("http://141.218.60.56/~jnz1568/getInfo.php?workbook=06_02.xlsx&amp;sheet=A0&amp;row=478&amp;col=16&amp;number=&amp;sourceID=32","")</f>
        <v/>
      </c>
      <c r="Q478" s="4" t="str">
        <f>HYPERLINK("http://141.218.60.56/~jnz1568/getInfo.php?workbook=06_02.xlsx&amp;sheet=A0&amp;row=478&amp;col=17&amp;number=&amp;sourceID=32","")</f>
        <v/>
      </c>
      <c r="R478" s="4" t="str">
        <f>HYPERLINK("http://141.218.60.56/~jnz1568/getInfo.php?workbook=06_02.xlsx&amp;sheet=A0&amp;row=478&amp;col=18&amp;number=&amp;sourceID=32","")</f>
        <v/>
      </c>
    </row>
    <row r="479" spans="1:18">
      <c r="A479" s="3">
        <v>6</v>
      </c>
      <c r="B479" s="3">
        <v>2</v>
      </c>
      <c r="C479" s="3">
        <v>35</v>
      </c>
      <c r="D479" s="3">
        <v>20</v>
      </c>
      <c r="E479" s="3">
        <f>((1/(INDEX(E0!J$4:J$52,C479,1)-INDEX(E0!J$4:J$52,D479,1))))*100000000</f>
        <v>0</v>
      </c>
      <c r="F479" s="4" t="str">
        <f>HYPERLINK("http://141.218.60.56/~jnz1568/getInfo.php?workbook=06_02.xlsx&amp;sheet=A0&amp;row=479&amp;col=6&amp;number=&amp;sourceID=27","")</f>
        <v/>
      </c>
      <c r="G479" s="4" t="str">
        <f>HYPERLINK("http://141.218.60.56/~jnz1568/getInfo.php?workbook=06_02.xlsx&amp;sheet=A0&amp;row=479&amp;col=7&amp;number=&amp;sourceID=34","")</f>
        <v/>
      </c>
      <c r="H479" s="4" t="str">
        <f>HYPERLINK("http://141.218.60.56/~jnz1568/getInfo.php?workbook=06_02.xlsx&amp;sheet=A0&amp;row=479&amp;col=8&amp;number=&amp;sourceID=34","")</f>
        <v/>
      </c>
      <c r="I479" s="4" t="str">
        <f>HYPERLINK("http://141.218.60.56/~jnz1568/getInfo.php?workbook=06_02.xlsx&amp;sheet=A0&amp;row=479&amp;col=9&amp;number=&amp;sourceID=34","")</f>
        <v/>
      </c>
      <c r="J479" s="4" t="str">
        <f>HYPERLINK("http://141.218.60.56/~jnz1568/getInfo.php?workbook=06_02.xlsx&amp;sheet=A0&amp;row=479&amp;col=10&amp;number=&amp;sourceID=34","")</f>
        <v/>
      </c>
      <c r="K479" s="4" t="str">
        <f>HYPERLINK("http://141.218.60.56/~jnz1568/getInfo.php?workbook=06_02.xlsx&amp;sheet=A0&amp;row=479&amp;col=11&amp;number=&amp;sourceID=30","")</f>
        <v/>
      </c>
      <c r="L479" s="4" t="str">
        <f>HYPERLINK("http://141.218.60.56/~jnz1568/getInfo.php?workbook=06_02.xlsx&amp;sheet=A0&amp;row=479&amp;col=12&amp;number=&amp;sourceID=30","")</f>
        <v/>
      </c>
      <c r="M479" s="4" t="str">
        <f>HYPERLINK("http://141.218.60.56/~jnz1568/getInfo.php?workbook=06_02.xlsx&amp;sheet=A0&amp;row=479&amp;col=13&amp;number=1.862e-07&amp;sourceID=30","1.862e-07")</f>
        <v>1.862e-07</v>
      </c>
      <c r="N479" s="4" t="str">
        <f>HYPERLINK("http://141.218.60.56/~jnz1568/getInfo.php?workbook=06_02.xlsx&amp;sheet=A0&amp;row=479&amp;col=14&amp;number=&amp;sourceID=30","")</f>
        <v/>
      </c>
      <c r="O479" s="4" t="str">
        <f>HYPERLINK("http://141.218.60.56/~jnz1568/getInfo.php?workbook=06_02.xlsx&amp;sheet=A0&amp;row=479&amp;col=15&amp;number=&amp;sourceID=32","")</f>
        <v/>
      </c>
      <c r="P479" s="4" t="str">
        <f>HYPERLINK("http://141.218.60.56/~jnz1568/getInfo.php?workbook=06_02.xlsx&amp;sheet=A0&amp;row=479&amp;col=16&amp;number=&amp;sourceID=32","")</f>
        <v/>
      </c>
      <c r="Q479" s="4" t="str">
        <f>HYPERLINK("http://141.218.60.56/~jnz1568/getInfo.php?workbook=06_02.xlsx&amp;sheet=A0&amp;row=479&amp;col=17&amp;number=4.251e-08&amp;sourceID=32","4.251e-08")</f>
        <v>4.251e-08</v>
      </c>
      <c r="R479" s="4" t="str">
        <f>HYPERLINK("http://141.218.60.56/~jnz1568/getInfo.php?workbook=06_02.xlsx&amp;sheet=A0&amp;row=479&amp;col=18&amp;number=&amp;sourceID=32","")</f>
        <v/>
      </c>
    </row>
    <row r="480" spans="1:18">
      <c r="A480" s="3">
        <v>6</v>
      </c>
      <c r="B480" s="3">
        <v>2</v>
      </c>
      <c r="C480" s="3">
        <v>35</v>
      </c>
      <c r="D480" s="3">
        <v>21</v>
      </c>
      <c r="E480" s="3">
        <f>((1/(INDEX(E0!J$4:J$52,C480,1)-INDEX(E0!J$4:J$52,D480,1))))*100000000</f>
        <v>0</v>
      </c>
      <c r="F480" s="4" t="str">
        <f>HYPERLINK("http://141.218.60.56/~jnz1568/getInfo.php?workbook=06_02.xlsx&amp;sheet=A0&amp;row=480&amp;col=6&amp;number=&amp;sourceID=27","")</f>
        <v/>
      </c>
      <c r="G480" s="4" t="str">
        <f>HYPERLINK("http://141.218.60.56/~jnz1568/getInfo.php?workbook=06_02.xlsx&amp;sheet=A0&amp;row=480&amp;col=7&amp;number=&amp;sourceID=34","")</f>
        <v/>
      </c>
      <c r="H480" s="4" t="str">
        <f>HYPERLINK("http://141.218.60.56/~jnz1568/getInfo.php?workbook=06_02.xlsx&amp;sheet=A0&amp;row=480&amp;col=8&amp;number=&amp;sourceID=34","")</f>
        <v/>
      </c>
      <c r="I480" s="4" t="str">
        <f>HYPERLINK("http://141.218.60.56/~jnz1568/getInfo.php?workbook=06_02.xlsx&amp;sheet=A0&amp;row=480&amp;col=9&amp;number=&amp;sourceID=34","")</f>
        <v/>
      </c>
      <c r="J480" s="4" t="str">
        <f>HYPERLINK("http://141.218.60.56/~jnz1568/getInfo.php?workbook=06_02.xlsx&amp;sheet=A0&amp;row=480&amp;col=10&amp;number=&amp;sourceID=34","")</f>
        <v/>
      </c>
      <c r="K480" s="4" t="str">
        <f>HYPERLINK("http://141.218.60.56/~jnz1568/getInfo.php?workbook=06_02.xlsx&amp;sheet=A0&amp;row=480&amp;col=11&amp;number=&amp;sourceID=30","")</f>
        <v/>
      </c>
      <c r="L480" s="4" t="str">
        <f>HYPERLINK("http://141.218.60.56/~jnz1568/getInfo.php?workbook=06_02.xlsx&amp;sheet=A0&amp;row=480&amp;col=12&amp;number=1783&amp;sourceID=30","1783")</f>
        <v>1783</v>
      </c>
      <c r="M480" s="4" t="str">
        <f>HYPERLINK("http://141.218.60.56/~jnz1568/getInfo.php?workbook=06_02.xlsx&amp;sheet=A0&amp;row=480&amp;col=13&amp;number=6.573e-06&amp;sourceID=30","6.573e-06")</f>
        <v>6.573e-06</v>
      </c>
      <c r="N480" s="4" t="str">
        <f>HYPERLINK("http://141.218.60.56/~jnz1568/getInfo.php?workbook=06_02.xlsx&amp;sheet=A0&amp;row=480&amp;col=14&amp;number=&amp;sourceID=30","")</f>
        <v/>
      </c>
      <c r="O480" s="4" t="str">
        <f>HYPERLINK("http://141.218.60.56/~jnz1568/getInfo.php?workbook=06_02.xlsx&amp;sheet=A0&amp;row=480&amp;col=15&amp;number=&amp;sourceID=32","")</f>
        <v/>
      </c>
      <c r="P480" s="4" t="str">
        <f>HYPERLINK("http://141.218.60.56/~jnz1568/getInfo.php?workbook=06_02.xlsx&amp;sheet=A0&amp;row=480&amp;col=16&amp;number=1858&amp;sourceID=32","1858")</f>
        <v>1858</v>
      </c>
      <c r="Q480" s="4" t="str">
        <f>HYPERLINK("http://141.218.60.56/~jnz1568/getInfo.php?workbook=06_02.xlsx&amp;sheet=A0&amp;row=480&amp;col=17&amp;number=7.011e-06&amp;sourceID=32","7.011e-06")</f>
        <v>7.011e-06</v>
      </c>
      <c r="R480" s="4" t="str">
        <f>HYPERLINK("http://141.218.60.56/~jnz1568/getInfo.php?workbook=06_02.xlsx&amp;sheet=A0&amp;row=480&amp;col=18&amp;number=&amp;sourceID=32","")</f>
        <v/>
      </c>
    </row>
    <row r="481" spans="1:18">
      <c r="A481" s="3">
        <v>6</v>
      </c>
      <c r="B481" s="3">
        <v>2</v>
      </c>
      <c r="C481" s="3">
        <v>35</v>
      </c>
      <c r="D481" s="3">
        <v>22</v>
      </c>
      <c r="E481" s="3">
        <f>((1/(INDEX(E0!J$4:J$52,C481,1)-INDEX(E0!J$4:J$52,D481,1))))*100000000</f>
        <v>0</v>
      </c>
      <c r="F481" s="4" t="str">
        <f>HYPERLINK("http://141.218.60.56/~jnz1568/getInfo.php?workbook=06_02.xlsx&amp;sheet=A0&amp;row=481&amp;col=6&amp;number=&amp;sourceID=27","")</f>
        <v/>
      </c>
      <c r="G481" s="4" t="str">
        <f>HYPERLINK("http://141.218.60.56/~jnz1568/getInfo.php?workbook=06_02.xlsx&amp;sheet=A0&amp;row=481&amp;col=7&amp;number=&amp;sourceID=34","")</f>
        <v/>
      </c>
      <c r="H481" s="4" t="str">
        <f>HYPERLINK("http://141.218.60.56/~jnz1568/getInfo.php?workbook=06_02.xlsx&amp;sheet=A0&amp;row=481&amp;col=8&amp;number=&amp;sourceID=34","")</f>
        <v/>
      </c>
      <c r="I481" s="4" t="str">
        <f>HYPERLINK("http://141.218.60.56/~jnz1568/getInfo.php?workbook=06_02.xlsx&amp;sheet=A0&amp;row=481&amp;col=9&amp;number=&amp;sourceID=34","")</f>
        <v/>
      </c>
      <c r="J481" s="4" t="str">
        <f>HYPERLINK("http://141.218.60.56/~jnz1568/getInfo.php?workbook=06_02.xlsx&amp;sheet=A0&amp;row=481&amp;col=10&amp;number=&amp;sourceID=34","")</f>
        <v/>
      </c>
      <c r="K481" s="4" t="str">
        <f>HYPERLINK("http://141.218.60.56/~jnz1568/getInfo.php?workbook=06_02.xlsx&amp;sheet=A0&amp;row=481&amp;col=11&amp;number=&amp;sourceID=30","")</f>
        <v/>
      </c>
      <c r="L481" s="4" t="str">
        <f>HYPERLINK("http://141.218.60.56/~jnz1568/getInfo.php?workbook=06_02.xlsx&amp;sheet=A0&amp;row=481&amp;col=12&amp;number=5347&amp;sourceID=30","5347")</f>
        <v>5347</v>
      </c>
      <c r="M481" s="4" t="str">
        <f>HYPERLINK("http://141.218.60.56/~jnz1568/getInfo.php?workbook=06_02.xlsx&amp;sheet=A0&amp;row=481&amp;col=13&amp;number=0.0001959&amp;sourceID=30","0.0001959")</f>
        <v>0.0001959</v>
      </c>
      <c r="N481" s="4" t="str">
        <f>HYPERLINK("http://141.218.60.56/~jnz1568/getInfo.php?workbook=06_02.xlsx&amp;sheet=A0&amp;row=481&amp;col=14&amp;number=&amp;sourceID=30","")</f>
        <v/>
      </c>
      <c r="O481" s="4" t="str">
        <f>HYPERLINK("http://141.218.60.56/~jnz1568/getInfo.php?workbook=06_02.xlsx&amp;sheet=A0&amp;row=481&amp;col=15&amp;number=&amp;sourceID=32","")</f>
        <v/>
      </c>
      <c r="P481" s="4" t="str">
        <f>HYPERLINK("http://141.218.60.56/~jnz1568/getInfo.php?workbook=06_02.xlsx&amp;sheet=A0&amp;row=481&amp;col=16&amp;number=5573&amp;sourceID=32","5573")</f>
        <v>5573</v>
      </c>
      <c r="Q481" s="4" t="str">
        <f>HYPERLINK("http://141.218.60.56/~jnz1568/getInfo.php?workbook=06_02.xlsx&amp;sheet=A0&amp;row=481&amp;col=17&amp;number=0.0001887&amp;sourceID=32","0.0001887")</f>
        <v>0.0001887</v>
      </c>
      <c r="R481" s="4" t="str">
        <f>HYPERLINK("http://141.218.60.56/~jnz1568/getInfo.php?workbook=06_02.xlsx&amp;sheet=A0&amp;row=481&amp;col=18&amp;number=&amp;sourceID=32","")</f>
        <v/>
      </c>
    </row>
    <row r="482" spans="1:18">
      <c r="A482" s="3">
        <v>6</v>
      </c>
      <c r="B482" s="3">
        <v>2</v>
      </c>
      <c r="C482" s="3">
        <v>35</v>
      </c>
      <c r="D482" s="3">
        <v>23</v>
      </c>
      <c r="E482" s="3">
        <f>((1/(INDEX(E0!J$4:J$52,C482,1)-INDEX(E0!J$4:J$52,D482,1))))*100000000</f>
        <v>0</v>
      </c>
      <c r="F482" s="4" t="str">
        <f>HYPERLINK("http://141.218.60.56/~jnz1568/getInfo.php?workbook=06_02.xlsx&amp;sheet=A0&amp;row=482&amp;col=6&amp;number=&amp;sourceID=27","")</f>
        <v/>
      </c>
      <c r="G482" s="4" t="str">
        <f>HYPERLINK("http://141.218.60.56/~jnz1568/getInfo.php?workbook=06_02.xlsx&amp;sheet=A0&amp;row=482&amp;col=7&amp;number=&amp;sourceID=34","")</f>
        <v/>
      </c>
      <c r="H482" s="4" t="str">
        <f>HYPERLINK("http://141.218.60.56/~jnz1568/getInfo.php?workbook=06_02.xlsx&amp;sheet=A0&amp;row=482&amp;col=8&amp;number=&amp;sourceID=34","")</f>
        <v/>
      </c>
      <c r="I482" s="4" t="str">
        <f>HYPERLINK("http://141.218.60.56/~jnz1568/getInfo.php?workbook=06_02.xlsx&amp;sheet=A0&amp;row=482&amp;col=9&amp;number=&amp;sourceID=34","")</f>
        <v/>
      </c>
      <c r="J482" s="4" t="str">
        <f>HYPERLINK("http://141.218.60.56/~jnz1568/getInfo.php?workbook=06_02.xlsx&amp;sheet=A0&amp;row=482&amp;col=10&amp;number=&amp;sourceID=34","")</f>
        <v/>
      </c>
      <c r="K482" s="4" t="str">
        <f>HYPERLINK("http://141.218.60.56/~jnz1568/getInfo.php?workbook=06_02.xlsx&amp;sheet=A0&amp;row=482&amp;col=11&amp;number=37310000&amp;sourceID=30","37310000")</f>
        <v>37310000</v>
      </c>
      <c r="L482" s="4" t="str">
        <f>HYPERLINK("http://141.218.60.56/~jnz1568/getInfo.php?workbook=06_02.xlsx&amp;sheet=A0&amp;row=482&amp;col=12&amp;number=&amp;sourceID=30","")</f>
        <v/>
      </c>
      <c r="M482" s="4" t="str">
        <f>HYPERLINK("http://141.218.60.56/~jnz1568/getInfo.php?workbook=06_02.xlsx&amp;sheet=A0&amp;row=482&amp;col=13&amp;number=&amp;sourceID=30","")</f>
        <v/>
      </c>
      <c r="N482" s="4" t="str">
        <f>HYPERLINK("http://141.218.60.56/~jnz1568/getInfo.php?workbook=06_02.xlsx&amp;sheet=A0&amp;row=482&amp;col=14&amp;number=8.136e-05&amp;sourceID=30","8.136e-05")</f>
        <v>8.136e-05</v>
      </c>
      <c r="O482" s="4" t="str">
        <f>HYPERLINK("http://141.218.60.56/~jnz1568/getInfo.php?workbook=06_02.xlsx&amp;sheet=A0&amp;row=482&amp;col=15&amp;number=38310000&amp;sourceID=32","38310000")</f>
        <v>38310000</v>
      </c>
      <c r="P482" s="4" t="str">
        <f>HYPERLINK("http://141.218.60.56/~jnz1568/getInfo.php?workbook=06_02.xlsx&amp;sheet=A0&amp;row=482&amp;col=16&amp;number=&amp;sourceID=32","")</f>
        <v/>
      </c>
      <c r="Q482" s="4" t="str">
        <f>HYPERLINK("http://141.218.60.56/~jnz1568/getInfo.php?workbook=06_02.xlsx&amp;sheet=A0&amp;row=482&amp;col=17&amp;number=&amp;sourceID=32","")</f>
        <v/>
      </c>
      <c r="R482" s="4" t="str">
        <f>HYPERLINK("http://141.218.60.56/~jnz1568/getInfo.php?workbook=06_02.xlsx&amp;sheet=A0&amp;row=482&amp;col=18&amp;number=8.341e-05&amp;sourceID=32","8.341e-05")</f>
        <v>8.341e-05</v>
      </c>
    </row>
    <row r="483" spans="1:18">
      <c r="A483" s="3">
        <v>6</v>
      </c>
      <c r="B483" s="3">
        <v>2</v>
      </c>
      <c r="C483" s="3">
        <v>35</v>
      </c>
      <c r="D483" s="3">
        <v>24</v>
      </c>
      <c r="E483" s="3">
        <f>((1/(INDEX(E0!J$4:J$52,C483,1)-INDEX(E0!J$4:J$52,D483,1))))*100000000</f>
        <v>0</v>
      </c>
      <c r="F483" s="4" t="str">
        <f>HYPERLINK("http://141.218.60.56/~jnz1568/getInfo.php?workbook=06_02.xlsx&amp;sheet=A0&amp;row=483&amp;col=6&amp;number=&amp;sourceID=27","")</f>
        <v/>
      </c>
      <c r="G483" s="4" t="str">
        <f>HYPERLINK("http://141.218.60.56/~jnz1568/getInfo.php?workbook=06_02.xlsx&amp;sheet=A0&amp;row=483&amp;col=7&amp;number=&amp;sourceID=34","")</f>
        <v/>
      </c>
      <c r="H483" s="4" t="str">
        <f>HYPERLINK("http://141.218.60.56/~jnz1568/getInfo.php?workbook=06_02.xlsx&amp;sheet=A0&amp;row=483&amp;col=8&amp;number=&amp;sourceID=34","")</f>
        <v/>
      </c>
      <c r="I483" s="4" t="str">
        <f>HYPERLINK("http://141.218.60.56/~jnz1568/getInfo.php?workbook=06_02.xlsx&amp;sheet=A0&amp;row=483&amp;col=9&amp;number=&amp;sourceID=34","")</f>
        <v/>
      </c>
      <c r="J483" s="4" t="str">
        <f>HYPERLINK("http://141.218.60.56/~jnz1568/getInfo.php?workbook=06_02.xlsx&amp;sheet=A0&amp;row=483&amp;col=10&amp;number=&amp;sourceID=34","")</f>
        <v/>
      </c>
      <c r="K483" s="4" t="str">
        <f>HYPERLINK("http://141.218.60.56/~jnz1568/getInfo.php?workbook=06_02.xlsx&amp;sheet=A0&amp;row=483&amp;col=11&amp;number=111700000&amp;sourceID=30","111700000")</f>
        <v>111700000</v>
      </c>
      <c r="L483" s="4" t="str">
        <f>HYPERLINK("http://141.218.60.56/~jnz1568/getInfo.php?workbook=06_02.xlsx&amp;sheet=A0&amp;row=483&amp;col=12&amp;number=&amp;sourceID=30","")</f>
        <v/>
      </c>
      <c r="M483" s="4" t="str">
        <f>HYPERLINK("http://141.218.60.56/~jnz1568/getInfo.php?workbook=06_02.xlsx&amp;sheet=A0&amp;row=483&amp;col=13&amp;number=&amp;sourceID=30","")</f>
        <v/>
      </c>
      <c r="N483" s="4" t="str">
        <f>HYPERLINK("http://141.218.60.56/~jnz1568/getInfo.php?workbook=06_02.xlsx&amp;sheet=A0&amp;row=483&amp;col=14&amp;number=0.001967&amp;sourceID=30","0.001967")</f>
        <v>0.001967</v>
      </c>
      <c r="O483" s="4" t="str">
        <f>HYPERLINK("http://141.218.60.56/~jnz1568/getInfo.php?workbook=06_02.xlsx&amp;sheet=A0&amp;row=483&amp;col=15&amp;number=114700000&amp;sourceID=32","114700000")</f>
        <v>114700000</v>
      </c>
      <c r="P483" s="4" t="str">
        <f>HYPERLINK("http://141.218.60.56/~jnz1568/getInfo.php?workbook=06_02.xlsx&amp;sheet=A0&amp;row=483&amp;col=16&amp;number=&amp;sourceID=32","")</f>
        <v/>
      </c>
      <c r="Q483" s="4" t="str">
        <f>HYPERLINK("http://141.218.60.56/~jnz1568/getInfo.php?workbook=06_02.xlsx&amp;sheet=A0&amp;row=483&amp;col=17&amp;number=&amp;sourceID=32","")</f>
        <v/>
      </c>
      <c r="R483" s="4" t="str">
        <f>HYPERLINK("http://141.218.60.56/~jnz1568/getInfo.php?workbook=06_02.xlsx&amp;sheet=A0&amp;row=483&amp;col=18&amp;number=0.001989&amp;sourceID=32","0.001989")</f>
        <v>0.001989</v>
      </c>
    </row>
    <row r="484" spans="1:18">
      <c r="A484" s="3">
        <v>6</v>
      </c>
      <c r="B484" s="3">
        <v>2</v>
      </c>
      <c r="C484" s="3">
        <v>35</v>
      </c>
      <c r="D484" s="3">
        <v>25</v>
      </c>
      <c r="E484" s="3">
        <f>((1/(INDEX(E0!J$4:J$52,C484,1)-INDEX(E0!J$4:J$52,D484,1))))*100000000</f>
        <v>0</v>
      </c>
      <c r="F484" s="4" t="str">
        <f>HYPERLINK("http://141.218.60.56/~jnz1568/getInfo.php?workbook=06_02.xlsx&amp;sheet=A0&amp;row=484&amp;col=6&amp;number=&amp;sourceID=27","")</f>
        <v/>
      </c>
      <c r="G484" s="4" t="str">
        <f>HYPERLINK("http://141.218.60.56/~jnz1568/getInfo.php?workbook=06_02.xlsx&amp;sheet=A0&amp;row=484&amp;col=7&amp;number=&amp;sourceID=34","")</f>
        <v/>
      </c>
      <c r="H484" s="4" t="str">
        <f>HYPERLINK("http://141.218.60.56/~jnz1568/getInfo.php?workbook=06_02.xlsx&amp;sheet=A0&amp;row=484&amp;col=8&amp;number=&amp;sourceID=34","")</f>
        <v/>
      </c>
      <c r="I484" s="4" t="str">
        <f>HYPERLINK("http://141.218.60.56/~jnz1568/getInfo.php?workbook=06_02.xlsx&amp;sheet=A0&amp;row=484&amp;col=9&amp;number=&amp;sourceID=34","")</f>
        <v/>
      </c>
      <c r="J484" s="4" t="str">
        <f>HYPERLINK("http://141.218.60.56/~jnz1568/getInfo.php?workbook=06_02.xlsx&amp;sheet=A0&amp;row=484&amp;col=10&amp;number=&amp;sourceID=34","")</f>
        <v/>
      </c>
      <c r="K484" s="4" t="str">
        <f>HYPERLINK("http://141.218.60.56/~jnz1568/getInfo.php?workbook=06_02.xlsx&amp;sheet=A0&amp;row=484&amp;col=11&amp;number=&amp;sourceID=30","")</f>
        <v/>
      </c>
      <c r="L484" s="4" t="str">
        <f>HYPERLINK("http://141.218.60.56/~jnz1568/getInfo.php?workbook=06_02.xlsx&amp;sheet=A0&amp;row=484&amp;col=12&amp;number=&amp;sourceID=30","")</f>
        <v/>
      </c>
      <c r="M484" s="4" t="str">
        <f>HYPERLINK("http://141.218.60.56/~jnz1568/getInfo.php?workbook=06_02.xlsx&amp;sheet=A0&amp;row=484&amp;col=13&amp;number=&amp;sourceID=30","")</f>
        <v/>
      </c>
      <c r="N484" s="4" t="str">
        <f>HYPERLINK("http://141.218.60.56/~jnz1568/getInfo.php?workbook=06_02.xlsx&amp;sheet=A0&amp;row=484&amp;col=14&amp;number=0.0001967&amp;sourceID=30","0.0001967")</f>
        <v>0.0001967</v>
      </c>
      <c r="O484" s="4" t="str">
        <f>HYPERLINK("http://141.218.60.56/~jnz1568/getInfo.php?workbook=06_02.xlsx&amp;sheet=A0&amp;row=484&amp;col=15&amp;number=&amp;sourceID=32","")</f>
        <v/>
      </c>
      <c r="P484" s="4" t="str">
        <f>HYPERLINK("http://141.218.60.56/~jnz1568/getInfo.php?workbook=06_02.xlsx&amp;sheet=A0&amp;row=484&amp;col=16&amp;number=&amp;sourceID=32","")</f>
        <v/>
      </c>
      <c r="Q484" s="4" t="str">
        <f>HYPERLINK("http://141.218.60.56/~jnz1568/getInfo.php?workbook=06_02.xlsx&amp;sheet=A0&amp;row=484&amp;col=17&amp;number=&amp;sourceID=32","")</f>
        <v/>
      </c>
      <c r="R484" s="4" t="str">
        <f>HYPERLINK("http://141.218.60.56/~jnz1568/getInfo.php?workbook=06_02.xlsx&amp;sheet=A0&amp;row=484&amp;col=18&amp;number=0.0002024&amp;sourceID=32","0.0002024")</f>
        <v>0.0002024</v>
      </c>
    </row>
    <row r="485" spans="1:18">
      <c r="A485" s="3">
        <v>6</v>
      </c>
      <c r="B485" s="3">
        <v>2</v>
      </c>
      <c r="C485" s="3">
        <v>35</v>
      </c>
      <c r="D485" s="3">
        <v>26</v>
      </c>
      <c r="E485" s="3">
        <f>((1/(INDEX(E0!J$4:J$52,C485,1)-INDEX(E0!J$4:J$52,D485,1))))*100000000</f>
        <v>0</v>
      </c>
      <c r="F485" s="4" t="str">
        <f>HYPERLINK("http://141.218.60.56/~jnz1568/getInfo.php?workbook=06_02.xlsx&amp;sheet=A0&amp;row=485&amp;col=6&amp;number=&amp;sourceID=27","")</f>
        <v/>
      </c>
      <c r="G485" s="4" t="str">
        <f>HYPERLINK("http://141.218.60.56/~jnz1568/getInfo.php?workbook=06_02.xlsx&amp;sheet=A0&amp;row=485&amp;col=7&amp;number=&amp;sourceID=34","")</f>
        <v/>
      </c>
      <c r="H485" s="4" t="str">
        <f>HYPERLINK("http://141.218.60.56/~jnz1568/getInfo.php?workbook=06_02.xlsx&amp;sheet=A0&amp;row=485&amp;col=8&amp;number=&amp;sourceID=34","")</f>
        <v/>
      </c>
      <c r="I485" s="4" t="str">
        <f>HYPERLINK("http://141.218.60.56/~jnz1568/getInfo.php?workbook=06_02.xlsx&amp;sheet=A0&amp;row=485&amp;col=9&amp;number=&amp;sourceID=34","")</f>
        <v/>
      </c>
      <c r="J485" s="4" t="str">
        <f>HYPERLINK("http://141.218.60.56/~jnz1568/getInfo.php?workbook=06_02.xlsx&amp;sheet=A0&amp;row=485&amp;col=10&amp;number=&amp;sourceID=34","")</f>
        <v/>
      </c>
      <c r="K485" s="4" t="str">
        <f>HYPERLINK("http://141.218.60.56/~jnz1568/getInfo.php?workbook=06_02.xlsx&amp;sheet=A0&amp;row=485&amp;col=11&amp;number=&amp;sourceID=30","")</f>
        <v/>
      </c>
      <c r="L485" s="4" t="str">
        <f>HYPERLINK("http://141.218.60.56/~jnz1568/getInfo.php?workbook=06_02.xlsx&amp;sheet=A0&amp;row=485&amp;col=12&amp;number=178.2&amp;sourceID=30","178.2")</f>
        <v>178.2</v>
      </c>
      <c r="M485" s="4" t="str">
        <f>HYPERLINK("http://141.218.60.56/~jnz1568/getInfo.php?workbook=06_02.xlsx&amp;sheet=A0&amp;row=485&amp;col=13&amp;number=&amp;sourceID=30","")</f>
        <v/>
      </c>
      <c r="N485" s="4" t="str">
        <f>HYPERLINK("http://141.218.60.56/~jnz1568/getInfo.php?workbook=06_02.xlsx&amp;sheet=A0&amp;row=485&amp;col=14&amp;number=&amp;sourceID=30","")</f>
        <v/>
      </c>
      <c r="O485" s="4" t="str">
        <f>HYPERLINK("http://141.218.60.56/~jnz1568/getInfo.php?workbook=06_02.xlsx&amp;sheet=A0&amp;row=485&amp;col=15&amp;number=&amp;sourceID=32","")</f>
        <v/>
      </c>
      <c r="P485" s="4" t="str">
        <f>HYPERLINK("http://141.218.60.56/~jnz1568/getInfo.php?workbook=06_02.xlsx&amp;sheet=A0&amp;row=485&amp;col=16&amp;number=348&amp;sourceID=32","348")</f>
        <v>348</v>
      </c>
      <c r="Q485" s="4" t="str">
        <f>HYPERLINK("http://141.218.60.56/~jnz1568/getInfo.php?workbook=06_02.xlsx&amp;sheet=A0&amp;row=485&amp;col=17&amp;number=&amp;sourceID=32","")</f>
        <v/>
      </c>
      <c r="R485" s="4" t="str">
        <f>HYPERLINK("http://141.218.60.56/~jnz1568/getInfo.php?workbook=06_02.xlsx&amp;sheet=A0&amp;row=485&amp;col=18&amp;number=&amp;sourceID=32","")</f>
        <v/>
      </c>
    </row>
    <row r="486" spans="1:18">
      <c r="A486" s="3">
        <v>6</v>
      </c>
      <c r="B486" s="3">
        <v>2</v>
      </c>
      <c r="C486" s="3">
        <v>35</v>
      </c>
      <c r="D486" s="3">
        <v>27</v>
      </c>
      <c r="E486" s="3">
        <f>((1/(INDEX(E0!J$4:J$52,C486,1)-INDEX(E0!J$4:J$52,D486,1))))*100000000</f>
        <v>0</v>
      </c>
      <c r="F486" s="4" t="str">
        <f>HYPERLINK("http://141.218.60.56/~jnz1568/getInfo.php?workbook=06_02.xlsx&amp;sheet=A0&amp;row=486&amp;col=6&amp;number=&amp;sourceID=27","")</f>
        <v/>
      </c>
      <c r="G486" s="4" t="str">
        <f>HYPERLINK("http://141.218.60.56/~jnz1568/getInfo.php?workbook=06_02.xlsx&amp;sheet=A0&amp;row=486&amp;col=7&amp;number=&amp;sourceID=34","")</f>
        <v/>
      </c>
      <c r="H486" s="4" t="str">
        <f>HYPERLINK("http://141.218.60.56/~jnz1568/getInfo.php?workbook=06_02.xlsx&amp;sheet=A0&amp;row=486&amp;col=8&amp;number=&amp;sourceID=34","")</f>
        <v/>
      </c>
      <c r="I486" s="4" t="str">
        <f>HYPERLINK("http://141.218.60.56/~jnz1568/getInfo.php?workbook=06_02.xlsx&amp;sheet=A0&amp;row=486&amp;col=9&amp;number=&amp;sourceID=34","")</f>
        <v/>
      </c>
      <c r="J486" s="4" t="str">
        <f>HYPERLINK("http://141.218.60.56/~jnz1568/getInfo.php?workbook=06_02.xlsx&amp;sheet=A0&amp;row=486&amp;col=10&amp;number=&amp;sourceID=34","")</f>
        <v/>
      </c>
      <c r="K486" s="4" t="str">
        <f>HYPERLINK("http://141.218.60.56/~jnz1568/getInfo.php?workbook=06_02.xlsx&amp;sheet=A0&amp;row=486&amp;col=11&amp;number=&amp;sourceID=30","")</f>
        <v/>
      </c>
      <c r="L486" s="4" t="str">
        <f>HYPERLINK("http://141.218.60.56/~jnz1568/getInfo.php?workbook=06_02.xlsx&amp;sheet=A0&amp;row=486&amp;col=12&amp;number=266.1&amp;sourceID=30","266.1")</f>
        <v>266.1</v>
      </c>
      <c r="M486" s="4" t="str">
        <f>HYPERLINK("http://141.218.60.56/~jnz1568/getInfo.php?workbook=06_02.xlsx&amp;sheet=A0&amp;row=486&amp;col=13&amp;number=1.903e-09&amp;sourceID=30","1.903e-09")</f>
        <v>1.903e-09</v>
      </c>
      <c r="N486" s="4" t="str">
        <f>HYPERLINK("http://141.218.60.56/~jnz1568/getInfo.php?workbook=06_02.xlsx&amp;sheet=A0&amp;row=486&amp;col=14&amp;number=&amp;sourceID=30","")</f>
        <v/>
      </c>
      <c r="O486" s="4" t="str">
        <f>HYPERLINK("http://141.218.60.56/~jnz1568/getInfo.php?workbook=06_02.xlsx&amp;sheet=A0&amp;row=486&amp;col=15&amp;number=&amp;sourceID=32","")</f>
        <v/>
      </c>
      <c r="P486" s="4" t="str">
        <f>HYPERLINK("http://141.218.60.56/~jnz1568/getInfo.php?workbook=06_02.xlsx&amp;sheet=A0&amp;row=486&amp;col=16&amp;number=269.4&amp;sourceID=32","269.4")</f>
        <v>269.4</v>
      </c>
      <c r="Q486" s="4" t="str">
        <f>HYPERLINK("http://141.218.60.56/~jnz1568/getInfo.php?workbook=06_02.xlsx&amp;sheet=A0&amp;row=486&amp;col=17&amp;number=2.226e-09&amp;sourceID=32","2.226e-09")</f>
        <v>2.226e-09</v>
      </c>
      <c r="R486" s="4" t="str">
        <f>HYPERLINK("http://141.218.60.56/~jnz1568/getInfo.php?workbook=06_02.xlsx&amp;sheet=A0&amp;row=486&amp;col=18&amp;number=&amp;sourceID=32","")</f>
        <v/>
      </c>
    </row>
    <row r="487" spans="1:18">
      <c r="A487" s="3">
        <v>6</v>
      </c>
      <c r="B487" s="3">
        <v>2</v>
      </c>
      <c r="C487" s="3">
        <v>35</v>
      </c>
      <c r="D487" s="3">
        <v>28</v>
      </c>
      <c r="E487" s="3">
        <f>((1/(INDEX(E0!J$4:J$52,C487,1)-INDEX(E0!J$4:J$52,D487,1))))*100000000</f>
        <v>0</v>
      </c>
      <c r="F487" s="4" t="str">
        <f>HYPERLINK("http://141.218.60.56/~jnz1568/getInfo.php?workbook=06_02.xlsx&amp;sheet=A0&amp;row=487&amp;col=6&amp;number=&amp;sourceID=27","")</f>
        <v/>
      </c>
      <c r="G487" s="4" t="str">
        <f>HYPERLINK("http://141.218.60.56/~jnz1568/getInfo.php?workbook=06_02.xlsx&amp;sheet=A0&amp;row=487&amp;col=7&amp;number=&amp;sourceID=34","")</f>
        <v/>
      </c>
      <c r="H487" s="4" t="str">
        <f>HYPERLINK("http://141.218.60.56/~jnz1568/getInfo.php?workbook=06_02.xlsx&amp;sheet=A0&amp;row=487&amp;col=8&amp;number=&amp;sourceID=34","")</f>
        <v/>
      </c>
      <c r="I487" s="4" t="str">
        <f>HYPERLINK("http://141.218.60.56/~jnz1568/getInfo.php?workbook=06_02.xlsx&amp;sheet=A0&amp;row=487&amp;col=9&amp;number=&amp;sourceID=34","")</f>
        <v/>
      </c>
      <c r="J487" s="4" t="str">
        <f>HYPERLINK("http://141.218.60.56/~jnz1568/getInfo.php?workbook=06_02.xlsx&amp;sheet=A0&amp;row=487&amp;col=10&amp;number=&amp;sourceID=34","")</f>
        <v/>
      </c>
      <c r="K487" s="4" t="str">
        <f>HYPERLINK("http://141.218.60.56/~jnz1568/getInfo.php?workbook=06_02.xlsx&amp;sheet=A0&amp;row=487&amp;col=11&amp;number=&amp;sourceID=30","")</f>
        <v/>
      </c>
      <c r="L487" s="4" t="str">
        <f>HYPERLINK("http://141.218.60.56/~jnz1568/getInfo.php?workbook=06_02.xlsx&amp;sheet=A0&amp;row=487&amp;col=12&amp;number=353.9&amp;sourceID=30","353.9")</f>
        <v>353.9</v>
      </c>
      <c r="M487" s="4" t="str">
        <f>HYPERLINK("http://141.218.60.56/~jnz1568/getInfo.php?workbook=06_02.xlsx&amp;sheet=A0&amp;row=487&amp;col=13&amp;number=&amp;sourceID=30","")</f>
        <v/>
      </c>
      <c r="N487" s="4" t="str">
        <f>HYPERLINK("http://141.218.60.56/~jnz1568/getInfo.php?workbook=06_02.xlsx&amp;sheet=A0&amp;row=487&amp;col=14&amp;number=&amp;sourceID=30","")</f>
        <v/>
      </c>
      <c r="O487" s="4" t="str">
        <f>HYPERLINK("http://141.218.60.56/~jnz1568/getInfo.php?workbook=06_02.xlsx&amp;sheet=A0&amp;row=487&amp;col=15&amp;number=&amp;sourceID=32","")</f>
        <v/>
      </c>
      <c r="P487" s="4" t="str">
        <f>HYPERLINK("http://141.218.60.56/~jnz1568/getInfo.php?workbook=06_02.xlsx&amp;sheet=A0&amp;row=487&amp;col=16&amp;number=190.6&amp;sourceID=32","190.6")</f>
        <v>190.6</v>
      </c>
      <c r="Q487" s="4" t="str">
        <f>HYPERLINK("http://141.218.60.56/~jnz1568/getInfo.php?workbook=06_02.xlsx&amp;sheet=A0&amp;row=487&amp;col=17&amp;number=&amp;sourceID=32","")</f>
        <v/>
      </c>
      <c r="R487" s="4" t="str">
        <f>HYPERLINK("http://141.218.60.56/~jnz1568/getInfo.php?workbook=06_02.xlsx&amp;sheet=A0&amp;row=487&amp;col=18&amp;number=&amp;sourceID=32","")</f>
        <v/>
      </c>
    </row>
    <row r="488" spans="1:18">
      <c r="A488" s="3">
        <v>6</v>
      </c>
      <c r="B488" s="3">
        <v>2</v>
      </c>
      <c r="C488" s="3">
        <v>35</v>
      </c>
      <c r="D488" s="3">
        <v>30</v>
      </c>
      <c r="E488" s="3">
        <f>((1/(INDEX(E0!J$4:J$52,C488,1)-INDEX(E0!J$4:J$52,D488,1))))*100000000</f>
        <v>0</v>
      </c>
      <c r="F488" s="4" t="str">
        <f>HYPERLINK("http://141.218.60.56/~jnz1568/getInfo.php?workbook=06_02.xlsx&amp;sheet=A0&amp;row=488&amp;col=6&amp;number=&amp;sourceID=27","")</f>
        <v/>
      </c>
      <c r="G488" s="4" t="str">
        <f>HYPERLINK("http://141.218.60.56/~jnz1568/getInfo.php?workbook=06_02.xlsx&amp;sheet=A0&amp;row=488&amp;col=7&amp;number=&amp;sourceID=34","")</f>
        <v/>
      </c>
      <c r="H488" s="4" t="str">
        <f>HYPERLINK("http://141.218.60.56/~jnz1568/getInfo.php?workbook=06_02.xlsx&amp;sheet=A0&amp;row=488&amp;col=8&amp;number=&amp;sourceID=34","")</f>
        <v/>
      </c>
      <c r="I488" s="4" t="str">
        <f>HYPERLINK("http://141.218.60.56/~jnz1568/getInfo.php?workbook=06_02.xlsx&amp;sheet=A0&amp;row=488&amp;col=9&amp;number=&amp;sourceID=34","")</f>
        <v/>
      </c>
      <c r="J488" s="4" t="str">
        <f>HYPERLINK("http://141.218.60.56/~jnz1568/getInfo.php?workbook=06_02.xlsx&amp;sheet=A0&amp;row=488&amp;col=10&amp;number=&amp;sourceID=34","")</f>
        <v/>
      </c>
      <c r="K488" s="4" t="str">
        <f>HYPERLINK("http://141.218.60.56/~jnz1568/getInfo.php?workbook=06_02.xlsx&amp;sheet=A0&amp;row=488&amp;col=11&amp;number=154400&amp;sourceID=30","154400")</f>
        <v>154400</v>
      </c>
      <c r="L488" s="4" t="str">
        <f>HYPERLINK("http://141.218.60.56/~jnz1568/getInfo.php?workbook=06_02.xlsx&amp;sheet=A0&amp;row=488&amp;col=12&amp;number=&amp;sourceID=30","")</f>
        <v/>
      </c>
      <c r="M488" s="4" t="str">
        <f>HYPERLINK("http://141.218.60.56/~jnz1568/getInfo.php?workbook=06_02.xlsx&amp;sheet=A0&amp;row=488&amp;col=13&amp;number=&amp;sourceID=30","")</f>
        <v/>
      </c>
      <c r="N488" s="4" t="str">
        <f>HYPERLINK("http://141.218.60.56/~jnz1568/getInfo.php?workbook=06_02.xlsx&amp;sheet=A0&amp;row=488&amp;col=14&amp;number=0.00201&amp;sourceID=30","0.00201")</f>
        <v>0.00201</v>
      </c>
      <c r="O488" s="4" t="str">
        <f>HYPERLINK("http://141.218.60.56/~jnz1568/getInfo.php?workbook=06_02.xlsx&amp;sheet=A0&amp;row=488&amp;col=15&amp;number=222800&amp;sourceID=32","222800")</f>
        <v>222800</v>
      </c>
      <c r="P488" s="4" t="str">
        <f>HYPERLINK("http://141.218.60.56/~jnz1568/getInfo.php?workbook=06_02.xlsx&amp;sheet=A0&amp;row=488&amp;col=16&amp;number=&amp;sourceID=32","")</f>
        <v/>
      </c>
      <c r="Q488" s="4" t="str">
        <f>HYPERLINK("http://141.218.60.56/~jnz1568/getInfo.php?workbook=06_02.xlsx&amp;sheet=A0&amp;row=488&amp;col=17&amp;number=&amp;sourceID=32","")</f>
        <v/>
      </c>
      <c r="R488" s="4" t="str">
        <f>HYPERLINK("http://141.218.60.56/~jnz1568/getInfo.php?workbook=06_02.xlsx&amp;sheet=A0&amp;row=488&amp;col=18&amp;number=0.002059&amp;sourceID=32","0.002059")</f>
        <v>0.002059</v>
      </c>
    </row>
    <row r="489" spans="1:18">
      <c r="A489" s="3">
        <v>6</v>
      </c>
      <c r="B489" s="3">
        <v>2</v>
      </c>
      <c r="C489" s="3">
        <v>35</v>
      </c>
      <c r="D489" s="3">
        <v>31</v>
      </c>
      <c r="E489" s="3">
        <f>((1/(INDEX(E0!J$4:J$52,C489,1)-INDEX(E0!J$4:J$52,D489,1))))*100000000</f>
        <v>0</v>
      </c>
      <c r="F489" s="4" t="str">
        <f>HYPERLINK("http://141.218.60.56/~jnz1568/getInfo.php?workbook=06_02.xlsx&amp;sheet=A0&amp;row=489&amp;col=6&amp;number=&amp;sourceID=27","")</f>
        <v/>
      </c>
      <c r="G489" s="4" t="str">
        <f>HYPERLINK("http://141.218.60.56/~jnz1568/getInfo.php?workbook=06_02.xlsx&amp;sheet=A0&amp;row=489&amp;col=7&amp;number=&amp;sourceID=34","")</f>
        <v/>
      </c>
      <c r="H489" s="4" t="str">
        <f>HYPERLINK("http://141.218.60.56/~jnz1568/getInfo.php?workbook=06_02.xlsx&amp;sheet=A0&amp;row=489&amp;col=8&amp;number=&amp;sourceID=34","")</f>
        <v/>
      </c>
      <c r="I489" s="4" t="str">
        <f>HYPERLINK("http://141.218.60.56/~jnz1568/getInfo.php?workbook=06_02.xlsx&amp;sheet=A0&amp;row=489&amp;col=9&amp;number=&amp;sourceID=34","")</f>
        <v/>
      </c>
      <c r="J489" s="4" t="str">
        <f>HYPERLINK("http://141.218.60.56/~jnz1568/getInfo.php?workbook=06_02.xlsx&amp;sheet=A0&amp;row=489&amp;col=10&amp;number=&amp;sourceID=34","")</f>
        <v/>
      </c>
      <c r="K489" s="4" t="str">
        <f>HYPERLINK("http://141.218.60.56/~jnz1568/getInfo.php?workbook=06_02.xlsx&amp;sheet=A0&amp;row=489&amp;col=11&amp;number=&amp;sourceID=30","")</f>
        <v/>
      </c>
      <c r="L489" s="4" t="str">
        <f>HYPERLINK("http://141.218.60.56/~jnz1568/getInfo.php?workbook=06_02.xlsx&amp;sheet=A0&amp;row=489&amp;col=12&amp;number=0.4647&amp;sourceID=30","0.4647")</f>
        <v>0.4647</v>
      </c>
      <c r="M489" s="4" t="str">
        <f>HYPERLINK("http://141.218.60.56/~jnz1568/getInfo.php?workbook=06_02.xlsx&amp;sheet=A0&amp;row=489&amp;col=13&amp;number=0.0002193&amp;sourceID=30","0.0002193")</f>
        <v>0.0002193</v>
      </c>
      <c r="N489" s="4" t="str">
        <f>HYPERLINK("http://141.218.60.56/~jnz1568/getInfo.php?workbook=06_02.xlsx&amp;sheet=A0&amp;row=489&amp;col=14&amp;number=&amp;sourceID=30","")</f>
        <v/>
      </c>
      <c r="O489" s="4" t="str">
        <f>HYPERLINK("http://141.218.60.56/~jnz1568/getInfo.php?workbook=06_02.xlsx&amp;sheet=A0&amp;row=489&amp;col=15&amp;number=&amp;sourceID=32","")</f>
        <v/>
      </c>
      <c r="P489" s="4" t="str">
        <f>HYPERLINK("http://141.218.60.56/~jnz1568/getInfo.php?workbook=06_02.xlsx&amp;sheet=A0&amp;row=489&amp;col=16&amp;number=0.5068&amp;sourceID=32","0.5068")</f>
        <v>0.5068</v>
      </c>
      <c r="Q489" s="4" t="str">
        <f>HYPERLINK("http://141.218.60.56/~jnz1568/getInfo.php?workbook=06_02.xlsx&amp;sheet=A0&amp;row=489&amp;col=17&amp;number=0.0002221&amp;sourceID=32","0.0002221")</f>
        <v>0.0002221</v>
      </c>
      <c r="R489" s="4" t="str">
        <f>HYPERLINK("http://141.218.60.56/~jnz1568/getInfo.php?workbook=06_02.xlsx&amp;sheet=A0&amp;row=489&amp;col=18&amp;number=&amp;sourceID=32","")</f>
        <v/>
      </c>
    </row>
    <row r="490" spans="1:18">
      <c r="A490" s="3">
        <v>6</v>
      </c>
      <c r="B490" s="3">
        <v>2</v>
      </c>
      <c r="C490" s="3">
        <v>35</v>
      </c>
      <c r="D490" s="3">
        <v>32</v>
      </c>
      <c r="E490" s="3">
        <f>((1/(INDEX(E0!J$4:J$52,C490,1)-INDEX(E0!J$4:J$52,D490,1))))*100000000</f>
        <v>0</v>
      </c>
      <c r="F490" s="4" t="str">
        <f>HYPERLINK("http://141.218.60.56/~jnz1568/getInfo.php?workbook=06_02.xlsx&amp;sheet=A0&amp;row=490&amp;col=6&amp;number=&amp;sourceID=27","")</f>
        <v/>
      </c>
      <c r="G490" s="4" t="str">
        <f>HYPERLINK("http://141.218.60.56/~jnz1568/getInfo.php?workbook=06_02.xlsx&amp;sheet=A0&amp;row=490&amp;col=7&amp;number=&amp;sourceID=34","")</f>
        <v/>
      </c>
      <c r="H490" s="4" t="str">
        <f>HYPERLINK("http://141.218.60.56/~jnz1568/getInfo.php?workbook=06_02.xlsx&amp;sheet=A0&amp;row=490&amp;col=8&amp;number=&amp;sourceID=34","")</f>
        <v/>
      </c>
      <c r="I490" s="4" t="str">
        <f>HYPERLINK("http://141.218.60.56/~jnz1568/getInfo.php?workbook=06_02.xlsx&amp;sheet=A0&amp;row=490&amp;col=9&amp;number=&amp;sourceID=34","")</f>
        <v/>
      </c>
      <c r="J490" s="4" t="str">
        <f>HYPERLINK("http://141.218.60.56/~jnz1568/getInfo.php?workbook=06_02.xlsx&amp;sheet=A0&amp;row=490&amp;col=10&amp;number=&amp;sourceID=34","")</f>
        <v/>
      </c>
      <c r="K490" s="4" t="str">
        <f>HYPERLINK("http://141.218.60.56/~jnz1568/getInfo.php?workbook=06_02.xlsx&amp;sheet=A0&amp;row=490&amp;col=11&amp;number=528600&amp;sourceID=30","528600")</f>
        <v>528600</v>
      </c>
      <c r="L490" s="4" t="str">
        <f>HYPERLINK("http://141.218.60.56/~jnz1568/getInfo.php?workbook=06_02.xlsx&amp;sheet=A0&amp;row=490&amp;col=12&amp;number=&amp;sourceID=30","")</f>
        <v/>
      </c>
      <c r="M490" s="4" t="str">
        <f>HYPERLINK("http://141.218.60.56/~jnz1568/getInfo.php?workbook=06_02.xlsx&amp;sheet=A0&amp;row=490&amp;col=13&amp;number=&amp;sourceID=30","")</f>
        <v/>
      </c>
      <c r="N490" s="4" t="str">
        <f>HYPERLINK("http://141.218.60.56/~jnz1568/getInfo.php?workbook=06_02.xlsx&amp;sheet=A0&amp;row=490&amp;col=14&amp;number=1.152e-08&amp;sourceID=30","1.152e-08")</f>
        <v>1.152e-08</v>
      </c>
      <c r="O490" s="4" t="str">
        <f>HYPERLINK("http://141.218.60.56/~jnz1568/getInfo.php?workbook=06_02.xlsx&amp;sheet=A0&amp;row=490&amp;col=15&amp;number=504400&amp;sourceID=32","504400")</f>
        <v>504400</v>
      </c>
      <c r="P490" s="4" t="str">
        <f>HYPERLINK("http://141.218.60.56/~jnz1568/getInfo.php?workbook=06_02.xlsx&amp;sheet=A0&amp;row=490&amp;col=16&amp;number=&amp;sourceID=32","")</f>
        <v/>
      </c>
      <c r="Q490" s="4" t="str">
        <f>HYPERLINK("http://141.218.60.56/~jnz1568/getInfo.php?workbook=06_02.xlsx&amp;sheet=A0&amp;row=490&amp;col=17&amp;number=&amp;sourceID=32","")</f>
        <v/>
      </c>
      <c r="R490" s="4" t="str">
        <f>HYPERLINK("http://141.218.60.56/~jnz1568/getInfo.php?workbook=06_02.xlsx&amp;sheet=A0&amp;row=490&amp;col=18&amp;number=1.077e-08&amp;sourceID=32","1.077e-08")</f>
        <v>1.077e-08</v>
      </c>
    </row>
    <row r="491" spans="1:18">
      <c r="A491" s="3">
        <v>6</v>
      </c>
      <c r="B491" s="3">
        <v>2</v>
      </c>
      <c r="C491" s="3">
        <v>35</v>
      </c>
      <c r="D491" s="3">
        <v>34</v>
      </c>
      <c r="E491" s="3"/>
      <c r="F491" s="4" t="str">
        <f>HYPERLINK("http://141.218.60.56/~jnz1568/getInfo.php?workbook=06_02.xlsx&amp;sheet=A0&amp;row=491&amp;col=6&amp;number=&amp;sourceID=27","")</f>
        <v/>
      </c>
      <c r="G491" s="4" t="str">
        <f>HYPERLINK("http://141.218.60.56/~jnz1568/getInfo.php?workbook=06_02.xlsx&amp;sheet=A0&amp;row=491&amp;col=7&amp;number=&amp;sourceID=34","")</f>
        <v/>
      </c>
      <c r="H491" s="4" t="str">
        <f>HYPERLINK("http://141.218.60.56/~jnz1568/getInfo.php?workbook=06_02.xlsx&amp;sheet=A0&amp;row=491&amp;col=8&amp;number=&amp;sourceID=34","")</f>
        <v/>
      </c>
      <c r="I491" s="4" t="str">
        <f>HYPERLINK("http://141.218.60.56/~jnz1568/getInfo.php?workbook=06_02.xlsx&amp;sheet=A0&amp;row=491&amp;col=9&amp;number=&amp;sourceID=34","")</f>
        <v/>
      </c>
      <c r="J491" s="4" t="str">
        <f>HYPERLINK("http://141.218.60.56/~jnz1568/getInfo.php?workbook=06_02.xlsx&amp;sheet=A0&amp;row=491&amp;col=10&amp;number=&amp;sourceID=34","")</f>
        <v/>
      </c>
      <c r="K491" s="4" t="str">
        <f>HYPERLINK("http://141.218.60.56/~jnz1568/getInfo.php?workbook=06_02.xlsx&amp;sheet=A0&amp;row=491&amp;col=11&amp;number=&amp;sourceID=30","")</f>
        <v/>
      </c>
      <c r="L491" s="4" t="str">
        <f>HYPERLINK("http://141.218.60.56/~jnz1568/getInfo.php?workbook=06_02.xlsx&amp;sheet=A0&amp;row=491&amp;col=12&amp;number=&amp;sourceID=30","")</f>
        <v/>
      </c>
      <c r="M491" s="4" t="str">
        <f>HYPERLINK("http://141.218.60.56/~jnz1568/getInfo.php?workbook=06_02.xlsx&amp;sheet=A0&amp;row=491&amp;col=13&amp;number=3.9e-14&amp;sourceID=30","3.9e-14")</f>
        <v>3.9e-14</v>
      </c>
      <c r="N491" s="4" t="str">
        <f>HYPERLINK("http://141.218.60.56/~jnz1568/getInfo.php?workbook=06_02.xlsx&amp;sheet=A0&amp;row=491&amp;col=14&amp;number=&amp;sourceID=30","")</f>
        <v/>
      </c>
      <c r="O491" s="4" t="str">
        <f>HYPERLINK("http://141.218.60.56/~jnz1568/getInfo.php?workbook=06_02.xlsx&amp;sheet=A0&amp;row=491&amp;col=15&amp;number=&amp;sourceID=32","")</f>
        <v/>
      </c>
      <c r="P491" s="4" t="str">
        <f>HYPERLINK("http://141.218.60.56/~jnz1568/getInfo.php?workbook=06_02.xlsx&amp;sheet=A0&amp;row=491&amp;col=16&amp;number=&amp;sourceID=32","")</f>
        <v/>
      </c>
      <c r="Q491" s="4" t="str">
        <f>HYPERLINK("http://141.218.60.56/~jnz1568/getInfo.php?workbook=06_02.xlsx&amp;sheet=A0&amp;row=491&amp;col=17&amp;number=&amp;sourceID=32","")</f>
        <v/>
      </c>
      <c r="R491" s="4" t="str">
        <f>HYPERLINK("http://141.218.60.56/~jnz1568/getInfo.php?workbook=06_02.xlsx&amp;sheet=A0&amp;row=491&amp;col=18&amp;number=&amp;sourceID=32","")</f>
        <v/>
      </c>
    </row>
    <row r="492" spans="1:18">
      <c r="A492" s="3">
        <v>6</v>
      </c>
      <c r="B492" s="3">
        <v>2</v>
      </c>
      <c r="C492" s="3">
        <v>36</v>
      </c>
      <c r="D492" s="3">
        <v>1</v>
      </c>
      <c r="E492" s="3">
        <f>((1/(INDEX(E0!J$4:J$52,C492,1)-INDEX(E0!J$4:J$52,D492,1))))*100000000</f>
        <v>0</v>
      </c>
      <c r="F492" s="4" t="str">
        <f>HYPERLINK("http://141.218.60.56/~jnz1568/getInfo.php?workbook=06_02.xlsx&amp;sheet=A0&amp;row=492&amp;col=6&amp;number=&amp;sourceID=27","")</f>
        <v/>
      </c>
      <c r="G492" s="4" t="str">
        <f>HYPERLINK("http://141.218.60.56/~jnz1568/getInfo.php?workbook=06_02.xlsx&amp;sheet=A0&amp;row=492&amp;col=7&amp;number=&amp;sourceID=34","")</f>
        <v/>
      </c>
      <c r="H492" s="4" t="str">
        <f>HYPERLINK("http://141.218.60.56/~jnz1568/getInfo.php?workbook=06_02.xlsx&amp;sheet=A0&amp;row=492&amp;col=8&amp;number=&amp;sourceID=34","")</f>
        <v/>
      </c>
      <c r="I492" s="4" t="str">
        <f>HYPERLINK("http://141.218.60.56/~jnz1568/getInfo.php?workbook=06_02.xlsx&amp;sheet=A0&amp;row=492&amp;col=9&amp;number=&amp;sourceID=34","")</f>
        <v/>
      </c>
      <c r="J492" s="4" t="str">
        <f>HYPERLINK("http://141.218.60.56/~jnz1568/getInfo.php?workbook=06_02.xlsx&amp;sheet=A0&amp;row=492&amp;col=10&amp;number=&amp;sourceID=34","")</f>
        <v/>
      </c>
      <c r="K492" s="4" t="str">
        <f>HYPERLINK("http://141.218.60.56/~jnz1568/getInfo.php?workbook=06_02.xlsx&amp;sheet=A0&amp;row=492&amp;col=11&amp;number=&amp;sourceID=30","")</f>
        <v/>
      </c>
      <c r="L492" s="4" t="str">
        <f>HYPERLINK("http://141.218.60.56/~jnz1568/getInfo.php?workbook=06_02.xlsx&amp;sheet=A0&amp;row=492&amp;col=12&amp;number=&amp;sourceID=30","")</f>
        <v/>
      </c>
      <c r="M492" s="4" t="str">
        <f>HYPERLINK("http://141.218.60.56/~jnz1568/getInfo.php?workbook=06_02.xlsx&amp;sheet=A0&amp;row=492&amp;col=13&amp;number=&amp;sourceID=30","")</f>
        <v/>
      </c>
      <c r="N492" s="4" t="str">
        <f>HYPERLINK("http://141.218.60.56/~jnz1568/getInfo.php?workbook=06_02.xlsx&amp;sheet=A0&amp;row=492&amp;col=14&amp;number=4820&amp;sourceID=30","4820")</f>
        <v>4820</v>
      </c>
      <c r="O492" s="4" t="str">
        <f>HYPERLINK("http://141.218.60.56/~jnz1568/getInfo.php?workbook=06_02.xlsx&amp;sheet=A0&amp;row=492&amp;col=15&amp;number=&amp;sourceID=32","")</f>
        <v/>
      </c>
      <c r="P492" s="4" t="str">
        <f>HYPERLINK("http://141.218.60.56/~jnz1568/getInfo.php?workbook=06_02.xlsx&amp;sheet=A0&amp;row=492&amp;col=16&amp;number=&amp;sourceID=32","")</f>
        <v/>
      </c>
      <c r="Q492" s="4" t="str">
        <f>HYPERLINK("http://141.218.60.56/~jnz1568/getInfo.php?workbook=06_02.xlsx&amp;sheet=A0&amp;row=492&amp;col=17&amp;number=&amp;sourceID=32","")</f>
        <v/>
      </c>
      <c r="R492" s="4" t="str">
        <f>HYPERLINK("http://141.218.60.56/~jnz1568/getInfo.php?workbook=06_02.xlsx&amp;sheet=A0&amp;row=492&amp;col=18&amp;number=2224&amp;sourceID=32","2224")</f>
        <v>2224</v>
      </c>
    </row>
    <row r="493" spans="1:18">
      <c r="A493" s="3">
        <v>6</v>
      </c>
      <c r="B493" s="3">
        <v>2</v>
      </c>
      <c r="C493" s="3">
        <v>36</v>
      </c>
      <c r="D493" s="3">
        <v>2</v>
      </c>
      <c r="E493" s="3">
        <f>((1/(INDEX(E0!J$4:J$52,C493,1)-INDEX(E0!J$4:J$52,D493,1))))*100000000</f>
        <v>0</v>
      </c>
      <c r="F493" s="4" t="str">
        <f>HYPERLINK("http://141.218.60.56/~jnz1568/getInfo.php?workbook=06_02.xlsx&amp;sheet=A0&amp;row=493&amp;col=6&amp;number=&amp;sourceID=27","")</f>
        <v/>
      </c>
      <c r="G493" s="4" t="str">
        <f>HYPERLINK("http://141.218.60.56/~jnz1568/getInfo.php?workbook=06_02.xlsx&amp;sheet=A0&amp;row=493&amp;col=7&amp;number=&amp;sourceID=34","")</f>
        <v/>
      </c>
      <c r="H493" s="4" t="str">
        <f>HYPERLINK("http://141.218.60.56/~jnz1568/getInfo.php?workbook=06_02.xlsx&amp;sheet=A0&amp;row=493&amp;col=8&amp;number=&amp;sourceID=34","")</f>
        <v/>
      </c>
      <c r="I493" s="4" t="str">
        <f>HYPERLINK("http://141.218.60.56/~jnz1568/getInfo.php?workbook=06_02.xlsx&amp;sheet=A0&amp;row=493&amp;col=9&amp;number=&amp;sourceID=34","")</f>
        <v/>
      </c>
      <c r="J493" s="4" t="str">
        <f>HYPERLINK("http://141.218.60.56/~jnz1568/getInfo.php?workbook=06_02.xlsx&amp;sheet=A0&amp;row=493&amp;col=10&amp;number=&amp;sourceID=34","")</f>
        <v/>
      </c>
      <c r="K493" s="4" t="str">
        <f>HYPERLINK("http://141.218.60.56/~jnz1568/getInfo.php?workbook=06_02.xlsx&amp;sheet=A0&amp;row=493&amp;col=11&amp;number=2552000000&amp;sourceID=30","2552000000")</f>
        <v>2552000000</v>
      </c>
      <c r="L493" s="4" t="str">
        <f>HYPERLINK("http://141.218.60.56/~jnz1568/getInfo.php?workbook=06_02.xlsx&amp;sheet=A0&amp;row=493&amp;col=12&amp;number=&amp;sourceID=30","")</f>
        <v/>
      </c>
      <c r="M493" s="4" t="str">
        <f>HYPERLINK("http://141.218.60.56/~jnz1568/getInfo.php?workbook=06_02.xlsx&amp;sheet=A0&amp;row=493&amp;col=13&amp;number=&amp;sourceID=30","")</f>
        <v/>
      </c>
      <c r="N493" s="4" t="str">
        <f>HYPERLINK("http://141.218.60.56/~jnz1568/getInfo.php?workbook=06_02.xlsx&amp;sheet=A0&amp;row=493&amp;col=14&amp;number=6.912&amp;sourceID=30","6.912")</f>
        <v>6.912</v>
      </c>
      <c r="O493" s="4" t="str">
        <f>HYPERLINK("http://141.218.60.56/~jnz1568/getInfo.php?workbook=06_02.xlsx&amp;sheet=A0&amp;row=493&amp;col=15&amp;number=3220000000&amp;sourceID=32","3220000000")</f>
        <v>3220000000</v>
      </c>
      <c r="P493" s="4" t="str">
        <f>HYPERLINK("http://141.218.60.56/~jnz1568/getInfo.php?workbook=06_02.xlsx&amp;sheet=A0&amp;row=493&amp;col=16&amp;number=&amp;sourceID=32","")</f>
        <v/>
      </c>
      <c r="Q493" s="4" t="str">
        <f>HYPERLINK("http://141.218.60.56/~jnz1568/getInfo.php?workbook=06_02.xlsx&amp;sheet=A0&amp;row=493&amp;col=17&amp;number=&amp;sourceID=32","")</f>
        <v/>
      </c>
      <c r="R493" s="4" t="str">
        <f>HYPERLINK("http://141.218.60.56/~jnz1568/getInfo.php?workbook=06_02.xlsx&amp;sheet=A0&amp;row=493&amp;col=18&amp;number=8.74&amp;sourceID=32","8.74")</f>
        <v>8.74</v>
      </c>
    </row>
    <row r="494" spans="1:18">
      <c r="A494" s="3">
        <v>6</v>
      </c>
      <c r="B494" s="3">
        <v>2</v>
      </c>
      <c r="C494" s="3">
        <v>36</v>
      </c>
      <c r="D494" s="3">
        <v>3</v>
      </c>
      <c r="E494" s="3">
        <f>((1/(INDEX(E0!J$4:J$52,C494,1)-INDEX(E0!J$4:J$52,D494,1))))*100000000</f>
        <v>0</v>
      </c>
      <c r="F494" s="4" t="str">
        <f>HYPERLINK("http://141.218.60.56/~jnz1568/getInfo.php?workbook=06_02.xlsx&amp;sheet=A0&amp;row=494&amp;col=6&amp;number=&amp;sourceID=27","")</f>
        <v/>
      </c>
      <c r="G494" s="4" t="str">
        <f>HYPERLINK("http://141.218.60.56/~jnz1568/getInfo.php?workbook=06_02.xlsx&amp;sheet=A0&amp;row=494&amp;col=7&amp;number=&amp;sourceID=34","")</f>
        <v/>
      </c>
      <c r="H494" s="4" t="str">
        <f>HYPERLINK("http://141.218.60.56/~jnz1568/getInfo.php?workbook=06_02.xlsx&amp;sheet=A0&amp;row=494&amp;col=8&amp;number=&amp;sourceID=34","")</f>
        <v/>
      </c>
      <c r="I494" s="4" t="str">
        <f>HYPERLINK("http://141.218.60.56/~jnz1568/getInfo.php?workbook=06_02.xlsx&amp;sheet=A0&amp;row=494&amp;col=9&amp;number=&amp;sourceID=34","")</f>
        <v/>
      </c>
      <c r="J494" s="4" t="str">
        <f>HYPERLINK("http://141.218.60.56/~jnz1568/getInfo.php?workbook=06_02.xlsx&amp;sheet=A0&amp;row=494&amp;col=10&amp;number=&amp;sourceID=34","")</f>
        <v/>
      </c>
      <c r="K494" s="4" t="str">
        <f>HYPERLINK("http://141.218.60.56/~jnz1568/getInfo.php?workbook=06_02.xlsx&amp;sheet=A0&amp;row=494&amp;col=11&amp;number=&amp;sourceID=30","")</f>
        <v/>
      </c>
      <c r="L494" s="4" t="str">
        <f>HYPERLINK("http://141.218.60.56/~jnz1568/getInfo.php?workbook=06_02.xlsx&amp;sheet=A0&amp;row=494&amp;col=12&amp;number=&amp;sourceID=30","")</f>
        <v/>
      </c>
      <c r="M494" s="4" t="str">
        <f>HYPERLINK("http://141.218.60.56/~jnz1568/getInfo.php?workbook=06_02.xlsx&amp;sheet=A0&amp;row=494&amp;col=13&amp;number=&amp;sourceID=30","")</f>
        <v/>
      </c>
      <c r="N494" s="4" t="str">
        <f>HYPERLINK("http://141.218.60.56/~jnz1568/getInfo.php?workbook=06_02.xlsx&amp;sheet=A0&amp;row=494&amp;col=14&amp;number=7.823&amp;sourceID=30","7.823")</f>
        <v>7.823</v>
      </c>
      <c r="O494" s="4" t="str">
        <f>HYPERLINK("http://141.218.60.56/~jnz1568/getInfo.php?workbook=06_02.xlsx&amp;sheet=A0&amp;row=494&amp;col=15&amp;number=&amp;sourceID=32","")</f>
        <v/>
      </c>
      <c r="P494" s="4" t="str">
        <f>HYPERLINK("http://141.218.60.56/~jnz1568/getInfo.php?workbook=06_02.xlsx&amp;sheet=A0&amp;row=494&amp;col=16&amp;number=&amp;sourceID=32","")</f>
        <v/>
      </c>
      <c r="Q494" s="4" t="str">
        <f>HYPERLINK("http://141.218.60.56/~jnz1568/getInfo.php?workbook=06_02.xlsx&amp;sheet=A0&amp;row=494&amp;col=17&amp;number=&amp;sourceID=32","")</f>
        <v/>
      </c>
      <c r="R494" s="4" t="str">
        <f>HYPERLINK("http://141.218.60.56/~jnz1568/getInfo.php?workbook=06_02.xlsx&amp;sheet=A0&amp;row=494&amp;col=18&amp;number=5.114&amp;sourceID=32","5.114")</f>
        <v>5.114</v>
      </c>
    </row>
    <row r="495" spans="1:18">
      <c r="A495" s="3">
        <v>6</v>
      </c>
      <c r="B495" s="3">
        <v>2</v>
      </c>
      <c r="C495" s="3">
        <v>36</v>
      </c>
      <c r="D495" s="3">
        <v>4</v>
      </c>
      <c r="E495" s="3">
        <f>((1/(INDEX(E0!J$4:J$52,C495,1)-INDEX(E0!J$4:J$52,D495,1))))*100000000</f>
        <v>0</v>
      </c>
      <c r="F495" s="4" t="str">
        <f>HYPERLINK("http://141.218.60.56/~jnz1568/getInfo.php?workbook=06_02.xlsx&amp;sheet=A0&amp;row=495&amp;col=6&amp;number=&amp;sourceID=27","")</f>
        <v/>
      </c>
      <c r="G495" s="4" t="str">
        <f>HYPERLINK("http://141.218.60.56/~jnz1568/getInfo.php?workbook=06_02.xlsx&amp;sheet=A0&amp;row=495&amp;col=7&amp;number=&amp;sourceID=34","")</f>
        <v/>
      </c>
      <c r="H495" s="4" t="str">
        <f>HYPERLINK("http://141.218.60.56/~jnz1568/getInfo.php?workbook=06_02.xlsx&amp;sheet=A0&amp;row=495&amp;col=8&amp;number=&amp;sourceID=34","")</f>
        <v/>
      </c>
      <c r="I495" s="4" t="str">
        <f>HYPERLINK("http://141.218.60.56/~jnz1568/getInfo.php?workbook=06_02.xlsx&amp;sheet=A0&amp;row=495&amp;col=9&amp;number=&amp;sourceID=34","")</f>
        <v/>
      </c>
      <c r="J495" s="4" t="str">
        <f>HYPERLINK("http://141.218.60.56/~jnz1568/getInfo.php?workbook=06_02.xlsx&amp;sheet=A0&amp;row=495&amp;col=10&amp;number=&amp;sourceID=34","")</f>
        <v/>
      </c>
      <c r="K495" s="4" t="str">
        <f>HYPERLINK("http://141.218.60.56/~jnz1568/getInfo.php?workbook=06_02.xlsx&amp;sheet=A0&amp;row=495&amp;col=11&amp;number=&amp;sourceID=30","")</f>
        <v/>
      </c>
      <c r="L495" s="4" t="str">
        <f>HYPERLINK("http://141.218.60.56/~jnz1568/getInfo.php?workbook=06_02.xlsx&amp;sheet=A0&amp;row=495&amp;col=12&amp;number=5115&amp;sourceID=30","5115")</f>
        <v>5115</v>
      </c>
      <c r="M495" s="4" t="str">
        <f>HYPERLINK("http://141.218.60.56/~jnz1568/getInfo.php?workbook=06_02.xlsx&amp;sheet=A0&amp;row=495&amp;col=13&amp;number=0.008068&amp;sourceID=30","0.008068")</f>
        <v>0.008068</v>
      </c>
      <c r="N495" s="4" t="str">
        <f>HYPERLINK("http://141.218.60.56/~jnz1568/getInfo.php?workbook=06_02.xlsx&amp;sheet=A0&amp;row=495&amp;col=14&amp;number=&amp;sourceID=30","")</f>
        <v/>
      </c>
      <c r="O495" s="4" t="str">
        <f>HYPERLINK("http://141.218.60.56/~jnz1568/getInfo.php?workbook=06_02.xlsx&amp;sheet=A0&amp;row=495&amp;col=15&amp;number=&amp;sourceID=32","")</f>
        <v/>
      </c>
      <c r="P495" s="4" t="str">
        <f>HYPERLINK("http://141.218.60.56/~jnz1568/getInfo.php?workbook=06_02.xlsx&amp;sheet=A0&amp;row=495&amp;col=16&amp;number=39610&amp;sourceID=32","39610")</f>
        <v>39610</v>
      </c>
      <c r="Q495" s="4" t="str">
        <f>HYPERLINK("http://141.218.60.56/~jnz1568/getInfo.php?workbook=06_02.xlsx&amp;sheet=A0&amp;row=495&amp;col=17&amp;number=0.009398&amp;sourceID=32","0.009398")</f>
        <v>0.009398</v>
      </c>
      <c r="R495" s="4" t="str">
        <f>HYPERLINK("http://141.218.60.56/~jnz1568/getInfo.php?workbook=06_02.xlsx&amp;sheet=A0&amp;row=495&amp;col=18&amp;number=&amp;sourceID=32","")</f>
        <v/>
      </c>
    </row>
    <row r="496" spans="1:18">
      <c r="A496" s="3">
        <v>6</v>
      </c>
      <c r="B496" s="3">
        <v>2</v>
      </c>
      <c r="C496" s="3">
        <v>36</v>
      </c>
      <c r="D496" s="3">
        <v>5</v>
      </c>
      <c r="E496" s="3">
        <f>((1/(INDEX(E0!J$4:J$52,C496,1)-INDEX(E0!J$4:J$52,D496,1))))*100000000</f>
        <v>0</v>
      </c>
      <c r="F496" s="4" t="str">
        <f>HYPERLINK("http://141.218.60.56/~jnz1568/getInfo.php?workbook=06_02.xlsx&amp;sheet=A0&amp;row=496&amp;col=6&amp;number=&amp;sourceID=27","")</f>
        <v/>
      </c>
      <c r="G496" s="4" t="str">
        <f>HYPERLINK("http://141.218.60.56/~jnz1568/getInfo.php?workbook=06_02.xlsx&amp;sheet=A0&amp;row=496&amp;col=7&amp;number=&amp;sourceID=34","")</f>
        <v/>
      </c>
      <c r="H496" s="4" t="str">
        <f>HYPERLINK("http://141.218.60.56/~jnz1568/getInfo.php?workbook=06_02.xlsx&amp;sheet=A0&amp;row=496&amp;col=8&amp;number=&amp;sourceID=34","")</f>
        <v/>
      </c>
      <c r="I496" s="4" t="str">
        <f>HYPERLINK("http://141.218.60.56/~jnz1568/getInfo.php?workbook=06_02.xlsx&amp;sheet=A0&amp;row=496&amp;col=9&amp;number=&amp;sourceID=34","")</f>
        <v/>
      </c>
      <c r="J496" s="4" t="str">
        <f>HYPERLINK("http://141.218.60.56/~jnz1568/getInfo.php?workbook=06_02.xlsx&amp;sheet=A0&amp;row=496&amp;col=10&amp;number=&amp;sourceID=34","")</f>
        <v/>
      </c>
      <c r="K496" s="4" t="str">
        <f>HYPERLINK("http://141.218.60.56/~jnz1568/getInfo.php?workbook=06_02.xlsx&amp;sheet=A0&amp;row=496&amp;col=11&amp;number=&amp;sourceID=30","")</f>
        <v/>
      </c>
      <c r="L496" s="4" t="str">
        <f>HYPERLINK("http://141.218.60.56/~jnz1568/getInfo.php?workbook=06_02.xlsx&amp;sheet=A0&amp;row=496&amp;col=12&amp;number=2368&amp;sourceID=30","2368")</f>
        <v>2368</v>
      </c>
      <c r="M496" s="4" t="str">
        <f>HYPERLINK("http://141.218.60.56/~jnz1568/getInfo.php?workbook=06_02.xlsx&amp;sheet=A0&amp;row=496&amp;col=13&amp;number=&amp;sourceID=30","")</f>
        <v/>
      </c>
      <c r="N496" s="4" t="str">
        <f>HYPERLINK("http://141.218.60.56/~jnz1568/getInfo.php?workbook=06_02.xlsx&amp;sheet=A0&amp;row=496&amp;col=14&amp;number=&amp;sourceID=30","")</f>
        <v/>
      </c>
      <c r="O496" s="4" t="str">
        <f>HYPERLINK("http://141.218.60.56/~jnz1568/getInfo.php?workbook=06_02.xlsx&amp;sheet=A0&amp;row=496&amp;col=15&amp;number=&amp;sourceID=32","")</f>
        <v/>
      </c>
      <c r="P496" s="4" t="str">
        <f>HYPERLINK("http://141.218.60.56/~jnz1568/getInfo.php?workbook=06_02.xlsx&amp;sheet=A0&amp;row=496&amp;col=16&amp;number=17600&amp;sourceID=32","17600")</f>
        <v>17600</v>
      </c>
      <c r="Q496" s="4" t="str">
        <f>HYPERLINK("http://141.218.60.56/~jnz1568/getInfo.php?workbook=06_02.xlsx&amp;sheet=A0&amp;row=496&amp;col=17&amp;number=&amp;sourceID=32","")</f>
        <v/>
      </c>
      <c r="R496" s="4" t="str">
        <f>HYPERLINK("http://141.218.60.56/~jnz1568/getInfo.php?workbook=06_02.xlsx&amp;sheet=A0&amp;row=496&amp;col=18&amp;number=&amp;sourceID=32","")</f>
        <v/>
      </c>
    </row>
    <row r="497" spans="1:18">
      <c r="A497" s="3">
        <v>6</v>
      </c>
      <c r="B497" s="3">
        <v>2</v>
      </c>
      <c r="C497" s="3">
        <v>36</v>
      </c>
      <c r="D497" s="3">
        <v>6</v>
      </c>
      <c r="E497" s="3">
        <f>((1/(INDEX(E0!J$4:J$52,C497,1)-INDEX(E0!J$4:J$52,D497,1))))*100000000</f>
        <v>0</v>
      </c>
      <c r="F497" s="4" t="str">
        <f>HYPERLINK("http://141.218.60.56/~jnz1568/getInfo.php?workbook=06_02.xlsx&amp;sheet=A0&amp;row=497&amp;col=6&amp;number=&amp;sourceID=27","")</f>
        <v/>
      </c>
      <c r="G497" s="4" t="str">
        <f>HYPERLINK("http://141.218.60.56/~jnz1568/getInfo.php?workbook=06_02.xlsx&amp;sheet=A0&amp;row=497&amp;col=7&amp;number=&amp;sourceID=34","")</f>
        <v/>
      </c>
      <c r="H497" s="4" t="str">
        <f>HYPERLINK("http://141.218.60.56/~jnz1568/getInfo.php?workbook=06_02.xlsx&amp;sheet=A0&amp;row=497&amp;col=8&amp;number=&amp;sourceID=34","")</f>
        <v/>
      </c>
      <c r="I497" s="4" t="str">
        <f>HYPERLINK("http://141.218.60.56/~jnz1568/getInfo.php?workbook=06_02.xlsx&amp;sheet=A0&amp;row=497&amp;col=9&amp;number=&amp;sourceID=34","")</f>
        <v/>
      </c>
      <c r="J497" s="4" t="str">
        <f>HYPERLINK("http://141.218.60.56/~jnz1568/getInfo.php?workbook=06_02.xlsx&amp;sheet=A0&amp;row=497&amp;col=10&amp;number=&amp;sourceID=34","")</f>
        <v/>
      </c>
      <c r="K497" s="4" t="str">
        <f>HYPERLINK("http://141.218.60.56/~jnz1568/getInfo.php?workbook=06_02.xlsx&amp;sheet=A0&amp;row=497&amp;col=11&amp;number=&amp;sourceID=30","")</f>
        <v/>
      </c>
      <c r="L497" s="4" t="str">
        <f>HYPERLINK("http://141.218.60.56/~jnz1568/getInfo.php?workbook=06_02.xlsx&amp;sheet=A0&amp;row=497&amp;col=12&amp;number=3895&amp;sourceID=30","3895")</f>
        <v>3895</v>
      </c>
      <c r="M497" s="4" t="str">
        <f>HYPERLINK("http://141.218.60.56/~jnz1568/getInfo.php?workbook=06_02.xlsx&amp;sheet=A0&amp;row=497&amp;col=13&amp;number=0.02845&amp;sourceID=30","0.02845")</f>
        <v>0.02845</v>
      </c>
      <c r="N497" s="4" t="str">
        <f>HYPERLINK("http://141.218.60.56/~jnz1568/getInfo.php?workbook=06_02.xlsx&amp;sheet=A0&amp;row=497&amp;col=14&amp;number=&amp;sourceID=30","")</f>
        <v/>
      </c>
      <c r="O497" s="4" t="str">
        <f>HYPERLINK("http://141.218.60.56/~jnz1568/getInfo.php?workbook=06_02.xlsx&amp;sheet=A0&amp;row=497&amp;col=15&amp;number=&amp;sourceID=32","")</f>
        <v/>
      </c>
      <c r="P497" s="4" t="str">
        <f>HYPERLINK("http://141.218.60.56/~jnz1568/getInfo.php?workbook=06_02.xlsx&amp;sheet=A0&amp;row=497&amp;col=16&amp;number=30780&amp;sourceID=32","30780")</f>
        <v>30780</v>
      </c>
      <c r="Q497" s="4" t="str">
        <f>HYPERLINK("http://141.218.60.56/~jnz1568/getInfo.php?workbook=06_02.xlsx&amp;sheet=A0&amp;row=497&amp;col=17&amp;number=0.01808&amp;sourceID=32","0.01808")</f>
        <v>0.01808</v>
      </c>
      <c r="R497" s="4" t="str">
        <f>HYPERLINK("http://141.218.60.56/~jnz1568/getInfo.php?workbook=06_02.xlsx&amp;sheet=A0&amp;row=497&amp;col=18&amp;number=&amp;sourceID=32","")</f>
        <v/>
      </c>
    </row>
    <row r="498" spans="1:18">
      <c r="A498" s="3">
        <v>6</v>
      </c>
      <c r="B498" s="3">
        <v>2</v>
      </c>
      <c r="C498" s="3">
        <v>36</v>
      </c>
      <c r="D498" s="3">
        <v>7</v>
      </c>
      <c r="E498" s="3">
        <f>((1/(INDEX(E0!J$4:J$52,C498,1)-INDEX(E0!J$4:J$52,D498,1))))*100000000</f>
        <v>0</v>
      </c>
      <c r="F498" s="4" t="str">
        <f>HYPERLINK("http://141.218.60.56/~jnz1568/getInfo.php?workbook=06_02.xlsx&amp;sheet=A0&amp;row=498&amp;col=6&amp;number=&amp;sourceID=27","")</f>
        <v/>
      </c>
      <c r="G498" s="4" t="str">
        <f>HYPERLINK("http://141.218.60.56/~jnz1568/getInfo.php?workbook=06_02.xlsx&amp;sheet=A0&amp;row=498&amp;col=7&amp;number=&amp;sourceID=34","")</f>
        <v/>
      </c>
      <c r="H498" s="4" t="str">
        <f>HYPERLINK("http://141.218.60.56/~jnz1568/getInfo.php?workbook=06_02.xlsx&amp;sheet=A0&amp;row=498&amp;col=8&amp;number=&amp;sourceID=34","")</f>
        <v/>
      </c>
      <c r="I498" s="4" t="str">
        <f>HYPERLINK("http://141.218.60.56/~jnz1568/getInfo.php?workbook=06_02.xlsx&amp;sheet=A0&amp;row=498&amp;col=9&amp;number=&amp;sourceID=34","")</f>
        <v/>
      </c>
      <c r="J498" s="4" t="str">
        <f>HYPERLINK("http://141.218.60.56/~jnz1568/getInfo.php?workbook=06_02.xlsx&amp;sheet=A0&amp;row=498&amp;col=10&amp;number=&amp;sourceID=34","")</f>
        <v/>
      </c>
      <c r="K498" s="4" t="str">
        <f>HYPERLINK("http://141.218.60.56/~jnz1568/getInfo.php?workbook=06_02.xlsx&amp;sheet=A0&amp;row=498&amp;col=11&amp;number=&amp;sourceID=30","")</f>
        <v/>
      </c>
      <c r="L498" s="4" t="str">
        <f>HYPERLINK("http://141.218.60.56/~jnz1568/getInfo.php?workbook=06_02.xlsx&amp;sheet=A0&amp;row=498&amp;col=12&amp;number=0.5038&amp;sourceID=30","0.5038")</f>
        <v>0.5038</v>
      </c>
      <c r="M498" s="4" t="str">
        <f>HYPERLINK("http://141.218.60.56/~jnz1568/getInfo.php?workbook=06_02.xlsx&amp;sheet=A0&amp;row=498&amp;col=13&amp;number=0.003512&amp;sourceID=30","0.003512")</f>
        <v>0.003512</v>
      </c>
      <c r="N498" s="4" t="str">
        <f>HYPERLINK("http://141.218.60.56/~jnz1568/getInfo.php?workbook=06_02.xlsx&amp;sheet=A0&amp;row=498&amp;col=14&amp;number=&amp;sourceID=30","")</f>
        <v/>
      </c>
      <c r="O498" s="4" t="str">
        <f>HYPERLINK("http://141.218.60.56/~jnz1568/getInfo.php?workbook=06_02.xlsx&amp;sheet=A0&amp;row=498&amp;col=15&amp;number=&amp;sourceID=32","")</f>
        <v/>
      </c>
      <c r="P498" s="4" t="str">
        <f>HYPERLINK("http://141.218.60.56/~jnz1568/getInfo.php?workbook=06_02.xlsx&amp;sheet=A0&amp;row=498&amp;col=16&amp;number=0.943&amp;sourceID=32","0.943")</f>
        <v>0.943</v>
      </c>
      <c r="Q498" s="4" t="str">
        <f>HYPERLINK("http://141.218.60.56/~jnz1568/getInfo.php?workbook=06_02.xlsx&amp;sheet=A0&amp;row=498&amp;col=17&amp;number=0.0009485&amp;sourceID=32","0.0009485")</f>
        <v>0.0009485</v>
      </c>
      <c r="R498" s="4" t="str">
        <f>HYPERLINK("http://141.218.60.56/~jnz1568/getInfo.php?workbook=06_02.xlsx&amp;sheet=A0&amp;row=498&amp;col=18&amp;number=&amp;sourceID=32","")</f>
        <v/>
      </c>
    </row>
    <row r="499" spans="1:18">
      <c r="A499" s="3">
        <v>6</v>
      </c>
      <c r="B499" s="3">
        <v>2</v>
      </c>
      <c r="C499" s="3">
        <v>36</v>
      </c>
      <c r="D499" s="3">
        <v>8</v>
      </c>
      <c r="E499" s="3">
        <f>((1/(INDEX(E0!J$4:J$52,C499,1)-INDEX(E0!J$4:J$52,D499,1))))*100000000</f>
        <v>0</v>
      </c>
      <c r="F499" s="4" t="str">
        <f>HYPERLINK("http://141.218.60.56/~jnz1568/getInfo.php?workbook=06_02.xlsx&amp;sheet=A0&amp;row=499&amp;col=6&amp;number=&amp;sourceID=27","")</f>
        <v/>
      </c>
      <c r="G499" s="4" t="str">
        <f>HYPERLINK("http://141.218.60.56/~jnz1568/getInfo.php?workbook=06_02.xlsx&amp;sheet=A0&amp;row=499&amp;col=7&amp;number=&amp;sourceID=34","")</f>
        <v/>
      </c>
      <c r="H499" s="4" t="str">
        <f>HYPERLINK("http://141.218.60.56/~jnz1568/getInfo.php?workbook=06_02.xlsx&amp;sheet=A0&amp;row=499&amp;col=8&amp;number=&amp;sourceID=34","")</f>
        <v/>
      </c>
      <c r="I499" s="4" t="str">
        <f>HYPERLINK("http://141.218.60.56/~jnz1568/getInfo.php?workbook=06_02.xlsx&amp;sheet=A0&amp;row=499&amp;col=9&amp;number=&amp;sourceID=34","")</f>
        <v/>
      </c>
      <c r="J499" s="4" t="str">
        <f>HYPERLINK("http://141.218.60.56/~jnz1568/getInfo.php?workbook=06_02.xlsx&amp;sheet=A0&amp;row=499&amp;col=10&amp;number=&amp;sourceID=34","")</f>
        <v/>
      </c>
      <c r="K499" s="4" t="str">
        <f>HYPERLINK("http://141.218.60.56/~jnz1568/getInfo.php?workbook=06_02.xlsx&amp;sheet=A0&amp;row=499&amp;col=11&amp;number=845800000&amp;sourceID=30","845800000")</f>
        <v>845800000</v>
      </c>
      <c r="L499" s="4" t="str">
        <f>HYPERLINK("http://141.218.60.56/~jnz1568/getInfo.php?workbook=06_02.xlsx&amp;sheet=A0&amp;row=499&amp;col=12&amp;number=&amp;sourceID=30","")</f>
        <v/>
      </c>
      <c r="M499" s="4" t="str">
        <f>HYPERLINK("http://141.218.60.56/~jnz1568/getInfo.php?workbook=06_02.xlsx&amp;sheet=A0&amp;row=499&amp;col=13&amp;number=&amp;sourceID=30","")</f>
        <v/>
      </c>
      <c r="N499" s="4" t="str">
        <f>HYPERLINK("http://141.218.60.56/~jnz1568/getInfo.php?workbook=06_02.xlsx&amp;sheet=A0&amp;row=499&amp;col=14&amp;number=0.251&amp;sourceID=30","0.251")</f>
        <v>0.251</v>
      </c>
      <c r="O499" s="4" t="str">
        <f>HYPERLINK("http://141.218.60.56/~jnz1568/getInfo.php?workbook=06_02.xlsx&amp;sheet=A0&amp;row=499&amp;col=15&amp;number=947400000&amp;sourceID=32","947400000")</f>
        <v>947400000</v>
      </c>
      <c r="P499" s="4" t="str">
        <f>HYPERLINK("http://141.218.60.56/~jnz1568/getInfo.php?workbook=06_02.xlsx&amp;sheet=A0&amp;row=499&amp;col=16&amp;number=&amp;sourceID=32","")</f>
        <v/>
      </c>
      <c r="Q499" s="4" t="str">
        <f>HYPERLINK("http://141.218.60.56/~jnz1568/getInfo.php?workbook=06_02.xlsx&amp;sheet=A0&amp;row=499&amp;col=17&amp;number=&amp;sourceID=32","")</f>
        <v/>
      </c>
      <c r="R499" s="4" t="str">
        <f>HYPERLINK("http://141.218.60.56/~jnz1568/getInfo.php?workbook=06_02.xlsx&amp;sheet=A0&amp;row=499&amp;col=18&amp;number=0.2815&amp;sourceID=32","0.2815")</f>
        <v>0.2815</v>
      </c>
    </row>
    <row r="500" spans="1:18">
      <c r="A500" s="3">
        <v>6</v>
      </c>
      <c r="B500" s="3">
        <v>2</v>
      </c>
      <c r="C500" s="3">
        <v>36</v>
      </c>
      <c r="D500" s="3">
        <v>9</v>
      </c>
      <c r="E500" s="3">
        <f>((1/(INDEX(E0!J$4:J$52,C500,1)-INDEX(E0!J$4:J$52,D500,1))))*100000000</f>
        <v>0</v>
      </c>
      <c r="F500" s="4" t="str">
        <f>HYPERLINK("http://141.218.60.56/~jnz1568/getInfo.php?workbook=06_02.xlsx&amp;sheet=A0&amp;row=500&amp;col=6&amp;number=&amp;sourceID=27","")</f>
        <v/>
      </c>
      <c r="G500" s="4" t="str">
        <f>HYPERLINK("http://141.218.60.56/~jnz1568/getInfo.php?workbook=06_02.xlsx&amp;sheet=A0&amp;row=500&amp;col=7&amp;number=&amp;sourceID=34","")</f>
        <v/>
      </c>
      <c r="H500" s="4" t="str">
        <f>HYPERLINK("http://141.218.60.56/~jnz1568/getInfo.php?workbook=06_02.xlsx&amp;sheet=A0&amp;row=500&amp;col=8&amp;number=&amp;sourceID=34","")</f>
        <v/>
      </c>
      <c r="I500" s="4" t="str">
        <f>HYPERLINK("http://141.218.60.56/~jnz1568/getInfo.php?workbook=06_02.xlsx&amp;sheet=A0&amp;row=500&amp;col=9&amp;number=&amp;sourceID=34","")</f>
        <v/>
      </c>
      <c r="J500" s="4" t="str">
        <f>HYPERLINK("http://141.218.60.56/~jnz1568/getInfo.php?workbook=06_02.xlsx&amp;sheet=A0&amp;row=500&amp;col=10&amp;number=&amp;sourceID=34","")</f>
        <v/>
      </c>
      <c r="K500" s="4" t="str">
        <f>HYPERLINK("http://141.218.60.56/~jnz1568/getInfo.php?workbook=06_02.xlsx&amp;sheet=A0&amp;row=500&amp;col=11&amp;number=&amp;sourceID=30","")</f>
        <v/>
      </c>
      <c r="L500" s="4" t="str">
        <f>HYPERLINK("http://141.218.60.56/~jnz1568/getInfo.php?workbook=06_02.xlsx&amp;sheet=A0&amp;row=500&amp;col=12&amp;number=&amp;sourceID=30","")</f>
        <v/>
      </c>
      <c r="M500" s="4" t="str">
        <f>HYPERLINK("http://141.218.60.56/~jnz1568/getInfo.php?workbook=06_02.xlsx&amp;sheet=A0&amp;row=500&amp;col=13&amp;number=&amp;sourceID=30","")</f>
        <v/>
      </c>
      <c r="N500" s="4" t="str">
        <f>HYPERLINK("http://141.218.60.56/~jnz1568/getInfo.php?workbook=06_02.xlsx&amp;sheet=A0&amp;row=500&amp;col=14&amp;number=0.2294&amp;sourceID=30","0.2294")</f>
        <v>0.2294</v>
      </c>
      <c r="O500" s="4" t="str">
        <f>HYPERLINK("http://141.218.60.56/~jnz1568/getInfo.php?workbook=06_02.xlsx&amp;sheet=A0&amp;row=500&amp;col=15&amp;number=&amp;sourceID=32","")</f>
        <v/>
      </c>
      <c r="P500" s="4" t="str">
        <f>HYPERLINK("http://141.218.60.56/~jnz1568/getInfo.php?workbook=06_02.xlsx&amp;sheet=A0&amp;row=500&amp;col=16&amp;number=&amp;sourceID=32","")</f>
        <v/>
      </c>
      <c r="Q500" s="4" t="str">
        <f>HYPERLINK("http://141.218.60.56/~jnz1568/getInfo.php?workbook=06_02.xlsx&amp;sheet=A0&amp;row=500&amp;col=17&amp;number=&amp;sourceID=32","")</f>
        <v/>
      </c>
      <c r="R500" s="4" t="str">
        <f>HYPERLINK("http://141.218.60.56/~jnz1568/getInfo.php?workbook=06_02.xlsx&amp;sheet=A0&amp;row=500&amp;col=18&amp;number=0.1887&amp;sourceID=32","0.1887")</f>
        <v>0.1887</v>
      </c>
    </row>
    <row r="501" spans="1:18">
      <c r="A501" s="3">
        <v>6</v>
      </c>
      <c r="B501" s="3">
        <v>2</v>
      </c>
      <c r="C501" s="3">
        <v>36</v>
      </c>
      <c r="D501" s="3">
        <v>10</v>
      </c>
      <c r="E501" s="3">
        <f>((1/(INDEX(E0!J$4:J$52,C501,1)-INDEX(E0!J$4:J$52,D501,1))))*100000000</f>
        <v>0</v>
      </c>
      <c r="F501" s="4" t="str">
        <f>HYPERLINK("http://141.218.60.56/~jnz1568/getInfo.php?workbook=06_02.xlsx&amp;sheet=A0&amp;row=501&amp;col=6&amp;number=&amp;sourceID=27","")</f>
        <v/>
      </c>
      <c r="G501" s="4" t="str">
        <f>HYPERLINK("http://141.218.60.56/~jnz1568/getInfo.php?workbook=06_02.xlsx&amp;sheet=A0&amp;row=501&amp;col=7&amp;number=&amp;sourceID=34","")</f>
        <v/>
      </c>
      <c r="H501" s="4" t="str">
        <f>HYPERLINK("http://141.218.60.56/~jnz1568/getInfo.php?workbook=06_02.xlsx&amp;sheet=A0&amp;row=501&amp;col=8&amp;number=&amp;sourceID=34","")</f>
        <v/>
      </c>
      <c r="I501" s="4" t="str">
        <f>HYPERLINK("http://141.218.60.56/~jnz1568/getInfo.php?workbook=06_02.xlsx&amp;sheet=A0&amp;row=501&amp;col=9&amp;number=&amp;sourceID=34","")</f>
        <v/>
      </c>
      <c r="J501" s="4" t="str">
        <f>HYPERLINK("http://141.218.60.56/~jnz1568/getInfo.php?workbook=06_02.xlsx&amp;sheet=A0&amp;row=501&amp;col=10&amp;number=&amp;sourceID=34","")</f>
        <v/>
      </c>
      <c r="K501" s="4" t="str">
        <f>HYPERLINK("http://141.218.60.56/~jnz1568/getInfo.php?workbook=06_02.xlsx&amp;sheet=A0&amp;row=501&amp;col=11&amp;number=&amp;sourceID=30","")</f>
        <v/>
      </c>
      <c r="L501" s="4" t="str">
        <f>HYPERLINK("http://141.218.60.56/~jnz1568/getInfo.php?workbook=06_02.xlsx&amp;sheet=A0&amp;row=501&amp;col=12&amp;number=8246&amp;sourceID=30","8246")</f>
        <v>8246</v>
      </c>
      <c r="M501" s="4" t="str">
        <f>HYPERLINK("http://141.218.60.56/~jnz1568/getInfo.php?workbook=06_02.xlsx&amp;sheet=A0&amp;row=501&amp;col=13&amp;number=0.0009091&amp;sourceID=30","0.0009091")</f>
        <v>0.0009091</v>
      </c>
      <c r="N501" s="4" t="str">
        <f>HYPERLINK("http://141.218.60.56/~jnz1568/getInfo.php?workbook=06_02.xlsx&amp;sheet=A0&amp;row=501&amp;col=14&amp;number=&amp;sourceID=30","")</f>
        <v/>
      </c>
      <c r="O501" s="4" t="str">
        <f>HYPERLINK("http://141.218.60.56/~jnz1568/getInfo.php?workbook=06_02.xlsx&amp;sheet=A0&amp;row=501&amp;col=15&amp;number=&amp;sourceID=32","")</f>
        <v/>
      </c>
      <c r="P501" s="4" t="str">
        <f>HYPERLINK("http://141.218.60.56/~jnz1568/getInfo.php?workbook=06_02.xlsx&amp;sheet=A0&amp;row=501&amp;col=16&amp;number=10600&amp;sourceID=32","10600")</f>
        <v>10600</v>
      </c>
      <c r="Q501" s="4" t="str">
        <f>HYPERLINK("http://141.218.60.56/~jnz1568/getInfo.php?workbook=06_02.xlsx&amp;sheet=A0&amp;row=501&amp;col=17&amp;number=0.000934&amp;sourceID=32","0.000934")</f>
        <v>0.000934</v>
      </c>
      <c r="R501" s="4" t="str">
        <f>HYPERLINK("http://141.218.60.56/~jnz1568/getInfo.php?workbook=06_02.xlsx&amp;sheet=A0&amp;row=501&amp;col=18&amp;number=&amp;sourceID=32","")</f>
        <v/>
      </c>
    </row>
    <row r="502" spans="1:18">
      <c r="A502" s="3">
        <v>6</v>
      </c>
      <c r="B502" s="3">
        <v>2</v>
      </c>
      <c r="C502" s="3">
        <v>36</v>
      </c>
      <c r="D502" s="3">
        <v>11</v>
      </c>
      <c r="E502" s="3">
        <f>((1/(INDEX(E0!J$4:J$52,C502,1)-INDEX(E0!J$4:J$52,D502,1))))*100000000</f>
        <v>0</v>
      </c>
      <c r="F502" s="4" t="str">
        <f>HYPERLINK("http://141.218.60.56/~jnz1568/getInfo.php?workbook=06_02.xlsx&amp;sheet=A0&amp;row=502&amp;col=6&amp;number=&amp;sourceID=27","")</f>
        <v/>
      </c>
      <c r="G502" s="4" t="str">
        <f>HYPERLINK("http://141.218.60.56/~jnz1568/getInfo.php?workbook=06_02.xlsx&amp;sheet=A0&amp;row=502&amp;col=7&amp;number=&amp;sourceID=34","")</f>
        <v/>
      </c>
      <c r="H502" s="4" t="str">
        <f>HYPERLINK("http://141.218.60.56/~jnz1568/getInfo.php?workbook=06_02.xlsx&amp;sheet=A0&amp;row=502&amp;col=8&amp;number=&amp;sourceID=34","")</f>
        <v/>
      </c>
      <c r="I502" s="4" t="str">
        <f>HYPERLINK("http://141.218.60.56/~jnz1568/getInfo.php?workbook=06_02.xlsx&amp;sheet=A0&amp;row=502&amp;col=9&amp;number=&amp;sourceID=34","")</f>
        <v/>
      </c>
      <c r="J502" s="4" t="str">
        <f>HYPERLINK("http://141.218.60.56/~jnz1568/getInfo.php?workbook=06_02.xlsx&amp;sheet=A0&amp;row=502&amp;col=10&amp;number=&amp;sourceID=34","")</f>
        <v/>
      </c>
      <c r="K502" s="4" t="str">
        <f>HYPERLINK("http://141.218.60.56/~jnz1568/getInfo.php?workbook=06_02.xlsx&amp;sheet=A0&amp;row=502&amp;col=11&amp;number=&amp;sourceID=30","")</f>
        <v/>
      </c>
      <c r="L502" s="4" t="str">
        <f>HYPERLINK("http://141.218.60.56/~jnz1568/getInfo.php?workbook=06_02.xlsx&amp;sheet=A0&amp;row=502&amp;col=12&amp;number=3676&amp;sourceID=30","3676")</f>
        <v>3676</v>
      </c>
      <c r="M502" s="4" t="str">
        <f>HYPERLINK("http://141.218.60.56/~jnz1568/getInfo.php?workbook=06_02.xlsx&amp;sheet=A0&amp;row=502&amp;col=13&amp;number=&amp;sourceID=30","")</f>
        <v/>
      </c>
      <c r="N502" s="4" t="str">
        <f>HYPERLINK("http://141.218.60.56/~jnz1568/getInfo.php?workbook=06_02.xlsx&amp;sheet=A0&amp;row=502&amp;col=14&amp;number=&amp;sourceID=30","")</f>
        <v/>
      </c>
      <c r="O502" s="4" t="str">
        <f>HYPERLINK("http://141.218.60.56/~jnz1568/getInfo.php?workbook=06_02.xlsx&amp;sheet=A0&amp;row=502&amp;col=15&amp;number=&amp;sourceID=32","")</f>
        <v/>
      </c>
      <c r="P502" s="4" t="str">
        <f>HYPERLINK("http://141.218.60.56/~jnz1568/getInfo.php?workbook=06_02.xlsx&amp;sheet=A0&amp;row=502&amp;col=16&amp;number=4709&amp;sourceID=32","4709")</f>
        <v>4709</v>
      </c>
      <c r="Q502" s="4" t="str">
        <f>HYPERLINK("http://141.218.60.56/~jnz1568/getInfo.php?workbook=06_02.xlsx&amp;sheet=A0&amp;row=502&amp;col=17&amp;number=&amp;sourceID=32","")</f>
        <v/>
      </c>
      <c r="R502" s="4" t="str">
        <f>HYPERLINK("http://141.218.60.56/~jnz1568/getInfo.php?workbook=06_02.xlsx&amp;sheet=A0&amp;row=502&amp;col=18&amp;number=&amp;sourceID=32","")</f>
        <v/>
      </c>
    </row>
    <row r="503" spans="1:18">
      <c r="A503" s="3">
        <v>6</v>
      </c>
      <c r="B503" s="3">
        <v>2</v>
      </c>
      <c r="C503" s="3">
        <v>36</v>
      </c>
      <c r="D503" s="3">
        <v>12</v>
      </c>
      <c r="E503" s="3">
        <f>((1/(INDEX(E0!J$4:J$52,C503,1)-INDEX(E0!J$4:J$52,D503,1))))*100000000</f>
        <v>0</v>
      </c>
      <c r="F503" s="4" t="str">
        <f>HYPERLINK("http://141.218.60.56/~jnz1568/getInfo.php?workbook=06_02.xlsx&amp;sheet=A0&amp;row=503&amp;col=6&amp;number=&amp;sourceID=27","")</f>
        <v/>
      </c>
      <c r="G503" s="4" t="str">
        <f>HYPERLINK("http://141.218.60.56/~jnz1568/getInfo.php?workbook=06_02.xlsx&amp;sheet=A0&amp;row=503&amp;col=7&amp;number=&amp;sourceID=34","")</f>
        <v/>
      </c>
      <c r="H503" s="4" t="str">
        <f>HYPERLINK("http://141.218.60.56/~jnz1568/getInfo.php?workbook=06_02.xlsx&amp;sheet=A0&amp;row=503&amp;col=8&amp;number=&amp;sourceID=34","")</f>
        <v/>
      </c>
      <c r="I503" s="4" t="str">
        <f>HYPERLINK("http://141.218.60.56/~jnz1568/getInfo.php?workbook=06_02.xlsx&amp;sheet=A0&amp;row=503&amp;col=9&amp;number=&amp;sourceID=34","")</f>
        <v/>
      </c>
      <c r="J503" s="4" t="str">
        <f>HYPERLINK("http://141.218.60.56/~jnz1568/getInfo.php?workbook=06_02.xlsx&amp;sheet=A0&amp;row=503&amp;col=10&amp;number=&amp;sourceID=34","")</f>
        <v/>
      </c>
      <c r="K503" s="4" t="str">
        <f>HYPERLINK("http://141.218.60.56/~jnz1568/getInfo.php?workbook=06_02.xlsx&amp;sheet=A0&amp;row=503&amp;col=11&amp;number=&amp;sourceID=30","")</f>
        <v/>
      </c>
      <c r="L503" s="4" t="str">
        <f>HYPERLINK("http://141.218.60.56/~jnz1568/getInfo.php?workbook=06_02.xlsx&amp;sheet=A0&amp;row=503&amp;col=12&amp;number=6401&amp;sourceID=30","6401")</f>
        <v>6401</v>
      </c>
      <c r="M503" s="4" t="str">
        <f>HYPERLINK("http://141.218.60.56/~jnz1568/getInfo.php?workbook=06_02.xlsx&amp;sheet=A0&amp;row=503&amp;col=13&amp;number=0.0005658&amp;sourceID=30","0.0005658")</f>
        <v>0.0005658</v>
      </c>
      <c r="N503" s="4" t="str">
        <f>HYPERLINK("http://141.218.60.56/~jnz1568/getInfo.php?workbook=06_02.xlsx&amp;sheet=A0&amp;row=503&amp;col=14&amp;number=&amp;sourceID=30","")</f>
        <v/>
      </c>
      <c r="O503" s="4" t="str">
        <f>HYPERLINK("http://141.218.60.56/~jnz1568/getInfo.php?workbook=06_02.xlsx&amp;sheet=A0&amp;row=503&amp;col=15&amp;number=&amp;sourceID=32","")</f>
        <v/>
      </c>
      <c r="P503" s="4" t="str">
        <f>HYPERLINK("http://141.218.60.56/~jnz1568/getInfo.php?workbook=06_02.xlsx&amp;sheet=A0&amp;row=503&amp;col=16&amp;number=8237&amp;sourceID=32","8237")</f>
        <v>8237</v>
      </c>
      <c r="Q503" s="4" t="str">
        <f>HYPERLINK("http://141.218.60.56/~jnz1568/getInfo.php?workbook=06_02.xlsx&amp;sheet=A0&amp;row=503&amp;col=17&amp;number=0.0005189&amp;sourceID=32","0.0005189")</f>
        <v>0.0005189</v>
      </c>
      <c r="R503" s="4" t="str">
        <f>HYPERLINK("http://141.218.60.56/~jnz1568/getInfo.php?workbook=06_02.xlsx&amp;sheet=A0&amp;row=503&amp;col=18&amp;number=&amp;sourceID=32","")</f>
        <v/>
      </c>
    </row>
    <row r="504" spans="1:18">
      <c r="A504" s="3">
        <v>6</v>
      </c>
      <c r="B504" s="3">
        <v>2</v>
      </c>
      <c r="C504" s="3">
        <v>36</v>
      </c>
      <c r="D504" s="3">
        <v>13</v>
      </c>
      <c r="E504" s="3">
        <f>((1/(INDEX(E0!J$4:J$52,C504,1)-INDEX(E0!J$4:J$52,D504,1))))*100000000</f>
        <v>0</v>
      </c>
      <c r="F504" s="4" t="str">
        <f>HYPERLINK("http://141.218.60.56/~jnz1568/getInfo.php?workbook=06_02.xlsx&amp;sheet=A0&amp;row=504&amp;col=6&amp;number=&amp;sourceID=27","")</f>
        <v/>
      </c>
      <c r="G504" s="4" t="str">
        <f>HYPERLINK("http://141.218.60.56/~jnz1568/getInfo.php?workbook=06_02.xlsx&amp;sheet=A0&amp;row=504&amp;col=7&amp;number=1248000&amp;sourceID=34","1248000")</f>
        <v>1248000</v>
      </c>
      <c r="H504" s="4" t="str">
        <f>HYPERLINK("http://141.218.60.56/~jnz1568/getInfo.php?workbook=06_02.xlsx&amp;sheet=A0&amp;row=504&amp;col=8&amp;number=&amp;sourceID=34","")</f>
        <v/>
      </c>
      <c r="I504" s="4" t="str">
        <f>HYPERLINK("http://141.218.60.56/~jnz1568/getInfo.php?workbook=06_02.xlsx&amp;sheet=A0&amp;row=504&amp;col=9&amp;number=&amp;sourceID=34","")</f>
        <v/>
      </c>
      <c r="J504" s="4" t="str">
        <f>HYPERLINK("http://141.218.60.56/~jnz1568/getInfo.php?workbook=06_02.xlsx&amp;sheet=A0&amp;row=504&amp;col=10&amp;number=&amp;sourceID=34","")</f>
        <v/>
      </c>
      <c r="K504" s="4" t="str">
        <f>HYPERLINK("http://141.218.60.56/~jnz1568/getInfo.php?workbook=06_02.xlsx&amp;sheet=A0&amp;row=504&amp;col=11&amp;number=1179000&amp;sourceID=30","1179000")</f>
        <v>1179000</v>
      </c>
      <c r="L504" s="4" t="str">
        <f>HYPERLINK("http://141.218.60.56/~jnz1568/getInfo.php?workbook=06_02.xlsx&amp;sheet=A0&amp;row=504&amp;col=12&amp;number=&amp;sourceID=30","")</f>
        <v/>
      </c>
      <c r="M504" s="4" t="str">
        <f>HYPERLINK("http://141.218.60.56/~jnz1568/getInfo.php?workbook=06_02.xlsx&amp;sheet=A0&amp;row=504&amp;col=13&amp;number=&amp;sourceID=30","")</f>
        <v/>
      </c>
      <c r="N504" s="4" t="str">
        <f>HYPERLINK("http://141.218.60.56/~jnz1568/getInfo.php?workbook=06_02.xlsx&amp;sheet=A0&amp;row=504&amp;col=14&amp;number=1.339e-09&amp;sourceID=30","1.339e-09")</f>
        <v>1.339e-09</v>
      </c>
      <c r="O504" s="4" t="str">
        <f>HYPERLINK("http://141.218.60.56/~jnz1568/getInfo.php?workbook=06_02.xlsx&amp;sheet=A0&amp;row=504&amp;col=15&amp;number=1244000&amp;sourceID=32","1244000")</f>
        <v>1244000</v>
      </c>
      <c r="P504" s="4" t="str">
        <f>HYPERLINK("http://141.218.60.56/~jnz1568/getInfo.php?workbook=06_02.xlsx&amp;sheet=A0&amp;row=504&amp;col=16&amp;number=&amp;sourceID=32","")</f>
        <v/>
      </c>
      <c r="Q504" s="4" t="str">
        <f>HYPERLINK("http://141.218.60.56/~jnz1568/getInfo.php?workbook=06_02.xlsx&amp;sheet=A0&amp;row=504&amp;col=17&amp;number=&amp;sourceID=32","")</f>
        <v/>
      </c>
      <c r="R504" s="4" t="str">
        <f>HYPERLINK("http://141.218.60.56/~jnz1568/getInfo.php?workbook=06_02.xlsx&amp;sheet=A0&amp;row=504&amp;col=18&amp;number=4.28e-09&amp;sourceID=32","4.28e-09")</f>
        <v>4.28e-09</v>
      </c>
    </row>
    <row r="505" spans="1:18">
      <c r="A505" s="3">
        <v>6</v>
      </c>
      <c r="B505" s="3">
        <v>2</v>
      </c>
      <c r="C505" s="3">
        <v>36</v>
      </c>
      <c r="D505" s="3">
        <v>14</v>
      </c>
      <c r="E505" s="3">
        <f>((1/(INDEX(E0!J$4:J$52,C505,1)-INDEX(E0!J$4:J$52,D505,1))))*100000000</f>
        <v>0</v>
      </c>
      <c r="F505" s="4" t="str">
        <f>HYPERLINK("http://141.218.60.56/~jnz1568/getInfo.php?workbook=06_02.xlsx&amp;sheet=A0&amp;row=505&amp;col=6&amp;number=&amp;sourceID=27","")</f>
        <v/>
      </c>
      <c r="G505" s="4" t="str">
        <f>HYPERLINK("http://141.218.60.56/~jnz1568/getInfo.php?workbook=06_02.xlsx&amp;sheet=A0&amp;row=505&amp;col=7&amp;number=18720000&amp;sourceID=34","18720000")</f>
        <v>18720000</v>
      </c>
      <c r="H505" s="4" t="str">
        <f>HYPERLINK("http://141.218.60.56/~jnz1568/getInfo.php?workbook=06_02.xlsx&amp;sheet=A0&amp;row=505&amp;col=8&amp;number=&amp;sourceID=34","")</f>
        <v/>
      </c>
      <c r="I505" s="4" t="str">
        <f>HYPERLINK("http://141.218.60.56/~jnz1568/getInfo.php?workbook=06_02.xlsx&amp;sheet=A0&amp;row=505&amp;col=9&amp;number=&amp;sourceID=34","")</f>
        <v/>
      </c>
      <c r="J505" s="4" t="str">
        <f>HYPERLINK("http://141.218.60.56/~jnz1568/getInfo.php?workbook=06_02.xlsx&amp;sheet=A0&amp;row=505&amp;col=10&amp;number=&amp;sourceID=34","")</f>
        <v/>
      </c>
      <c r="K505" s="4" t="str">
        <f>HYPERLINK("http://141.218.60.56/~jnz1568/getInfo.php?workbook=06_02.xlsx&amp;sheet=A0&amp;row=505&amp;col=11&amp;number=17670000&amp;sourceID=30","17670000")</f>
        <v>17670000</v>
      </c>
      <c r="L505" s="4" t="str">
        <f>HYPERLINK("http://141.218.60.56/~jnz1568/getInfo.php?workbook=06_02.xlsx&amp;sheet=A0&amp;row=505&amp;col=12&amp;number=&amp;sourceID=30","")</f>
        <v/>
      </c>
      <c r="M505" s="4" t="str">
        <f>HYPERLINK("http://141.218.60.56/~jnz1568/getInfo.php?workbook=06_02.xlsx&amp;sheet=A0&amp;row=505&amp;col=13&amp;number=&amp;sourceID=30","")</f>
        <v/>
      </c>
      <c r="N505" s="4" t="str">
        <f>HYPERLINK("http://141.218.60.56/~jnz1568/getInfo.php?workbook=06_02.xlsx&amp;sheet=A0&amp;row=505&amp;col=14&amp;number=0.003949&amp;sourceID=30","0.003949")</f>
        <v>0.003949</v>
      </c>
      <c r="O505" s="4" t="str">
        <f>HYPERLINK("http://141.218.60.56/~jnz1568/getInfo.php?workbook=06_02.xlsx&amp;sheet=A0&amp;row=505&amp;col=15&amp;number=18630000&amp;sourceID=32","18630000")</f>
        <v>18630000</v>
      </c>
      <c r="P505" s="4" t="str">
        <f>HYPERLINK("http://141.218.60.56/~jnz1568/getInfo.php?workbook=06_02.xlsx&amp;sheet=A0&amp;row=505&amp;col=16&amp;number=&amp;sourceID=32","")</f>
        <v/>
      </c>
      <c r="Q505" s="4" t="str">
        <f>HYPERLINK("http://141.218.60.56/~jnz1568/getInfo.php?workbook=06_02.xlsx&amp;sheet=A0&amp;row=505&amp;col=17&amp;number=&amp;sourceID=32","")</f>
        <v/>
      </c>
      <c r="R505" s="4" t="str">
        <f>HYPERLINK("http://141.218.60.56/~jnz1568/getInfo.php?workbook=06_02.xlsx&amp;sheet=A0&amp;row=505&amp;col=18&amp;number=0.004069&amp;sourceID=32","0.004069")</f>
        <v>0.004069</v>
      </c>
    </row>
    <row r="506" spans="1:18">
      <c r="A506" s="3">
        <v>6</v>
      </c>
      <c r="B506" s="3">
        <v>2</v>
      </c>
      <c r="C506" s="3">
        <v>36</v>
      </c>
      <c r="D506" s="3">
        <v>15</v>
      </c>
      <c r="E506" s="3">
        <f>((1/(INDEX(E0!J$4:J$52,C506,1)-INDEX(E0!J$4:J$52,D506,1))))*100000000</f>
        <v>0</v>
      </c>
      <c r="F506" s="4" t="str">
        <f>HYPERLINK("http://141.218.60.56/~jnz1568/getInfo.php?workbook=06_02.xlsx&amp;sheet=A0&amp;row=506&amp;col=6&amp;number=&amp;sourceID=27","")</f>
        <v/>
      </c>
      <c r="G506" s="4" t="str">
        <f>HYPERLINK("http://141.218.60.56/~jnz1568/getInfo.php?workbook=06_02.xlsx&amp;sheet=A0&amp;row=506&amp;col=7&amp;number=104800000&amp;sourceID=34","104800000")</f>
        <v>104800000</v>
      </c>
      <c r="H506" s="4" t="str">
        <f>HYPERLINK("http://141.218.60.56/~jnz1568/getInfo.php?workbook=06_02.xlsx&amp;sheet=A0&amp;row=506&amp;col=8&amp;number=&amp;sourceID=34","")</f>
        <v/>
      </c>
      <c r="I506" s="4" t="str">
        <f>HYPERLINK("http://141.218.60.56/~jnz1568/getInfo.php?workbook=06_02.xlsx&amp;sheet=A0&amp;row=506&amp;col=9&amp;number=&amp;sourceID=34","")</f>
        <v/>
      </c>
      <c r="J506" s="4" t="str">
        <f>HYPERLINK("http://141.218.60.56/~jnz1568/getInfo.php?workbook=06_02.xlsx&amp;sheet=A0&amp;row=506&amp;col=10&amp;number=&amp;sourceID=34","")</f>
        <v/>
      </c>
      <c r="K506" s="4" t="str">
        <f>HYPERLINK("http://141.218.60.56/~jnz1568/getInfo.php?workbook=06_02.xlsx&amp;sheet=A0&amp;row=506&amp;col=11&amp;number=99270000&amp;sourceID=30","99270000")</f>
        <v>99270000</v>
      </c>
      <c r="L506" s="4" t="str">
        <f>HYPERLINK("http://141.218.60.56/~jnz1568/getInfo.php?workbook=06_02.xlsx&amp;sheet=A0&amp;row=506&amp;col=12&amp;number=&amp;sourceID=30","")</f>
        <v/>
      </c>
      <c r="M506" s="4" t="str">
        <f>HYPERLINK("http://141.218.60.56/~jnz1568/getInfo.php?workbook=06_02.xlsx&amp;sheet=A0&amp;row=506&amp;col=13&amp;number=&amp;sourceID=30","")</f>
        <v/>
      </c>
      <c r="N506" s="4" t="str">
        <f>HYPERLINK("http://141.218.60.56/~jnz1568/getInfo.php?workbook=06_02.xlsx&amp;sheet=A0&amp;row=506&amp;col=14&amp;number=0.04585&amp;sourceID=30","0.04585")</f>
        <v>0.04585</v>
      </c>
      <c r="O506" s="4" t="str">
        <f>HYPERLINK("http://141.218.60.56/~jnz1568/getInfo.php?workbook=06_02.xlsx&amp;sheet=A0&amp;row=506&amp;col=15&amp;number=104900000&amp;sourceID=32","104900000")</f>
        <v>104900000</v>
      </c>
      <c r="P506" s="4" t="str">
        <f>HYPERLINK("http://141.218.60.56/~jnz1568/getInfo.php?workbook=06_02.xlsx&amp;sheet=A0&amp;row=506&amp;col=16&amp;number=&amp;sourceID=32","")</f>
        <v/>
      </c>
      <c r="Q506" s="4" t="str">
        <f>HYPERLINK("http://141.218.60.56/~jnz1568/getInfo.php?workbook=06_02.xlsx&amp;sheet=A0&amp;row=506&amp;col=17&amp;number=&amp;sourceID=32","")</f>
        <v/>
      </c>
      <c r="R506" s="4" t="str">
        <f>HYPERLINK("http://141.218.60.56/~jnz1568/getInfo.php?workbook=06_02.xlsx&amp;sheet=A0&amp;row=506&amp;col=18&amp;number=0.0484&amp;sourceID=32","0.0484")</f>
        <v>0.0484</v>
      </c>
    </row>
    <row r="507" spans="1:18">
      <c r="A507" s="3">
        <v>6</v>
      </c>
      <c r="B507" s="3">
        <v>2</v>
      </c>
      <c r="C507" s="3">
        <v>36</v>
      </c>
      <c r="D507" s="3">
        <v>16</v>
      </c>
      <c r="E507" s="3">
        <f>((1/(INDEX(E0!J$4:J$52,C507,1)-INDEX(E0!J$4:J$52,D507,1))))*100000000</f>
        <v>0</v>
      </c>
      <c r="F507" s="4" t="str">
        <f>HYPERLINK("http://141.218.60.56/~jnz1568/getInfo.php?workbook=06_02.xlsx&amp;sheet=A0&amp;row=507&amp;col=6&amp;number=&amp;sourceID=27","")</f>
        <v/>
      </c>
      <c r="G507" s="4" t="str">
        <f>HYPERLINK("http://141.218.60.56/~jnz1568/getInfo.php?workbook=06_02.xlsx&amp;sheet=A0&amp;row=507&amp;col=7&amp;number=&amp;sourceID=34","")</f>
        <v/>
      </c>
      <c r="H507" s="4" t="str">
        <f>HYPERLINK("http://141.218.60.56/~jnz1568/getInfo.php?workbook=06_02.xlsx&amp;sheet=A0&amp;row=507&amp;col=8&amp;number=&amp;sourceID=34","")</f>
        <v/>
      </c>
      <c r="I507" s="4" t="str">
        <f>HYPERLINK("http://141.218.60.56/~jnz1568/getInfo.php?workbook=06_02.xlsx&amp;sheet=A0&amp;row=507&amp;col=9&amp;number=&amp;sourceID=34","")</f>
        <v/>
      </c>
      <c r="J507" s="4" t="str">
        <f>HYPERLINK("http://141.218.60.56/~jnz1568/getInfo.php?workbook=06_02.xlsx&amp;sheet=A0&amp;row=507&amp;col=10&amp;number=&amp;sourceID=34","")</f>
        <v/>
      </c>
      <c r="K507" s="4" t="str">
        <f>HYPERLINK("http://141.218.60.56/~jnz1568/getInfo.php?workbook=06_02.xlsx&amp;sheet=A0&amp;row=507&amp;col=11&amp;number=56760&amp;sourceID=30","56760")</f>
        <v>56760</v>
      </c>
      <c r="L507" s="4" t="str">
        <f>HYPERLINK("http://141.218.60.56/~jnz1568/getInfo.php?workbook=06_02.xlsx&amp;sheet=A0&amp;row=507&amp;col=12&amp;number=&amp;sourceID=30","")</f>
        <v/>
      </c>
      <c r="M507" s="4" t="str">
        <f>HYPERLINK("http://141.218.60.56/~jnz1568/getInfo.php?workbook=06_02.xlsx&amp;sheet=A0&amp;row=507&amp;col=13&amp;number=&amp;sourceID=30","")</f>
        <v/>
      </c>
      <c r="N507" s="4" t="str">
        <f>HYPERLINK("http://141.218.60.56/~jnz1568/getInfo.php?workbook=06_02.xlsx&amp;sheet=A0&amp;row=507&amp;col=14&amp;number=0.008025&amp;sourceID=30","0.008025")</f>
        <v>0.008025</v>
      </c>
      <c r="O507" s="4" t="str">
        <f>HYPERLINK("http://141.218.60.56/~jnz1568/getInfo.php?workbook=06_02.xlsx&amp;sheet=A0&amp;row=507&amp;col=15&amp;number=80630&amp;sourceID=32","80630")</f>
        <v>80630</v>
      </c>
      <c r="P507" s="4" t="str">
        <f>HYPERLINK("http://141.218.60.56/~jnz1568/getInfo.php?workbook=06_02.xlsx&amp;sheet=A0&amp;row=507&amp;col=16&amp;number=&amp;sourceID=32","")</f>
        <v/>
      </c>
      <c r="Q507" s="4" t="str">
        <f>HYPERLINK("http://141.218.60.56/~jnz1568/getInfo.php?workbook=06_02.xlsx&amp;sheet=A0&amp;row=507&amp;col=17&amp;number=&amp;sourceID=32","")</f>
        <v/>
      </c>
      <c r="R507" s="4" t="str">
        <f>HYPERLINK("http://141.218.60.56/~jnz1568/getInfo.php?workbook=06_02.xlsx&amp;sheet=A0&amp;row=507&amp;col=18&amp;number=0.008088&amp;sourceID=32","0.008088")</f>
        <v>0.008088</v>
      </c>
    </row>
    <row r="508" spans="1:18">
      <c r="A508" s="3">
        <v>6</v>
      </c>
      <c r="B508" s="3">
        <v>2</v>
      </c>
      <c r="C508" s="3">
        <v>36</v>
      </c>
      <c r="D508" s="3">
        <v>17</v>
      </c>
      <c r="E508" s="3">
        <f>((1/(INDEX(E0!J$4:J$52,C508,1)-INDEX(E0!J$4:J$52,D508,1))))*100000000</f>
        <v>0</v>
      </c>
      <c r="F508" s="4" t="str">
        <f>HYPERLINK("http://141.218.60.56/~jnz1568/getInfo.php?workbook=06_02.xlsx&amp;sheet=A0&amp;row=508&amp;col=6&amp;number=&amp;sourceID=27","")</f>
        <v/>
      </c>
      <c r="G508" s="4" t="str">
        <f>HYPERLINK("http://141.218.60.56/~jnz1568/getInfo.php?workbook=06_02.xlsx&amp;sheet=A0&amp;row=508&amp;col=7&amp;number=&amp;sourceID=34","")</f>
        <v/>
      </c>
      <c r="H508" s="4" t="str">
        <f>HYPERLINK("http://141.218.60.56/~jnz1568/getInfo.php?workbook=06_02.xlsx&amp;sheet=A0&amp;row=508&amp;col=8&amp;number=&amp;sourceID=34","")</f>
        <v/>
      </c>
      <c r="I508" s="4" t="str">
        <f>HYPERLINK("http://141.218.60.56/~jnz1568/getInfo.php?workbook=06_02.xlsx&amp;sheet=A0&amp;row=508&amp;col=9&amp;number=&amp;sourceID=34","")</f>
        <v/>
      </c>
      <c r="J508" s="4" t="str">
        <f>HYPERLINK("http://141.218.60.56/~jnz1568/getInfo.php?workbook=06_02.xlsx&amp;sheet=A0&amp;row=508&amp;col=10&amp;number=&amp;sourceID=34","")</f>
        <v/>
      </c>
      <c r="K508" s="4" t="str">
        <f>HYPERLINK("http://141.218.60.56/~jnz1568/getInfo.php?workbook=06_02.xlsx&amp;sheet=A0&amp;row=508&amp;col=11&amp;number=&amp;sourceID=30","")</f>
        <v/>
      </c>
      <c r="L508" s="4" t="str">
        <f>HYPERLINK("http://141.218.60.56/~jnz1568/getInfo.php?workbook=06_02.xlsx&amp;sheet=A0&amp;row=508&amp;col=12&amp;number=0.2391&amp;sourceID=30","0.2391")</f>
        <v>0.2391</v>
      </c>
      <c r="M508" s="4" t="str">
        <f>HYPERLINK("http://141.218.60.56/~jnz1568/getInfo.php?workbook=06_02.xlsx&amp;sheet=A0&amp;row=508&amp;col=13&amp;number=0.0002971&amp;sourceID=30","0.0002971")</f>
        <v>0.0002971</v>
      </c>
      <c r="N508" s="4" t="str">
        <f>HYPERLINK("http://141.218.60.56/~jnz1568/getInfo.php?workbook=06_02.xlsx&amp;sheet=A0&amp;row=508&amp;col=14&amp;number=&amp;sourceID=30","")</f>
        <v/>
      </c>
      <c r="O508" s="4" t="str">
        <f>HYPERLINK("http://141.218.60.56/~jnz1568/getInfo.php?workbook=06_02.xlsx&amp;sheet=A0&amp;row=508&amp;col=15&amp;number=&amp;sourceID=32","")</f>
        <v/>
      </c>
      <c r="P508" s="4" t="str">
        <f>HYPERLINK("http://141.218.60.56/~jnz1568/getInfo.php?workbook=06_02.xlsx&amp;sheet=A0&amp;row=508&amp;col=16&amp;number=0.2859&amp;sourceID=32","0.2859")</f>
        <v>0.2859</v>
      </c>
      <c r="Q508" s="4" t="str">
        <f>HYPERLINK("http://141.218.60.56/~jnz1568/getInfo.php?workbook=06_02.xlsx&amp;sheet=A0&amp;row=508&amp;col=17&amp;number=0.0003406&amp;sourceID=32","0.0003406")</f>
        <v>0.0003406</v>
      </c>
      <c r="R508" s="4" t="str">
        <f>HYPERLINK("http://141.218.60.56/~jnz1568/getInfo.php?workbook=06_02.xlsx&amp;sheet=A0&amp;row=508&amp;col=18&amp;number=&amp;sourceID=32","")</f>
        <v/>
      </c>
    </row>
    <row r="509" spans="1:18">
      <c r="A509" s="3">
        <v>6</v>
      </c>
      <c r="B509" s="3">
        <v>2</v>
      </c>
      <c r="C509" s="3">
        <v>36</v>
      </c>
      <c r="D509" s="3">
        <v>18</v>
      </c>
      <c r="E509" s="3">
        <f>((1/(INDEX(E0!J$4:J$52,C509,1)-INDEX(E0!J$4:J$52,D509,1))))*100000000</f>
        <v>0</v>
      </c>
      <c r="F509" s="4" t="str">
        <f>HYPERLINK("http://141.218.60.56/~jnz1568/getInfo.php?workbook=06_02.xlsx&amp;sheet=A0&amp;row=509&amp;col=6&amp;number=&amp;sourceID=27","")</f>
        <v/>
      </c>
      <c r="G509" s="4" t="str">
        <f>HYPERLINK("http://141.218.60.56/~jnz1568/getInfo.php?workbook=06_02.xlsx&amp;sheet=A0&amp;row=509&amp;col=7&amp;number=&amp;sourceID=34","")</f>
        <v/>
      </c>
      <c r="H509" s="4" t="str">
        <f>HYPERLINK("http://141.218.60.56/~jnz1568/getInfo.php?workbook=06_02.xlsx&amp;sheet=A0&amp;row=509&amp;col=8&amp;number=&amp;sourceID=34","")</f>
        <v/>
      </c>
      <c r="I509" s="4" t="str">
        <f>HYPERLINK("http://141.218.60.56/~jnz1568/getInfo.php?workbook=06_02.xlsx&amp;sheet=A0&amp;row=509&amp;col=9&amp;number=&amp;sourceID=34","")</f>
        <v/>
      </c>
      <c r="J509" s="4" t="str">
        <f>HYPERLINK("http://141.218.60.56/~jnz1568/getInfo.php?workbook=06_02.xlsx&amp;sheet=A0&amp;row=509&amp;col=10&amp;number=&amp;sourceID=34","")</f>
        <v/>
      </c>
      <c r="K509" s="4" t="str">
        <f>HYPERLINK("http://141.218.60.56/~jnz1568/getInfo.php?workbook=06_02.xlsx&amp;sheet=A0&amp;row=509&amp;col=11&amp;number=362700000&amp;sourceID=30","362700000")</f>
        <v>362700000</v>
      </c>
      <c r="L509" s="4" t="str">
        <f>HYPERLINK("http://141.218.60.56/~jnz1568/getInfo.php?workbook=06_02.xlsx&amp;sheet=A0&amp;row=509&amp;col=12&amp;number=&amp;sourceID=30","")</f>
        <v/>
      </c>
      <c r="M509" s="4" t="str">
        <f>HYPERLINK("http://141.218.60.56/~jnz1568/getInfo.php?workbook=06_02.xlsx&amp;sheet=A0&amp;row=509&amp;col=13&amp;number=&amp;sourceID=30","")</f>
        <v/>
      </c>
      <c r="N509" s="4" t="str">
        <f>HYPERLINK("http://141.218.60.56/~jnz1568/getInfo.php?workbook=06_02.xlsx&amp;sheet=A0&amp;row=509&amp;col=14&amp;number=0.01105&amp;sourceID=30","0.01105")</f>
        <v>0.01105</v>
      </c>
      <c r="O509" s="4" t="str">
        <f>HYPERLINK("http://141.218.60.56/~jnz1568/getInfo.php?workbook=06_02.xlsx&amp;sheet=A0&amp;row=509&amp;col=15&amp;number=381800000&amp;sourceID=32","381800000")</f>
        <v>381800000</v>
      </c>
      <c r="P509" s="4" t="str">
        <f>HYPERLINK("http://141.218.60.56/~jnz1568/getInfo.php?workbook=06_02.xlsx&amp;sheet=A0&amp;row=509&amp;col=16&amp;number=&amp;sourceID=32","")</f>
        <v/>
      </c>
      <c r="Q509" s="4" t="str">
        <f>HYPERLINK("http://141.218.60.56/~jnz1568/getInfo.php?workbook=06_02.xlsx&amp;sheet=A0&amp;row=509&amp;col=17&amp;number=&amp;sourceID=32","")</f>
        <v/>
      </c>
      <c r="R509" s="4" t="str">
        <f>HYPERLINK("http://141.218.60.56/~jnz1568/getInfo.php?workbook=06_02.xlsx&amp;sheet=A0&amp;row=509&amp;col=18&amp;number=0.01164&amp;sourceID=32","0.01164")</f>
        <v>0.01164</v>
      </c>
    </row>
    <row r="510" spans="1:18">
      <c r="A510" s="3">
        <v>6</v>
      </c>
      <c r="B510" s="3">
        <v>2</v>
      </c>
      <c r="C510" s="3">
        <v>36</v>
      </c>
      <c r="D510" s="3">
        <v>19</v>
      </c>
      <c r="E510" s="3">
        <f>((1/(INDEX(E0!J$4:J$52,C510,1)-INDEX(E0!J$4:J$52,D510,1))))*100000000</f>
        <v>0</v>
      </c>
      <c r="F510" s="4" t="str">
        <f>HYPERLINK("http://141.218.60.56/~jnz1568/getInfo.php?workbook=06_02.xlsx&amp;sheet=A0&amp;row=510&amp;col=6&amp;number=&amp;sourceID=27","")</f>
        <v/>
      </c>
      <c r="G510" s="4" t="str">
        <f>HYPERLINK("http://141.218.60.56/~jnz1568/getInfo.php?workbook=06_02.xlsx&amp;sheet=A0&amp;row=510&amp;col=7&amp;number=&amp;sourceID=34","")</f>
        <v/>
      </c>
      <c r="H510" s="4" t="str">
        <f>HYPERLINK("http://141.218.60.56/~jnz1568/getInfo.php?workbook=06_02.xlsx&amp;sheet=A0&amp;row=510&amp;col=8&amp;number=&amp;sourceID=34","")</f>
        <v/>
      </c>
      <c r="I510" s="4" t="str">
        <f>HYPERLINK("http://141.218.60.56/~jnz1568/getInfo.php?workbook=06_02.xlsx&amp;sheet=A0&amp;row=510&amp;col=9&amp;number=&amp;sourceID=34","")</f>
        <v/>
      </c>
      <c r="J510" s="4" t="str">
        <f>HYPERLINK("http://141.218.60.56/~jnz1568/getInfo.php?workbook=06_02.xlsx&amp;sheet=A0&amp;row=510&amp;col=10&amp;number=&amp;sourceID=34","")</f>
        <v/>
      </c>
      <c r="K510" s="4" t="str">
        <f>HYPERLINK("http://141.218.60.56/~jnz1568/getInfo.php?workbook=06_02.xlsx&amp;sheet=A0&amp;row=510&amp;col=11&amp;number=&amp;sourceID=30","")</f>
        <v/>
      </c>
      <c r="L510" s="4" t="str">
        <f>HYPERLINK("http://141.218.60.56/~jnz1568/getInfo.php?workbook=06_02.xlsx&amp;sheet=A0&amp;row=510&amp;col=12&amp;number=&amp;sourceID=30","")</f>
        <v/>
      </c>
      <c r="M510" s="4" t="str">
        <f>HYPERLINK("http://141.218.60.56/~jnz1568/getInfo.php?workbook=06_02.xlsx&amp;sheet=A0&amp;row=510&amp;col=13&amp;number=&amp;sourceID=30","")</f>
        <v/>
      </c>
      <c r="N510" s="4" t="str">
        <f>HYPERLINK("http://141.218.60.56/~jnz1568/getInfo.php?workbook=06_02.xlsx&amp;sheet=A0&amp;row=510&amp;col=14&amp;number=0.009037&amp;sourceID=30","0.009037")</f>
        <v>0.009037</v>
      </c>
      <c r="O510" s="4" t="str">
        <f>HYPERLINK("http://141.218.60.56/~jnz1568/getInfo.php?workbook=06_02.xlsx&amp;sheet=A0&amp;row=510&amp;col=15&amp;number=&amp;sourceID=32","")</f>
        <v/>
      </c>
      <c r="P510" s="4" t="str">
        <f>HYPERLINK("http://141.218.60.56/~jnz1568/getInfo.php?workbook=06_02.xlsx&amp;sheet=A0&amp;row=510&amp;col=16&amp;number=&amp;sourceID=32","")</f>
        <v/>
      </c>
      <c r="Q510" s="4" t="str">
        <f>HYPERLINK("http://141.218.60.56/~jnz1568/getInfo.php?workbook=06_02.xlsx&amp;sheet=A0&amp;row=510&amp;col=17&amp;number=&amp;sourceID=32","")</f>
        <v/>
      </c>
      <c r="R510" s="4" t="str">
        <f>HYPERLINK("http://141.218.60.56/~jnz1568/getInfo.php?workbook=06_02.xlsx&amp;sheet=A0&amp;row=510&amp;col=18&amp;number=0.008378&amp;sourceID=32","0.008378")</f>
        <v>0.008378</v>
      </c>
    </row>
    <row r="511" spans="1:18">
      <c r="A511" s="3">
        <v>6</v>
      </c>
      <c r="B511" s="3">
        <v>2</v>
      </c>
      <c r="C511" s="3">
        <v>36</v>
      </c>
      <c r="D511" s="3">
        <v>20</v>
      </c>
      <c r="E511" s="3">
        <f>((1/(INDEX(E0!J$4:J$52,C511,1)-INDEX(E0!J$4:J$52,D511,1))))*100000000</f>
        <v>0</v>
      </c>
      <c r="F511" s="4" t="str">
        <f>HYPERLINK("http://141.218.60.56/~jnz1568/getInfo.php?workbook=06_02.xlsx&amp;sheet=A0&amp;row=511&amp;col=6&amp;number=&amp;sourceID=27","")</f>
        <v/>
      </c>
      <c r="G511" s="4" t="str">
        <f>HYPERLINK("http://141.218.60.56/~jnz1568/getInfo.php?workbook=06_02.xlsx&amp;sheet=A0&amp;row=511&amp;col=7&amp;number=&amp;sourceID=34","")</f>
        <v/>
      </c>
      <c r="H511" s="4" t="str">
        <f>HYPERLINK("http://141.218.60.56/~jnz1568/getInfo.php?workbook=06_02.xlsx&amp;sheet=A0&amp;row=511&amp;col=8&amp;number=&amp;sourceID=34","")</f>
        <v/>
      </c>
      <c r="I511" s="4" t="str">
        <f>HYPERLINK("http://141.218.60.56/~jnz1568/getInfo.php?workbook=06_02.xlsx&amp;sheet=A0&amp;row=511&amp;col=9&amp;number=&amp;sourceID=34","")</f>
        <v/>
      </c>
      <c r="J511" s="4" t="str">
        <f>HYPERLINK("http://141.218.60.56/~jnz1568/getInfo.php?workbook=06_02.xlsx&amp;sheet=A0&amp;row=511&amp;col=10&amp;number=&amp;sourceID=34","")</f>
        <v/>
      </c>
      <c r="K511" s="4" t="str">
        <f>HYPERLINK("http://141.218.60.56/~jnz1568/getInfo.php?workbook=06_02.xlsx&amp;sheet=A0&amp;row=511&amp;col=11&amp;number=&amp;sourceID=30","")</f>
        <v/>
      </c>
      <c r="L511" s="4" t="str">
        <f>HYPERLINK("http://141.218.60.56/~jnz1568/getInfo.php?workbook=06_02.xlsx&amp;sheet=A0&amp;row=511&amp;col=12&amp;number=1427&amp;sourceID=30","1427")</f>
        <v>1427</v>
      </c>
      <c r="M511" s="4" t="str">
        <f>HYPERLINK("http://141.218.60.56/~jnz1568/getInfo.php?workbook=06_02.xlsx&amp;sheet=A0&amp;row=511&amp;col=13&amp;number=&amp;sourceID=30","")</f>
        <v/>
      </c>
      <c r="N511" s="4" t="str">
        <f>HYPERLINK("http://141.218.60.56/~jnz1568/getInfo.php?workbook=06_02.xlsx&amp;sheet=A0&amp;row=511&amp;col=14&amp;number=&amp;sourceID=30","")</f>
        <v/>
      </c>
      <c r="O511" s="4" t="str">
        <f>HYPERLINK("http://141.218.60.56/~jnz1568/getInfo.php?workbook=06_02.xlsx&amp;sheet=A0&amp;row=511&amp;col=15&amp;number=&amp;sourceID=32","")</f>
        <v/>
      </c>
      <c r="P511" s="4" t="str">
        <f>HYPERLINK("http://141.218.60.56/~jnz1568/getInfo.php?workbook=06_02.xlsx&amp;sheet=A0&amp;row=511&amp;col=16&amp;number=1487&amp;sourceID=32","1487")</f>
        <v>1487</v>
      </c>
      <c r="Q511" s="4" t="str">
        <f>HYPERLINK("http://141.218.60.56/~jnz1568/getInfo.php?workbook=06_02.xlsx&amp;sheet=A0&amp;row=511&amp;col=17&amp;number=&amp;sourceID=32","")</f>
        <v/>
      </c>
      <c r="R511" s="4" t="str">
        <f>HYPERLINK("http://141.218.60.56/~jnz1568/getInfo.php?workbook=06_02.xlsx&amp;sheet=A0&amp;row=511&amp;col=18&amp;number=&amp;sourceID=32","")</f>
        <v/>
      </c>
    </row>
    <row r="512" spans="1:18">
      <c r="A512" s="3">
        <v>6</v>
      </c>
      <c r="B512" s="3">
        <v>2</v>
      </c>
      <c r="C512" s="3">
        <v>36</v>
      </c>
      <c r="D512" s="3">
        <v>21</v>
      </c>
      <c r="E512" s="3">
        <f>((1/(INDEX(E0!J$4:J$52,C512,1)-INDEX(E0!J$4:J$52,D512,1))))*100000000</f>
        <v>0</v>
      </c>
      <c r="F512" s="4" t="str">
        <f>HYPERLINK("http://141.218.60.56/~jnz1568/getInfo.php?workbook=06_02.xlsx&amp;sheet=A0&amp;row=512&amp;col=6&amp;number=&amp;sourceID=27","")</f>
        <v/>
      </c>
      <c r="G512" s="4" t="str">
        <f>HYPERLINK("http://141.218.60.56/~jnz1568/getInfo.php?workbook=06_02.xlsx&amp;sheet=A0&amp;row=512&amp;col=7&amp;number=&amp;sourceID=34","")</f>
        <v/>
      </c>
      <c r="H512" s="4" t="str">
        <f>HYPERLINK("http://141.218.60.56/~jnz1568/getInfo.php?workbook=06_02.xlsx&amp;sheet=A0&amp;row=512&amp;col=8&amp;number=&amp;sourceID=34","")</f>
        <v/>
      </c>
      <c r="I512" s="4" t="str">
        <f>HYPERLINK("http://141.218.60.56/~jnz1568/getInfo.php?workbook=06_02.xlsx&amp;sheet=A0&amp;row=512&amp;col=9&amp;number=&amp;sourceID=34","")</f>
        <v/>
      </c>
      <c r="J512" s="4" t="str">
        <f>HYPERLINK("http://141.218.60.56/~jnz1568/getInfo.php?workbook=06_02.xlsx&amp;sheet=A0&amp;row=512&amp;col=10&amp;number=&amp;sourceID=34","")</f>
        <v/>
      </c>
      <c r="K512" s="4" t="str">
        <f>HYPERLINK("http://141.218.60.56/~jnz1568/getInfo.php?workbook=06_02.xlsx&amp;sheet=A0&amp;row=512&amp;col=11&amp;number=&amp;sourceID=30","")</f>
        <v/>
      </c>
      <c r="L512" s="4" t="str">
        <f>HYPERLINK("http://141.218.60.56/~jnz1568/getInfo.php?workbook=06_02.xlsx&amp;sheet=A0&amp;row=512&amp;col=12&amp;number=3208&amp;sourceID=30","3208")</f>
        <v>3208</v>
      </c>
      <c r="M512" s="4" t="str">
        <f>HYPERLINK("http://141.218.60.56/~jnz1568/getInfo.php?workbook=06_02.xlsx&amp;sheet=A0&amp;row=512&amp;col=13&amp;number=0.0001227&amp;sourceID=30","0.0001227")</f>
        <v>0.0001227</v>
      </c>
      <c r="N512" s="4" t="str">
        <f>HYPERLINK("http://141.218.60.56/~jnz1568/getInfo.php?workbook=06_02.xlsx&amp;sheet=A0&amp;row=512&amp;col=14&amp;number=&amp;sourceID=30","")</f>
        <v/>
      </c>
      <c r="O512" s="4" t="str">
        <f>HYPERLINK("http://141.218.60.56/~jnz1568/getInfo.php?workbook=06_02.xlsx&amp;sheet=A0&amp;row=512&amp;col=15&amp;number=&amp;sourceID=32","")</f>
        <v/>
      </c>
      <c r="P512" s="4" t="str">
        <f>HYPERLINK("http://141.218.60.56/~jnz1568/getInfo.php?workbook=06_02.xlsx&amp;sheet=A0&amp;row=512&amp;col=16&amp;number=3345&amp;sourceID=32","3345")</f>
        <v>3345</v>
      </c>
      <c r="Q512" s="4" t="str">
        <f>HYPERLINK("http://141.218.60.56/~jnz1568/getInfo.php?workbook=06_02.xlsx&amp;sheet=A0&amp;row=512&amp;col=17&amp;number=0.0001209&amp;sourceID=32","0.0001209")</f>
        <v>0.0001209</v>
      </c>
      <c r="R512" s="4" t="str">
        <f>HYPERLINK("http://141.218.60.56/~jnz1568/getInfo.php?workbook=06_02.xlsx&amp;sheet=A0&amp;row=512&amp;col=18&amp;number=&amp;sourceID=32","")</f>
        <v/>
      </c>
    </row>
    <row r="513" spans="1:18">
      <c r="A513" s="3">
        <v>6</v>
      </c>
      <c r="B513" s="3">
        <v>2</v>
      </c>
      <c r="C513" s="3">
        <v>36</v>
      </c>
      <c r="D513" s="3">
        <v>22</v>
      </c>
      <c r="E513" s="3">
        <f>((1/(INDEX(E0!J$4:J$52,C513,1)-INDEX(E0!J$4:J$52,D513,1))))*100000000</f>
        <v>0</v>
      </c>
      <c r="F513" s="4" t="str">
        <f>HYPERLINK("http://141.218.60.56/~jnz1568/getInfo.php?workbook=06_02.xlsx&amp;sheet=A0&amp;row=513&amp;col=6&amp;number=&amp;sourceID=27","")</f>
        <v/>
      </c>
      <c r="G513" s="4" t="str">
        <f>HYPERLINK("http://141.218.60.56/~jnz1568/getInfo.php?workbook=06_02.xlsx&amp;sheet=A0&amp;row=513&amp;col=7&amp;number=&amp;sourceID=34","")</f>
        <v/>
      </c>
      <c r="H513" s="4" t="str">
        <f>HYPERLINK("http://141.218.60.56/~jnz1568/getInfo.php?workbook=06_02.xlsx&amp;sheet=A0&amp;row=513&amp;col=8&amp;number=&amp;sourceID=34","")</f>
        <v/>
      </c>
      <c r="I513" s="4" t="str">
        <f>HYPERLINK("http://141.218.60.56/~jnz1568/getInfo.php?workbook=06_02.xlsx&amp;sheet=A0&amp;row=513&amp;col=9&amp;number=&amp;sourceID=34","")</f>
        <v/>
      </c>
      <c r="J513" s="4" t="str">
        <f>HYPERLINK("http://141.218.60.56/~jnz1568/getInfo.php?workbook=06_02.xlsx&amp;sheet=A0&amp;row=513&amp;col=10&amp;number=&amp;sourceID=34","")</f>
        <v/>
      </c>
      <c r="K513" s="4" t="str">
        <f>HYPERLINK("http://141.218.60.56/~jnz1568/getInfo.php?workbook=06_02.xlsx&amp;sheet=A0&amp;row=513&amp;col=11&amp;number=&amp;sourceID=30","")</f>
        <v/>
      </c>
      <c r="L513" s="4" t="str">
        <f>HYPERLINK("http://141.218.60.56/~jnz1568/getInfo.php?workbook=06_02.xlsx&amp;sheet=A0&amp;row=513&amp;col=12&amp;number=2495&amp;sourceID=30","2495")</f>
        <v>2495</v>
      </c>
      <c r="M513" s="4" t="str">
        <f>HYPERLINK("http://141.218.60.56/~jnz1568/getInfo.php?workbook=06_02.xlsx&amp;sheet=A0&amp;row=513&amp;col=13&amp;number=1.612e-05&amp;sourceID=30","1.612e-05")</f>
        <v>1.612e-05</v>
      </c>
      <c r="N513" s="4" t="str">
        <f>HYPERLINK("http://141.218.60.56/~jnz1568/getInfo.php?workbook=06_02.xlsx&amp;sheet=A0&amp;row=513&amp;col=14&amp;number=&amp;sourceID=30","")</f>
        <v/>
      </c>
      <c r="O513" s="4" t="str">
        <f>HYPERLINK("http://141.218.60.56/~jnz1568/getInfo.php?workbook=06_02.xlsx&amp;sheet=A0&amp;row=513&amp;col=15&amp;number=&amp;sourceID=32","")</f>
        <v/>
      </c>
      <c r="P513" s="4" t="str">
        <f>HYPERLINK("http://141.218.60.56/~jnz1568/getInfo.php?workbook=06_02.xlsx&amp;sheet=A0&amp;row=513&amp;col=16&amp;number=2602&amp;sourceID=32","2602")</f>
        <v>2602</v>
      </c>
      <c r="Q513" s="4" t="str">
        <f>HYPERLINK("http://141.218.60.56/~jnz1568/getInfo.php?workbook=06_02.xlsx&amp;sheet=A0&amp;row=513&amp;col=17&amp;number=1.685e-05&amp;sourceID=32","1.685e-05")</f>
        <v>1.685e-05</v>
      </c>
      <c r="R513" s="4" t="str">
        <f>HYPERLINK("http://141.218.60.56/~jnz1568/getInfo.php?workbook=06_02.xlsx&amp;sheet=A0&amp;row=513&amp;col=18&amp;number=&amp;sourceID=32","")</f>
        <v/>
      </c>
    </row>
    <row r="514" spans="1:18">
      <c r="A514" s="3">
        <v>6</v>
      </c>
      <c r="B514" s="3">
        <v>2</v>
      </c>
      <c r="C514" s="3">
        <v>36</v>
      </c>
      <c r="D514" s="3">
        <v>23</v>
      </c>
      <c r="E514" s="3">
        <f>((1/(INDEX(E0!J$4:J$52,C514,1)-INDEX(E0!J$4:J$52,D514,1))))*100000000</f>
        <v>0</v>
      </c>
      <c r="F514" s="4" t="str">
        <f>HYPERLINK("http://141.218.60.56/~jnz1568/getInfo.php?workbook=06_02.xlsx&amp;sheet=A0&amp;row=514&amp;col=6&amp;number=&amp;sourceID=27","")</f>
        <v/>
      </c>
      <c r="G514" s="4" t="str">
        <f>HYPERLINK("http://141.218.60.56/~jnz1568/getInfo.php?workbook=06_02.xlsx&amp;sheet=A0&amp;row=514&amp;col=7&amp;number=&amp;sourceID=34","")</f>
        <v/>
      </c>
      <c r="H514" s="4" t="str">
        <f>HYPERLINK("http://141.218.60.56/~jnz1568/getInfo.php?workbook=06_02.xlsx&amp;sheet=A0&amp;row=514&amp;col=8&amp;number=&amp;sourceID=34","")</f>
        <v/>
      </c>
      <c r="I514" s="4" t="str">
        <f>HYPERLINK("http://141.218.60.56/~jnz1568/getInfo.php?workbook=06_02.xlsx&amp;sheet=A0&amp;row=514&amp;col=9&amp;number=&amp;sourceID=34","")</f>
        <v/>
      </c>
      <c r="J514" s="4" t="str">
        <f>HYPERLINK("http://141.218.60.56/~jnz1568/getInfo.php?workbook=06_02.xlsx&amp;sheet=A0&amp;row=514&amp;col=10&amp;number=&amp;sourceID=34","")</f>
        <v/>
      </c>
      <c r="K514" s="4" t="str">
        <f>HYPERLINK("http://141.218.60.56/~jnz1568/getInfo.php?workbook=06_02.xlsx&amp;sheet=A0&amp;row=514&amp;col=11&amp;number=1486000&amp;sourceID=30","1486000")</f>
        <v>1486000</v>
      </c>
      <c r="L514" s="4" t="str">
        <f>HYPERLINK("http://141.218.60.56/~jnz1568/getInfo.php?workbook=06_02.xlsx&amp;sheet=A0&amp;row=514&amp;col=12&amp;number=&amp;sourceID=30","")</f>
        <v/>
      </c>
      <c r="M514" s="4" t="str">
        <f>HYPERLINK("http://141.218.60.56/~jnz1568/getInfo.php?workbook=06_02.xlsx&amp;sheet=A0&amp;row=514&amp;col=13&amp;number=&amp;sourceID=30","")</f>
        <v/>
      </c>
      <c r="N514" s="4" t="str">
        <f>HYPERLINK("http://141.218.60.56/~jnz1568/getInfo.php?workbook=06_02.xlsx&amp;sheet=A0&amp;row=514&amp;col=14&amp;number=6.928e-11&amp;sourceID=30","6.928e-11")</f>
        <v>6.928e-11</v>
      </c>
      <c r="O514" s="4" t="str">
        <f>HYPERLINK("http://141.218.60.56/~jnz1568/getInfo.php?workbook=06_02.xlsx&amp;sheet=A0&amp;row=514&amp;col=15&amp;number=1526000&amp;sourceID=32","1526000")</f>
        <v>1526000</v>
      </c>
      <c r="P514" s="4" t="str">
        <f>HYPERLINK("http://141.218.60.56/~jnz1568/getInfo.php?workbook=06_02.xlsx&amp;sheet=A0&amp;row=514&amp;col=16&amp;number=&amp;sourceID=32","")</f>
        <v/>
      </c>
      <c r="Q514" s="4" t="str">
        <f>HYPERLINK("http://141.218.60.56/~jnz1568/getInfo.php?workbook=06_02.xlsx&amp;sheet=A0&amp;row=514&amp;col=17&amp;number=&amp;sourceID=32","")</f>
        <v/>
      </c>
      <c r="R514" s="4" t="str">
        <f>HYPERLINK("http://141.218.60.56/~jnz1568/getInfo.php?workbook=06_02.xlsx&amp;sheet=A0&amp;row=514&amp;col=18&amp;number=8.955e-11&amp;sourceID=32","8.955e-11")</f>
        <v>8.955e-11</v>
      </c>
    </row>
    <row r="515" spans="1:18">
      <c r="A515" s="3">
        <v>6</v>
      </c>
      <c r="B515" s="3">
        <v>2</v>
      </c>
      <c r="C515" s="3">
        <v>36</v>
      </c>
      <c r="D515" s="3">
        <v>24</v>
      </c>
      <c r="E515" s="3">
        <f>((1/(INDEX(E0!J$4:J$52,C515,1)-INDEX(E0!J$4:J$52,D515,1))))*100000000</f>
        <v>0</v>
      </c>
      <c r="F515" s="4" t="str">
        <f>HYPERLINK("http://141.218.60.56/~jnz1568/getInfo.php?workbook=06_02.xlsx&amp;sheet=A0&amp;row=515&amp;col=6&amp;number=&amp;sourceID=27","")</f>
        <v/>
      </c>
      <c r="G515" s="4" t="str">
        <f>HYPERLINK("http://141.218.60.56/~jnz1568/getInfo.php?workbook=06_02.xlsx&amp;sheet=A0&amp;row=515&amp;col=7&amp;number=&amp;sourceID=34","")</f>
        <v/>
      </c>
      <c r="H515" s="4" t="str">
        <f>HYPERLINK("http://141.218.60.56/~jnz1568/getInfo.php?workbook=06_02.xlsx&amp;sheet=A0&amp;row=515&amp;col=8&amp;number=&amp;sourceID=34","")</f>
        <v/>
      </c>
      <c r="I515" s="4" t="str">
        <f>HYPERLINK("http://141.218.60.56/~jnz1568/getInfo.php?workbook=06_02.xlsx&amp;sheet=A0&amp;row=515&amp;col=9&amp;number=&amp;sourceID=34","")</f>
        <v/>
      </c>
      <c r="J515" s="4" t="str">
        <f>HYPERLINK("http://141.218.60.56/~jnz1568/getInfo.php?workbook=06_02.xlsx&amp;sheet=A0&amp;row=515&amp;col=10&amp;number=&amp;sourceID=34","")</f>
        <v/>
      </c>
      <c r="K515" s="4" t="str">
        <f>HYPERLINK("http://141.218.60.56/~jnz1568/getInfo.php?workbook=06_02.xlsx&amp;sheet=A0&amp;row=515&amp;col=11&amp;number=22280000&amp;sourceID=30","22280000")</f>
        <v>22280000</v>
      </c>
      <c r="L515" s="4" t="str">
        <f>HYPERLINK("http://141.218.60.56/~jnz1568/getInfo.php?workbook=06_02.xlsx&amp;sheet=A0&amp;row=515&amp;col=12&amp;number=&amp;sourceID=30","")</f>
        <v/>
      </c>
      <c r="M515" s="4" t="str">
        <f>HYPERLINK("http://141.218.60.56/~jnz1568/getInfo.php?workbook=06_02.xlsx&amp;sheet=A0&amp;row=515&amp;col=13&amp;number=&amp;sourceID=30","")</f>
        <v/>
      </c>
      <c r="N515" s="4" t="str">
        <f>HYPERLINK("http://141.218.60.56/~jnz1568/getInfo.php?workbook=06_02.xlsx&amp;sheet=A0&amp;row=515&amp;col=14&amp;number=0.0005042&amp;sourceID=30","0.0005042")</f>
        <v>0.0005042</v>
      </c>
      <c r="O515" s="4" t="str">
        <f>HYPERLINK("http://141.218.60.56/~jnz1568/getInfo.php?workbook=06_02.xlsx&amp;sheet=A0&amp;row=515&amp;col=15&amp;number=22880000&amp;sourceID=32","22880000")</f>
        <v>22880000</v>
      </c>
      <c r="P515" s="4" t="str">
        <f>HYPERLINK("http://141.218.60.56/~jnz1568/getInfo.php?workbook=06_02.xlsx&amp;sheet=A0&amp;row=515&amp;col=16&amp;number=&amp;sourceID=32","")</f>
        <v/>
      </c>
      <c r="Q515" s="4" t="str">
        <f>HYPERLINK("http://141.218.60.56/~jnz1568/getInfo.php?workbook=06_02.xlsx&amp;sheet=A0&amp;row=515&amp;col=17&amp;number=&amp;sourceID=32","")</f>
        <v/>
      </c>
      <c r="R515" s="4" t="str">
        <f>HYPERLINK("http://141.218.60.56/~jnz1568/getInfo.php?workbook=06_02.xlsx&amp;sheet=A0&amp;row=515&amp;col=18&amp;number=0.0005075&amp;sourceID=32","0.0005075")</f>
        <v>0.0005075</v>
      </c>
    </row>
    <row r="516" spans="1:18">
      <c r="A516" s="3">
        <v>6</v>
      </c>
      <c r="B516" s="3">
        <v>2</v>
      </c>
      <c r="C516" s="3">
        <v>36</v>
      </c>
      <c r="D516" s="3">
        <v>25</v>
      </c>
      <c r="E516" s="3">
        <f>((1/(INDEX(E0!J$4:J$52,C516,1)-INDEX(E0!J$4:J$52,D516,1))))*100000000</f>
        <v>0</v>
      </c>
      <c r="F516" s="4" t="str">
        <f>HYPERLINK("http://141.218.60.56/~jnz1568/getInfo.php?workbook=06_02.xlsx&amp;sheet=A0&amp;row=516&amp;col=6&amp;number=&amp;sourceID=27","")</f>
        <v/>
      </c>
      <c r="G516" s="4" t="str">
        <f>HYPERLINK("http://141.218.60.56/~jnz1568/getInfo.php?workbook=06_02.xlsx&amp;sheet=A0&amp;row=516&amp;col=7&amp;number=&amp;sourceID=34","")</f>
        <v/>
      </c>
      <c r="H516" s="4" t="str">
        <f>HYPERLINK("http://141.218.60.56/~jnz1568/getInfo.php?workbook=06_02.xlsx&amp;sheet=A0&amp;row=516&amp;col=8&amp;number=&amp;sourceID=34","")</f>
        <v/>
      </c>
      <c r="I516" s="4" t="str">
        <f>HYPERLINK("http://141.218.60.56/~jnz1568/getInfo.php?workbook=06_02.xlsx&amp;sheet=A0&amp;row=516&amp;col=9&amp;number=&amp;sourceID=34","")</f>
        <v/>
      </c>
      <c r="J516" s="4" t="str">
        <f>HYPERLINK("http://141.218.60.56/~jnz1568/getInfo.php?workbook=06_02.xlsx&amp;sheet=A0&amp;row=516&amp;col=10&amp;number=&amp;sourceID=34","")</f>
        <v/>
      </c>
      <c r="K516" s="4" t="str">
        <f>HYPERLINK("http://141.218.60.56/~jnz1568/getInfo.php?workbook=06_02.xlsx&amp;sheet=A0&amp;row=516&amp;col=11&amp;number=125100000&amp;sourceID=30","125100000")</f>
        <v>125100000</v>
      </c>
      <c r="L516" s="4" t="str">
        <f>HYPERLINK("http://141.218.60.56/~jnz1568/getInfo.php?workbook=06_02.xlsx&amp;sheet=A0&amp;row=516&amp;col=12&amp;number=&amp;sourceID=30","")</f>
        <v/>
      </c>
      <c r="M516" s="4" t="str">
        <f>HYPERLINK("http://141.218.60.56/~jnz1568/getInfo.php?workbook=06_02.xlsx&amp;sheet=A0&amp;row=516&amp;col=13&amp;number=&amp;sourceID=30","")</f>
        <v/>
      </c>
      <c r="N516" s="4" t="str">
        <f>HYPERLINK("http://141.218.60.56/~jnz1568/getInfo.php?workbook=06_02.xlsx&amp;sheet=A0&amp;row=516&amp;col=14&amp;number=0.005634&amp;sourceID=30","0.005634")</f>
        <v>0.005634</v>
      </c>
      <c r="O516" s="4" t="str">
        <f>HYPERLINK("http://141.218.60.56/~jnz1568/getInfo.php?workbook=06_02.xlsx&amp;sheet=A0&amp;row=516&amp;col=15&amp;number=128500000&amp;sourceID=32","128500000")</f>
        <v>128500000</v>
      </c>
      <c r="P516" s="4" t="str">
        <f>HYPERLINK("http://141.218.60.56/~jnz1568/getInfo.php?workbook=06_02.xlsx&amp;sheet=A0&amp;row=516&amp;col=16&amp;number=&amp;sourceID=32","")</f>
        <v/>
      </c>
      <c r="Q516" s="4" t="str">
        <f>HYPERLINK("http://141.218.60.56/~jnz1568/getInfo.php?workbook=06_02.xlsx&amp;sheet=A0&amp;row=516&amp;col=17&amp;number=&amp;sourceID=32","")</f>
        <v/>
      </c>
      <c r="R516" s="4" t="str">
        <f>HYPERLINK("http://141.218.60.56/~jnz1568/getInfo.php?workbook=06_02.xlsx&amp;sheet=A0&amp;row=516&amp;col=18&amp;number=0.005782&amp;sourceID=32","0.005782")</f>
        <v>0.005782</v>
      </c>
    </row>
    <row r="517" spans="1:18">
      <c r="A517" s="3">
        <v>6</v>
      </c>
      <c r="B517" s="3">
        <v>2</v>
      </c>
      <c r="C517" s="3">
        <v>36</v>
      </c>
      <c r="D517" s="3">
        <v>26</v>
      </c>
      <c r="E517" s="3">
        <f>((1/(INDEX(E0!J$4:J$52,C517,1)-INDEX(E0!J$4:J$52,D517,1))))*100000000</f>
        <v>0</v>
      </c>
      <c r="F517" s="4" t="str">
        <f>HYPERLINK("http://141.218.60.56/~jnz1568/getInfo.php?workbook=06_02.xlsx&amp;sheet=A0&amp;row=517&amp;col=6&amp;number=&amp;sourceID=27","")</f>
        <v/>
      </c>
      <c r="G517" s="4" t="str">
        <f>HYPERLINK("http://141.218.60.56/~jnz1568/getInfo.php?workbook=06_02.xlsx&amp;sheet=A0&amp;row=517&amp;col=7&amp;number=&amp;sourceID=34","")</f>
        <v/>
      </c>
      <c r="H517" s="4" t="str">
        <f>HYPERLINK("http://141.218.60.56/~jnz1568/getInfo.php?workbook=06_02.xlsx&amp;sheet=A0&amp;row=517&amp;col=8&amp;number=&amp;sourceID=34","")</f>
        <v/>
      </c>
      <c r="I517" s="4" t="str">
        <f>HYPERLINK("http://141.218.60.56/~jnz1568/getInfo.php?workbook=06_02.xlsx&amp;sheet=A0&amp;row=517&amp;col=9&amp;number=&amp;sourceID=34","")</f>
        <v/>
      </c>
      <c r="J517" s="4" t="str">
        <f>HYPERLINK("http://141.218.60.56/~jnz1568/getInfo.php?workbook=06_02.xlsx&amp;sheet=A0&amp;row=517&amp;col=10&amp;number=&amp;sourceID=34","")</f>
        <v/>
      </c>
      <c r="K517" s="4" t="str">
        <f>HYPERLINK("http://141.218.60.56/~jnz1568/getInfo.php?workbook=06_02.xlsx&amp;sheet=A0&amp;row=517&amp;col=11&amp;number=&amp;sourceID=30","")</f>
        <v/>
      </c>
      <c r="L517" s="4" t="str">
        <f>HYPERLINK("http://141.218.60.56/~jnz1568/getInfo.php?workbook=06_02.xlsx&amp;sheet=A0&amp;row=517&amp;col=12&amp;number=54.41&amp;sourceID=30","54.41")</f>
        <v>54.41</v>
      </c>
      <c r="M517" s="4" t="str">
        <f>HYPERLINK("http://141.218.60.56/~jnz1568/getInfo.php?workbook=06_02.xlsx&amp;sheet=A0&amp;row=517&amp;col=13&amp;number=5.916e-10&amp;sourceID=30","5.916e-10")</f>
        <v>5.916e-10</v>
      </c>
      <c r="N517" s="4" t="str">
        <f>HYPERLINK("http://141.218.60.56/~jnz1568/getInfo.php?workbook=06_02.xlsx&amp;sheet=A0&amp;row=517&amp;col=14&amp;number=&amp;sourceID=30","")</f>
        <v/>
      </c>
      <c r="O517" s="4" t="str">
        <f>HYPERLINK("http://141.218.60.56/~jnz1568/getInfo.php?workbook=06_02.xlsx&amp;sheet=A0&amp;row=517&amp;col=15&amp;number=&amp;sourceID=32","")</f>
        <v/>
      </c>
      <c r="P517" s="4" t="str">
        <f>HYPERLINK("http://141.218.60.56/~jnz1568/getInfo.php?workbook=06_02.xlsx&amp;sheet=A0&amp;row=517&amp;col=16&amp;number=103.3&amp;sourceID=32","103.3")</f>
        <v>103.3</v>
      </c>
      <c r="Q517" s="4" t="str">
        <f>HYPERLINK("http://141.218.60.56/~jnz1568/getInfo.php?workbook=06_02.xlsx&amp;sheet=A0&amp;row=517&amp;col=17&amp;number=7.22e-11&amp;sourceID=32","7.22e-11")</f>
        <v>7.22e-11</v>
      </c>
      <c r="R517" s="4" t="str">
        <f>HYPERLINK("http://141.218.60.56/~jnz1568/getInfo.php?workbook=06_02.xlsx&amp;sheet=A0&amp;row=517&amp;col=18&amp;number=&amp;sourceID=32","")</f>
        <v/>
      </c>
    </row>
    <row r="518" spans="1:18">
      <c r="A518" s="3">
        <v>6</v>
      </c>
      <c r="B518" s="3">
        <v>2</v>
      </c>
      <c r="C518" s="3">
        <v>36</v>
      </c>
      <c r="D518" s="3">
        <v>27</v>
      </c>
      <c r="E518" s="3">
        <f>((1/(INDEX(E0!J$4:J$52,C518,1)-INDEX(E0!J$4:J$52,D518,1))))*100000000</f>
        <v>0</v>
      </c>
      <c r="F518" s="4" t="str">
        <f>HYPERLINK("http://141.218.60.56/~jnz1568/getInfo.php?workbook=06_02.xlsx&amp;sheet=A0&amp;row=518&amp;col=6&amp;number=&amp;sourceID=27","")</f>
        <v/>
      </c>
      <c r="G518" s="4" t="str">
        <f>HYPERLINK("http://141.218.60.56/~jnz1568/getInfo.php?workbook=06_02.xlsx&amp;sheet=A0&amp;row=518&amp;col=7&amp;number=&amp;sourceID=34","")</f>
        <v/>
      </c>
      <c r="H518" s="4" t="str">
        <f>HYPERLINK("http://141.218.60.56/~jnz1568/getInfo.php?workbook=06_02.xlsx&amp;sheet=A0&amp;row=518&amp;col=8&amp;number=&amp;sourceID=34","")</f>
        <v/>
      </c>
      <c r="I518" s="4" t="str">
        <f>HYPERLINK("http://141.218.60.56/~jnz1568/getInfo.php?workbook=06_02.xlsx&amp;sheet=A0&amp;row=518&amp;col=9&amp;number=&amp;sourceID=34","")</f>
        <v/>
      </c>
      <c r="J518" s="4" t="str">
        <f>HYPERLINK("http://141.218.60.56/~jnz1568/getInfo.php?workbook=06_02.xlsx&amp;sheet=A0&amp;row=518&amp;col=10&amp;number=&amp;sourceID=34","")</f>
        <v/>
      </c>
      <c r="K518" s="4" t="str">
        <f>HYPERLINK("http://141.218.60.56/~jnz1568/getInfo.php?workbook=06_02.xlsx&amp;sheet=A0&amp;row=518&amp;col=11&amp;number=&amp;sourceID=30","")</f>
        <v/>
      </c>
      <c r="L518" s="4" t="str">
        <f>HYPERLINK("http://141.218.60.56/~jnz1568/getInfo.php?workbook=06_02.xlsx&amp;sheet=A0&amp;row=518&amp;col=12&amp;number=22.8&amp;sourceID=30","22.8")</f>
        <v>22.8</v>
      </c>
      <c r="M518" s="4" t="str">
        <f>HYPERLINK("http://141.218.60.56/~jnz1568/getInfo.php?workbook=06_02.xlsx&amp;sheet=A0&amp;row=518&amp;col=13&amp;number=5.363e-09&amp;sourceID=30","5.363e-09")</f>
        <v>5.363e-09</v>
      </c>
      <c r="N518" s="4" t="str">
        <f>HYPERLINK("http://141.218.60.56/~jnz1568/getInfo.php?workbook=06_02.xlsx&amp;sheet=A0&amp;row=518&amp;col=14&amp;number=&amp;sourceID=30","")</f>
        <v/>
      </c>
      <c r="O518" s="4" t="str">
        <f>HYPERLINK("http://141.218.60.56/~jnz1568/getInfo.php?workbook=06_02.xlsx&amp;sheet=A0&amp;row=518&amp;col=15&amp;number=&amp;sourceID=32","")</f>
        <v/>
      </c>
      <c r="P518" s="4" t="str">
        <f>HYPERLINK("http://141.218.60.56/~jnz1568/getInfo.php?workbook=06_02.xlsx&amp;sheet=A0&amp;row=518&amp;col=16&amp;number=23.08&amp;sourceID=32","23.08")</f>
        <v>23.08</v>
      </c>
      <c r="Q518" s="4" t="str">
        <f>HYPERLINK("http://141.218.60.56/~jnz1568/getInfo.php?workbook=06_02.xlsx&amp;sheet=A0&amp;row=518&amp;col=17&amp;number=6.236e-09&amp;sourceID=32","6.236e-09")</f>
        <v>6.236e-09</v>
      </c>
      <c r="R518" s="4" t="str">
        <f>HYPERLINK("http://141.218.60.56/~jnz1568/getInfo.php?workbook=06_02.xlsx&amp;sheet=A0&amp;row=518&amp;col=18&amp;number=&amp;sourceID=32","")</f>
        <v/>
      </c>
    </row>
    <row r="519" spans="1:18">
      <c r="A519" s="3">
        <v>6</v>
      </c>
      <c r="B519" s="3">
        <v>2</v>
      </c>
      <c r="C519" s="3">
        <v>36</v>
      </c>
      <c r="D519" s="3">
        <v>28</v>
      </c>
      <c r="E519" s="3">
        <f>((1/(INDEX(E0!J$4:J$52,C519,1)-INDEX(E0!J$4:J$52,D519,1))))*100000000</f>
        <v>0</v>
      </c>
      <c r="F519" s="4" t="str">
        <f>HYPERLINK("http://141.218.60.56/~jnz1568/getInfo.php?workbook=06_02.xlsx&amp;sheet=A0&amp;row=519&amp;col=6&amp;number=&amp;sourceID=27","")</f>
        <v/>
      </c>
      <c r="G519" s="4" t="str">
        <f>HYPERLINK("http://141.218.60.56/~jnz1568/getInfo.php?workbook=06_02.xlsx&amp;sheet=A0&amp;row=519&amp;col=7&amp;number=&amp;sourceID=34","")</f>
        <v/>
      </c>
      <c r="H519" s="4" t="str">
        <f>HYPERLINK("http://141.218.60.56/~jnz1568/getInfo.php?workbook=06_02.xlsx&amp;sheet=A0&amp;row=519&amp;col=8&amp;number=&amp;sourceID=34","")</f>
        <v/>
      </c>
      <c r="I519" s="4" t="str">
        <f>HYPERLINK("http://141.218.60.56/~jnz1568/getInfo.php?workbook=06_02.xlsx&amp;sheet=A0&amp;row=519&amp;col=9&amp;number=&amp;sourceID=34","")</f>
        <v/>
      </c>
      <c r="J519" s="4" t="str">
        <f>HYPERLINK("http://141.218.60.56/~jnz1568/getInfo.php?workbook=06_02.xlsx&amp;sheet=A0&amp;row=519&amp;col=10&amp;number=&amp;sourceID=34","")</f>
        <v/>
      </c>
      <c r="K519" s="4" t="str">
        <f>HYPERLINK("http://141.218.60.56/~jnz1568/getInfo.php?workbook=06_02.xlsx&amp;sheet=A0&amp;row=519&amp;col=11&amp;number=&amp;sourceID=30","")</f>
        <v/>
      </c>
      <c r="L519" s="4" t="str">
        <f>HYPERLINK("http://141.218.60.56/~jnz1568/getInfo.php?workbook=06_02.xlsx&amp;sheet=A0&amp;row=519&amp;col=12&amp;number=105.1&amp;sourceID=30","105.1")</f>
        <v>105.1</v>
      </c>
      <c r="M519" s="4" t="str">
        <f>HYPERLINK("http://141.218.60.56/~jnz1568/getInfo.php?workbook=06_02.xlsx&amp;sheet=A0&amp;row=519&amp;col=13&amp;number=7.201e-11&amp;sourceID=30","7.201e-11")</f>
        <v>7.201e-11</v>
      </c>
      <c r="N519" s="4" t="str">
        <f>HYPERLINK("http://141.218.60.56/~jnz1568/getInfo.php?workbook=06_02.xlsx&amp;sheet=A0&amp;row=519&amp;col=14&amp;number=&amp;sourceID=30","")</f>
        <v/>
      </c>
      <c r="O519" s="4" t="str">
        <f>HYPERLINK("http://141.218.60.56/~jnz1568/getInfo.php?workbook=06_02.xlsx&amp;sheet=A0&amp;row=519&amp;col=15&amp;number=&amp;sourceID=32","")</f>
        <v/>
      </c>
      <c r="P519" s="4" t="str">
        <f>HYPERLINK("http://141.218.60.56/~jnz1568/getInfo.php?workbook=06_02.xlsx&amp;sheet=A0&amp;row=519&amp;col=16&amp;number=58.25&amp;sourceID=32","58.25")</f>
        <v>58.25</v>
      </c>
      <c r="Q519" s="4" t="str">
        <f>HYPERLINK("http://141.218.60.56/~jnz1568/getInfo.php?workbook=06_02.xlsx&amp;sheet=A0&amp;row=519&amp;col=17&amp;number=6.789e-10&amp;sourceID=32","6.789e-10")</f>
        <v>6.789e-10</v>
      </c>
      <c r="R519" s="4" t="str">
        <f>HYPERLINK("http://141.218.60.56/~jnz1568/getInfo.php?workbook=06_02.xlsx&amp;sheet=A0&amp;row=519&amp;col=18&amp;number=&amp;sourceID=32","")</f>
        <v/>
      </c>
    </row>
    <row r="520" spans="1:18">
      <c r="A520" s="3">
        <v>6</v>
      </c>
      <c r="B520" s="3">
        <v>2</v>
      </c>
      <c r="C520" s="3">
        <v>36</v>
      </c>
      <c r="D520" s="3">
        <v>29</v>
      </c>
      <c r="E520" s="3">
        <f>((1/(INDEX(E0!J$4:J$52,C520,1)-INDEX(E0!J$4:J$52,D520,1))))*100000000</f>
        <v>0</v>
      </c>
      <c r="F520" s="4" t="str">
        <f>HYPERLINK("http://141.218.60.56/~jnz1568/getInfo.php?workbook=06_02.xlsx&amp;sheet=A0&amp;row=520&amp;col=6&amp;number=&amp;sourceID=27","")</f>
        <v/>
      </c>
      <c r="G520" s="4" t="str">
        <f>HYPERLINK("http://141.218.60.56/~jnz1568/getInfo.php?workbook=06_02.xlsx&amp;sheet=A0&amp;row=520&amp;col=7&amp;number=&amp;sourceID=34","")</f>
        <v/>
      </c>
      <c r="H520" s="4" t="str">
        <f>HYPERLINK("http://141.218.60.56/~jnz1568/getInfo.php?workbook=06_02.xlsx&amp;sheet=A0&amp;row=520&amp;col=8&amp;number=&amp;sourceID=34","")</f>
        <v/>
      </c>
      <c r="I520" s="4" t="str">
        <f>HYPERLINK("http://141.218.60.56/~jnz1568/getInfo.php?workbook=06_02.xlsx&amp;sheet=A0&amp;row=520&amp;col=9&amp;number=&amp;sourceID=34","")</f>
        <v/>
      </c>
      <c r="J520" s="4" t="str">
        <f>HYPERLINK("http://141.218.60.56/~jnz1568/getInfo.php?workbook=06_02.xlsx&amp;sheet=A0&amp;row=520&amp;col=10&amp;number=&amp;sourceID=34","")</f>
        <v/>
      </c>
      <c r="K520" s="4" t="str">
        <f>HYPERLINK("http://141.218.60.56/~jnz1568/getInfo.php?workbook=06_02.xlsx&amp;sheet=A0&amp;row=520&amp;col=11&amp;number=&amp;sourceID=30","")</f>
        <v/>
      </c>
      <c r="L520" s="4" t="str">
        <f>HYPERLINK("http://141.218.60.56/~jnz1568/getInfo.php?workbook=06_02.xlsx&amp;sheet=A0&amp;row=520&amp;col=12&amp;number=615.4&amp;sourceID=30","615.4")</f>
        <v>615.4</v>
      </c>
      <c r="M520" s="4" t="str">
        <f>HYPERLINK("http://141.218.60.56/~jnz1568/getInfo.php?workbook=06_02.xlsx&amp;sheet=A0&amp;row=520&amp;col=13&amp;number=&amp;sourceID=30","")</f>
        <v/>
      </c>
      <c r="N520" s="4" t="str">
        <f>HYPERLINK("http://141.218.60.56/~jnz1568/getInfo.php?workbook=06_02.xlsx&amp;sheet=A0&amp;row=520&amp;col=14&amp;number=&amp;sourceID=30","")</f>
        <v/>
      </c>
      <c r="O520" s="4" t="str">
        <f>HYPERLINK("http://141.218.60.56/~jnz1568/getInfo.php?workbook=06_02.xlsx&amp;sheet=A0&amp;row=520&amp;col=15&amp;number=&amp;sourceID=32","")</f>
        <v/>
      </c>
      <c r="P520" s="4" t="str">
        <f>HYPERLINK("http://141.218.60.56/~jnz1568/getInfo.php?workbook=06_02.xlsx&amp;sheet=A0&amp;row=520&amp;col=16&amp;number=&amp;sourceID=32","")</f>
        <v/>
      </c>
      <c r="Q520" s="4" t="str">
        <f>HYPERLINK("http://141.218.60.56/~jnz1568/getInfo.php?workbook=06_02.xlsx&amp;sheet=A0&amp;row=520&amp;col=17&amp;number=&amp;sourceID=32","")</f>
        <v/>
      </c>
      <c r="R520" s="4" t="str">
        <f>HYPERLINK("http://141.218.60.56/~jnz1568/getInfo.php?workbook=06_02.xlsx&amp;sheet=A0&amp;row=520&amp;col=18&amp;number=&amp;sourceID=32","")</f>
        <v/>
      </c>
    </row>
    <row r="521" spans="1:18">
      <c r="A521" s="3">
        <v>6</v>
      </c>
      <c r="B521" s="3">
        <v>2</v>
      </c>
      <c r="C521" s="3">
        <v>36</v>
      </c>
      <c r="D521" s="3">
        <v>30</v>
      </c>
      <c r="E521" s="3">
        <f>((1/(INDEX(E0!J$4:J$52,C521,1)-INDEX(E0!J$4:J$52,D521,1))))*100000000</f>
        <v>0</v>
      </c>
      <c r="F521" s="4" t="str">
        <f>HYPERLINK("http://141.218.60.56/~jnz1568/getInfo.php?workbook=06_02.xlsx&amp;sheet=A0&amp;row=521&amp;col=6&amp;number=&amp;sourceID=27","")</f>
        <v/>
      </c>
      <c r="G521" s="4" t="str">
        <f>HYPERLINK("http://141.218.60.56/~jnz1568/getInfo.php?workbook=06_02.xlsx&amp;sheet=A0&amp;row=521&amp;col=7&amp;number=&amp;sourceID=34","")</f>
        <v/>
      </c>
      <c r="H521" s="4" t="str">
        <f>HYPERLINK("http://141.218.60.56/~jnz1568/getInfo.php?workbook=06_02.xlsx&amp;sheet=A0&amp;row=521&amp;col=8&amp;number=&amp;sourceID=34","")</f>
        <v/>
      </c>
      <c r="I521" s="4" t="str">
        <f>HYPERLINK("http://141.218.60.56/~jnz1568/getInfo.php?workbook=06_02.xlsx&amp;sheet=A0&amp;row=521&amp;col=9&amp;number=&amp;sourceID=34","")</f>
        <v/>
      </c>
      <c r="J521" s="4" t="str">
        <f>HYPERLINK("http://141.218.60.56/~jnz1568/getInfo.php?workbook=06_02.xlsx&amp;sheet=A0&amp;row=521&amp;col=10&amp;number=&amp;sourceID=34","")</f>
        <v/>
      </c>
      <c r="K521" s="4" t="str">
        <f>HYPERLINK("http://141.218.60.56/~jnz1568/getInfo.php?workbook=06_02.xlsx&amp;sheet=A0&amp;row=521&amp;col=11&amp;number=42030&amp;sourceID=30","42030")</f>
        <v>42030</v>
      </c>
      <c r="L521" s="4" t="str">
        <f>HYPERLINK("http://141.218.60.56/~jnz1568/getInfo.php?workbook=06_02.xlsx&amp;sheet=A0&amp;row=521&amp;col=12&amp;number=&amp;sourceID=30","")</f>
        <v/>
      </c>
      <c r="M521" s="4" t="str">
        <f>HYPERLINK("http://141.218.60.56/~jnz1568/getInfo.php?workbook=06_02.xlsx&amp;sheet=A0&amp;row=521&amp;col=13&amp;number=&amp;sourceID=30","")</f>
        <v/>
      </c>
      <c r="N521" s="4" t="str">
        <f>HYPERLINK("http://141.218.60.56/~jnz1568/getInfo.php?workbook=06_02.xlsx&amp;sheet=A0&amp;row=521&amp;col=14&amp;number=0.0009252&amp;sourceID=30","0.0009252")</f>
        <v>0.0009252</v>
      </c>
      <c r="O521" s="4" t="str">
        <f>HYPERLINK("http://141.218.60.56/~jnz1568/getInfo.php?workbook=06_02.xlsx&amp;sheet=A0&amp;row=521&amp;col=15&amp;number=58700&amp;sourceID=32","58700")</f>
        <v>58700</v>
      </c>
      <c r="P521" s="4" t="str">
        <f>HYPERLINK("http://141.218.60.56/~jnz1568/getInfo.php?workbook=06_02.xlsx&amp;sheet=A0&amp;row=521&amp;col=16&amp;number=&amp;sourceID=32","")</f>
        <v/>
      </c>
      <c r="Q521" s="4" t="str">
        <f>HYPERLINK("http://141.218.60.56/~jnz1568/getInfo.php?workbook=06_02.xlsx&amp;sheet=A0&amp;row=521&amp;col=17&amp;number=&amp;sourceID=32","")</f>
        <v/>
      </c>
      <c r="R521" s="4" t="str">
        <f>HYPERLINK("http://141.218.60.56/~jnz1568/getInfo.php?workbook=06_02.xlsx&amp;sheet=A0&amp;row=521&amp;col=18&amp;number=0.0009449&amp;sourceID=32","0.0009449")</f>
        <v>0.0009449</v>
      </c>
    </row>
    <row r="522" spans="1:18">
      <c r="A522" s="3">
        <v>6</v>
      </c>
      <c r="B522" s="3">
        <v>2</v>
      </c>
      <c r="C522" s="3">
        <v>36</v>
      </c>
      <c r="D522" s="3">
        <v>31</v>
      </c>
      <c r="E522" s="3">
        <f>((1/(INDEX(E0!J$4:J$52,C522,1)-INDEX(E0!J$4:J$52,D522,1))))*100000000</f>
        <v>0</v>
      </c>
      <c r="F522" s="4" t="str">
        <f>HYPERLINK("http://141.218.60.56/~jnz1568/getInfo.php?workbook=06_02.xlsx&amp;sheet=A0&amp;row=522&amp;col=6&amp;number=&amp;sourceID=27","")</f>
        <v/>
      </c>
      <c r="G522" s="4" t="str">
        <f>HYPERLINK("http://141.218.60.56/~jnz1568/getInfo.php?workbook=06_02.xlsx&amp;sheet=A0&amp;row=522&amp;col=7&amp;number=&amp;sourceID=34","")</f>
        <v/>
      </c>
      <c r="H522" s="4" t="str">
        <f>HYPERLINK("http://141.218.60.56/~jnz1568/getInfo.php?workbook=06_02.xlsx&amp;sheet=A0&amp;row=522&amp;col=8&amp;number=&amp;sourceID=34","")</f>
        <v/>
      </c>
      <c r="I522" s="4" t="str">
        <f>HYPERLINK("http://141.218.60.56/~jnz1568/getInfo.php?workbook=06_02.xlsx&amp;sheet=A0&amp;row=522&amp;col=9&amp;number=&amp;sourceID=34","")</f>
        <v/>
      </c>
      <c r="J522" s="4" t="str">
        <f>HYPERLINK("http://141.218.60.56/~jnz1568/getInfo.php?workbook=06_02.xlsx&amp;sheet=A0&amp;row=522&amp;col=10&amp;number=&amp;sourceID=34","")</f>
        <v/>
      </c>
      <c r="K522" s="4" t="str">
        <f>HYPERLINK("http://141.218.60.56/~jnz1568/getInfo.php?workbook=06_02.xlsx&amp;sheet=A0&amp;row=522&amp;col=11&amp;number=&amp;sourceID=30","")</f>
        <v/>
      </c>
      <c r="L522" s="4" t="str">
        <f>HYPERLINK("http://141.218.60.56/~jnz1568/getInfo.php?workbook=06_02.xlsx&amp;sheet=A0&amp;row=522&amp;col=12&amp;number=0.08762&amp;sourceID=30","0.08762")</f>
        <v>0.08762</v>
      </c>
      <c r="M522" s="4" t="str">
        <f>HYPERLINK("http://141.218.60.56/~jnz1568/getInfo.php?workbook=06_02.xlsx&amp;sheet=A0&amp;row=522&amp;col=13&amp;number=6.337e-05&amp;sourceID=30","6.337e-05")</f>
        <v>6.337e-05</v>
      </c>
      <c r="N522" s="4" t="str">
        <f>HYPERLINK("http://141.218.60.56/~jnz1568/getInfo.php?workbook=06_02.xlsx&amp;sheet=A0&amp;row=522&amp;col=14&amp;number=&amp;sourceID=30","")</f>
        <v/>
      </c>
      <c r="O522" s="4" t="str">
        <f>HYPERLINK("http://141.218.60.56/~jnz1568/getInfo.php?workbook=06_02.xlsx&amp;sheet=A0&amp;row=522&amp;col=15&amp;number=&amp;sourceID=32","")</f>
        <v/>
      </c>
      <c r="P522" s="4" t="str">
        <f>HYPERLINK("http://141.218.60.56/~jnz1568/getInfo.php?workbook=06_02.xlsx&amp;sheet=A0&amp;row=522&amp;col=16&amp;number=0.09971&amp;sourceID=32","0.09971")</f>
        <v>0.09971</v>
      </c>
      <c r="Q522" s="4" t="str">
        <f>HYPERLINK("http://141.218.60.56/~jnz1568/getInfo.php?workbook=06_02.xlsx&amp;sheet=A0&amp;row=522&amp;col=17&amp;number=6.956e-05&amp;sourceID=32","6.956e-05")</f>
        <v>6.956e-05</v>
      </c>
      <c r="R522" s="4" t="str">
        <f>HYPERLINK("http://141.218.60.56/~jnz1568/getInfo.php?workbook=06_02.xlsx&amp;sheet=A0&amp;row=522&amp;col=18&amp;number=&amp;sourceID=32","")</f>
        <v/>
      </c>
    </row>
    <row r="523" spans="1:18">
      <c r="A523" s="3">
        <v>6</v>
      </c>
      <c r="B523" s="3">
        <v>2</v>
      </c>
      <c r="C523" s="3">
        <v>36</v>
      </c>
      <c r="D523" s="3">
        <v>32</v>
      </c>
      <c r="E523" s="3">
        <f>((1/(INDEX(E0!J$4:J$52,C523,1)-INDEX(E0!J$4:J$52,D523,1))))*100000000</f>
        <v>0</v>
      </c>
      <c r="F523" s="4" t="str">
        <f>HYPERLINK("http://141.218.60.56/~jnz1568/getInfo.php?workbook=06_02.xlsx&amp;sheet=A0&amp;row=523&amp;col=6&amp;number=&amp;sourceID=27","")</f>
        <v/>
      </c>
      <c r="G523" s="4" t="str">
        <f>HYPERLINK("http://141.218.60.56/~jnz1568/getInfo.php?workbook=06_02.xlsx&amp;sheet=A0&amp;row=523&amp;col=7&amp;number=&amp;sourceID=34","")</f>
        <v/>
      </c>
      <c r="H523" s="4" t="str">
        <f>HYPERLINK("http://141.218.60.56/~jnz1568/getInfo.php?workbook=06_02.xlsx&amp;sheet=A0&amp;row=523&amp;col=8&amp;number=&amp;sourceID=34","")</f>
        <v/>
      </c>
      <c r="I523" s="4" t="str">
        <f>HYPERLINK("http://141.218.60.56/~jnz1568/getInfo.php?workbook=06_02.xlsx&amp;sheet=A0&amp;row=523&amp;col=9&amp;number=&amp;sourceID=34","")</f>
        <v/>
      </c>
      <c r="J523" s="4" t="str">
        <f>HYPERLINK("http://141.218.60.56/~jnz1568/getInfo.php?workbook=06_02.xlsx&amp;sheet=A0&amp;row=523&amp;col=10&amp;number=&amp;sourceID=34","")</f>
        <v/>
      </c>
      <c r="K523" s="4" t="str">
        <f>HYPERLINK("http://141.218.60.56/~jnz1568/getInfo.php?workbook=06_02.xlsx&amp;sheet=A0&amp;row=523&amp;col=11&amp;number=534300&amp;sourceID=30","534300")</f>
        <v>534300</v>
      </c>
      <c r="L523" s="4" t="str">
        <f>HYPERLINK("http://141.218.60.56/~jnz1568/getInfo.php?workbook=06_02.xlsx&amp;sheet=A0&amp;row=523&amp;col=12&amp;number=&amp;sourceID=30","")</f>
        <v/>
      </c>
      <c r="M523" s="4" t="str">
        <f>HYPERLINK("http://141.218.60.56/~jnz1568/getInfo.php?workbook=06_02.xlsx&amp;sheet=A0&amp;row=523&amp;col=13&amp;number=&amp;sourceID=30","")</f>
        <v/>
      </c>
      <c r="N523" s="4" t="str">
        <f>HYPERLINK("http://141.218.60.56/~jnz1568/getInfo.php?workbook=06_02.xlsx&amp;sheet=A0&amp;row=523&amp;col=14&amp;number=2.142e-08&amp;sourceID=30","2.142e-08")</f>
        <v>2.142e-08</v>
      </c>
      <c r="O523" s="4" t="str">
        <f>HYPERLINK("http://141.218.60.56/~jnz1568/getInfo.php?workbook=06_02.xlsx&amp;sheet=A0&amp;row=523&amp;col=15&amp;number=512300&amp;sourceID=32","512300")</f>
        <v>512300</v>
      </c>
      <c r="P523" s="4" t="str">
        <f>HYPERLINK("http://141.218.60.56/~jnz1568/getInfo.php?workbook=06_02.xlsx&amp;sheet=A0&amp;row=523&amp;col=16&amp;number=&amp;sourceID=32","")</f>
        <v/>
      </c>
      <c r="Q523" s="4" t="str">
        <f>HYPERLINK("http://141.218.60.56/~jnz1568/getInfo.php?workbook=06_02.xlsx&amp;sheet=A0&amp;row=523&amp;col=17&amp;number=&amp;sourceID=32","")</f>
        <v/>
      </c>
      <c r="R523" s="4" t="str">
        <f>HYPERLINK("http://141.218.60.56/~jnz1568/getInfo.php?workbook=06_02.xlsx&amp;sheet=A0&amp;row=523&amp;col=18&amp;number=2.02e-08&amp;sourceID=32","2.02e-08")</f>
        <v>2.02e-08</v>
      </c>
    </row>
    <row r="524" spans="1:18">
      <c r="A524" s="3">
        <v>6</v>
      </c>
      <c r="B524" s="3">
        <v>2</v>
      </c>
      <c r="C524" s="3">
        <v>36</v>
      </c>
      <c r="D524" s="3">
        <v>34</v>
      </c>
      <c r="E524" s="3">
        <f>((1/(INDEX(E0!J$4:J$52,C524,1)-INDEX(E0!J$4:J$52,D524,1))))*100000000</f>
        <v>0</v>
      </c>
      <c r="F524" s="4" t="str">
        <f>HYPERLINK("http://141.218.60.56/~jnz1568/getInfo.php?workbook=06_02.xlsx&amp;sheet=A0&amp;row=524&amp;col=6&amp;number=&amp;sourceID=27","")</f>
        <v/>
      </c>
      <c r="G524" s="4" t="str">
        <f>HYPERLINK("http://141.218.60.56/~jnz1568/getInfo.php?workbook=06_02.xlsx&amp;sheet=A0&amp;row=524&amp;col=7&amp;number=&amp;sourceID=34","")</f>
        <v/>
      </c>
      <c r="H524" s="4" t="str">
        <f>HYPERLINK("http://141.218.60.56/~jnz1568/getInfo.php?workbook=06_02.xlsx&amp;sheet=A0&amp;row=524&amp;col=8&amp;number=&amp;sourceID=34","")</f>
        <v/>
      </c>
      <c r="I524" s="4" t="str">
        <f>HYPERLINK("http://141.218.60.56/~jnz1568/getInfo.php?workbook=06_02.xlsx&amp;sheet=A0&amp;row=524&amp;col=9&amp;number=&amp;sourceID=34","")</f>
        <v/>
      </c>
      <c r="J524" s="4" t="str">
        <f>HYPERLINK("http://141.218.60.56/~jnz1568/getInfo.php?workbook=06_02.xlsx&amp;sheet=A0&amp;row=524&amp;col=10&amp;number=&amp;sourceID=34","")</f>
        <v/>
      </c>
      <c r="K524" s="4" t="str">
        <f>HYPERLINK("http://141.218.60.56/~jnz1568/getInfo.php?workbook=06_02.xlsx&amp;sheet=A0&amp;row=524&amp;col=11&amp;number=&amp;sourceID=30","")</f>
        <v/>
      </c>
      <c r="L524" s="4" t="str">
        <f>HYPERLINK("http://141.218.60.56/~jnz1568/getInfo.php?workbook=06_02.xlsx&amp;sheet=A0&amp;row=524&amp;col=12&amp;number=2e-15&amp;sourceID=30","2e-15")</f>
        <v>2e-15</v>
      </c>
      <c r="M524" s="4" t="str">
        <f>HYPERLINK("http://141.218.60.56/~jnz1568/getInfo.php?workbook=06_02.xlsx&amp;sheet=A0&amp;row=524&amp;col=13&amp;number=&amp;sourceID=30","")</f>
        <v/>
      </c>
      <c r="N524" s="4" t="str">
        <f>HYPERLINK("http://141.218.60.56/~jnz1568/getInfo.php?workbook=06_02.xlsx&amp;sheet=A0&amp;row=524&amp;col=14&amp;number=&amp;sourceID=30","")</f>
        <v/>
      </c>
      <c r="O524" s="4" t="str">
        <f>HYPERLINK("http://141.218.60.56/~jnz1568/getInfo.php?workbook=06_02.xlsx&amp;sheet=A0&amp;row=524&amp;col=15&amp;number=&amp;sourceID=32","")</f>
        <v/>
      </c>
      <c r="P524" s="4" t="str">
        <f>HYPERLINK("http://141.218.60.56/~jnz1568/getInfo.php?workbook=06_02.xlsx&amp;sheet=A0&amp;row=524&amp;col=16&amp;number=&amp;sourceID=32","")</f>
        <v/>
      </c>
      <c r="Q524" s="4" t="str">
        <f>HYPERLINK("http://141.218.60.56/~jnz1568/getInfo.php?workbook=06_02.xlsx&amp;sheet=A0&amp;row=524&amp;col=17&amp;number=&amp;sourceID=32","")</f>
        <v/>
      </c>
      <c r="R524" s="4" t="str">
        <f>HYPERLINK("http://141.218.60.56/~jnz1568/getInfo.php?workbook=06_02.xlsx&amp;sheet=A0&amp;row=524&amp;col=18&amp;number=&amp;sourceID=32","")</f>
        <v/>
      </c>
    </row>
    <row r="525" spans="1:18">
      <c r="A525" s="3">
        <v>6</v>
      </c>
      <c r="B525" s="3">
        <v>2</v>
      </c>
      <c r="C525" s="3">
        <v>36</v>
      </c>
      <c r="D525" s="3">
        <v>35</v>
      </c>
      <c r="E525" s="3">
        <f>((1/(INDEX(E0!J$4:J$52,C525,1)-INDEX(E0!J$4:J$52,D525,1))))*100000000</f>
        <v>0</v>
      </c>
      <c r="F525" s="4" t="str">
        <f>HYPERLINK("http://141.218.60.56/~jnz1568/getInfo.php?workbook=06_02.xlsx&amp;sheet=A0&amp;row=525&amp;col=6&amp;number=&amp;sourceID=27","")</f>
        <v/>
      </c>
      <c r="G525" s="4" t="str">
        <f>HYPERLINK("http://141.218.60.56/~jnz1568/getInfo.php?workbook=06_02.xlsx&amp;sheet=A0&amp;row=525&amp;col=7&amp;number=&amp;sourceID=34","")</f>
        <v/>
      </c>
      <c r="H525" s="4" t="str">
        <f>HYPERLINK("http://141.218.60.56/~jnz1568/getInfo.php?workbook=06_02.xlsx&amp;sheet=A0&amp;row=525&amp;col=8&amp;number=&amp;sourceID=34","")</f>
        <v/>
      </c>
      <c r="I525" s="4" t="str">
        <f>HYPERLINK("http://141.218.60.56/~jnz1568/getInfo.php?workbook=06_02.xlsx&amp;sheet=A0&amp;row=525&amp;col=9&amp;number=&amp;sourceID=34","")</f>
        <v/>
      </c>
      <c r="J525" s="4" t="str">
        <f>HYPERLINK("http://141.218.60.56/~jnz1568/getInfo.php?workbook=06_02.xlsx&amp;sheet=A0&amp;row=525&amp;col=10&amp;number=&amp;sourceID=34","")</f>
        <v/>
      </c>
      <c r="K525" s="4" t="str">
        <f>HYPERLINK("http://141.218.60.56/~jnz1568/getInfo.php?workbook=06_02.xlsx&amp;sheet=A0&amp;row=525&amp;col=11&amp;number=&amp;sourceID=30","")</f>
        <v/>
      </c>
      <c r="L525" s="4" t="str">
        <f>HYPERLINK("http://141.218.60.56/~jnz1568/getInfo.php?workbook=06_02.xlsx&amp;sheet=A0&amp;row=525&amp;col=12&amp;number=3e-15&amp;sourceID=30","3e-15")</f>
        <v>3e-15</v>
      </c>
      <c r="M525" s="4" t="str">
        <f>HYPERLINK("http://141.218.60.56/~jnz1568/getInfo.php?workbook=06_02.xlsx&amp;sheet=A0&amp;row=525&amp;col=13&amp;number=8.651e-09&amp;sourceID=30","8.651e-09")</f>
        <v>8.651e-09</v>
      </c>
      <c r="N525" s="4" t="str">
        <f>HYPERLINK("http://141.218.60.56/~jnz1568/getInfo.php?workbook=06_02.xlsx&amp;sheet=A0&amp;row=525&amp;col=14&amp;number=&amp;sourceID=30","")</f>
        <v/>
      </c>
      <c r="O525" s="4" t="str">
        <f>HYPERLINK("http://141.218.60.56/~jnz1568/getInfo.php?workbook=06_02.xlsx&amp;sheet=A0&amp;row=525&amp;col=15&amp;number=&amp;sourceID=32","")</f>
        <v/>
      </c>
      <c r="P525" s="4" t="str">
        <f>HYPERLINK("http://141.218.60.56/~jnz1568/getInfo.php?workbook=06_02.xlsx&amp;sheet=A0&amp;row=525&amp;col=16&amp;number=&amp;sourceID=32","")</f>
        <v/>
      </c>
      <c r="Q525" s="4" t="str">
        <f>HYPERLINK("http://141.218.60.56/~jnz1568/getInfo.php?workbook=06_02.xlsx&amp;sheet=A0&amp;row=525&amp;col=17&amp;number=&amp;sourceID=32","")</f>
        <v/>
      </c>
      <c r="R525" s="4" t="str">
        <f>HYPERLINK("http://141.218.60.56/~jnz1568/getInfo.php?workbook=06_02.xlsx&amp;sheet=A0&amp;row=525&amp;col=18&amp;number=&amp;sourceID=32","")</f>
        <v/>
      </c>
    </row>
    <row r="526" spans="1:18">
      <c r="A526" s="3">
        <v>6</v>
      </c>
      <c r="B526" s="3">
        <v>2</v>
      </c>
      <c r="C526" s="3">
        <v>37</v>
      </c>
      <c r="D526" s="3">
        <v>1</v>
      </c>
      <c r="E526" s="3">
        <f>((1/(INDEX(E0!J$4:J$52,C526,1)-INDEX(E0!J$4:J$52,D526,1))))*100000000</f>
        <v>0</v>
      </c>
      <c r="F526" s="4" t="str">
        <f>HYPERLINK("http://141.218.60.56/~jnz1568/getInfo.php?workbook=06_02.xlsx&amp;sheet=A0&amp;row=526&amp;col=6&amp;number=&amp;sourceID=27","")</f>
        <v/>
      </c>
      <c r="G526" s="4" t="str">
        <f>HYPERLINK("http://141.218.60.56/~jnz1568/getInfo.php?workbook=06_02.xlsx&amp;sheet=A0&amp;row=526&amp;col=7&amp;number=&amp;sourceID=34","")</f>
        <v/>
      </c>
      <c r="H526" s="4" t="str">
        <f>HYPERLINK("http://141.218.60.56/~jnz1568/getInfo.php?workbook=06_02.xlsx&amp;sheet=A0&amp;row=526&amp;col=8&amp;number=&amp;sourceID=34","")</f>
        <v/>
      </c>
      <c r="I526" s="4" t="str">
        <f>HYPERLINK("http://141.218.60.56/~jnz1568/getInfo.php?workbook=06_02.xlsx&amp;sheet=A0&amp;row=526&amp;col=9&amp;number=&amp;sourceID=34","")</f>
        <v/>
      </c>
      <c r="J526" s="4" t="str">
        <f>HYPERLINK("http://141.218.60.56/~jnz1568/getInfo.php?workbook=06_02.xlsx&amp;sheet=A0&amp;row=526&amp;col=10&amp;number=&amp;sourceID=34","")</f>
        <v/>
      </c>
      <c r="K526" s="4" t="str">
        <f>HYPERLINK("http://141.218.60.56/~jnz1568/getInfo.php?workbook=06_02.xlsx&amp;sheet=A0&amp;row=526&amp;col=11&amp;number=&amp;sourceID=30","")</f>
        <v/>
      </c>
      <c r="L526" s="4" t="str">
        <f>HYPERLINK("http://141.218.60.56/~jnz1568/getInfo.php?workbook=06_02.xlsx&amp;sheet=A0&amp;row=526&amp;col=12&amp;number=&amp;sourceID=30","")</f>
        <v/>
      </c>
      <c r="M526" s="4" t="str">
        <f>HYPERLINK("http://141.218.60.56/~jnz1568/getInfo.php?workbook=06_02.xlsx&amp;sheet=A0&amp;row=526&amp;col=13&amp;number=11.54&amp;sourceID=30","11.54")</f>
        <v>11.54</v>
      </c>
      <c r="N526" s="4" t="str">
        <f>HYPERLINK("http://141.218.60.56/~jnz1568/getInfo.php?workbook=06_02.xlsx&amp;sheet=A0&amp;row=526&amp;col=14&amp;number=&amp;sourceID=30","")</f>
        <v/>
      </c>
      <c r="O526" s="4" t="str">
        <f>HYPERLINK("http://141.218.60.56/~jnz1568/getInfo.php?workbook=06_02.xlsx&amp;sheet=A0&amp;row=526&amp;col=15&amp;number=&amp;sourceID=32","")</f>
        <v/>
      </c>
      <c r="P526" s="4" t="str">
        <f>HYPERLINK("http://141.218.60.56/~jnz1568/getInfo.php?workbook=06_02.xlsx&amp;sheet=A0&amp;row=526&amp;col=16&amp;number=&amp;sourceID=32","")</f>
        <v/>
      </c>
      <c r="Q526" s="4" t="str">
        <f>HYPERLINK("http://141.218.60.56/~jnz1568/getInfo.php?workbook=06_02.xlsx&amp;sheet=A0&amp;row=526&amp;col=17&amp;number=0.06604&amp;sourceID=32","0.06604")</f>
        <v>0.06604</v>
      </c>
      <c r="R526" s="4" t="str">
        <f>HYPERLINK("http://141.218.60.56/~jnz1568/getInfo.php?workbook=06_02.xlsx&amp;sheet=A0&amp;row=526&amp;col=18&amp;number=&amp;sourceID=32","")</f>
        <v/>
      </c>
    </row>
    <row r="527" spans="1:18">
      <c r="A527" s="3">
        <v>6</v>
      </c>
      <c r="B527" s="3">
        <v>2</v>
      </c>
      <c r="C527" s="3">
        <v>37</v>
      </c>
      <c r="D527" s="3">
        <v>2</v>
      </c>
      <c r="E527" s="3">
        <f>((1/(INDEX(E0!J$4:J$52,C527,1)-INDEX(E0!J$4:J$52,D527,1))))*100000000</f>
        <v>0</v>
      </c>
      <c r="F527" s="4" t="str">
        <f>HYPERLINK("http://141.218.60.56/~jnz1568/getInfo.php?workbook=06_02.xlsx&amp;sheet=A0&amp;row=527&amp;col=6&amp;number=&amp;sourceID=27","")</f>
        <v/>
      </c>
      <c r="G527" s="4" t="str">
        <f>HYPERLINK("http://141.218.60.56/~jnz1568/getInfo.php?workbook=06_02.xlsx&amp;sheet=A0&amp;row=527&amp;col=7&amp;number=&amp;sourceID=34","")</f>
        <v/>
      </c>
      <c r="H527" s="4" t="str">
        <f>HYPERLINK("http://141.218.60.56/~jnz1568/getInfo.php?workbook=06_02.xlsx&amp;sheet=A0&amp;row=527&amp;col=8&amp;number=&amp;sourceID=34","")</f>
        <v/>
      </c>
      <c r="I527" s="4" t="str">
        <f>HYPERLINK("http://141.218.60.56/~jnz1568/getInfo.php?workbook=06_02.xlsx&amp;sheet=A0&amp;row=527&amp;col=9&amp;number=&amp;sourceID=34","")</f>
        <v/>
      </c>
      <c r="J527" s="4" t="str">
        <f>HYPERLINK("http://141.218.60.56/~jnz1568/getInfo.php?workbook=06_02.xlsx&amp;sheet=A0&amp;row=527&amp;col=10&amp;number=&amp;sourceID=34","")</f>
        <v/>
      </c>
      <c r="K527" s="4" t="str">
        <f>HYPERLINK("http://141.218.60.56/~jnz1568/getInfo.php?workbook=06_02.xlsx&amp;sheet=A0&amp;row=527&amp;col=11&amp;number=&amp;sourceID=30","")</f>
        <v/>
      </c>
      <c r="L527" s="4" t="str">
        <f>HYPERLINK("http://141.218.60.56/~jnz1568/getInfo.php?workbook=06_02.xlsx&amp;sheet=A0&amp;row=527&amp;col=12&amp;number=13140&amp;sourceID=30","13140")</f>
        <v>13140</v>
      </c>
      <c r="M527" s="4" t="str">
        <f>HYPERLINK("http://141.218.60.56/~jnz1568/getInfo.php?workbook=06_02.xlsx&amp;sheet=A0&amp;row=527&amp;col=13&amp;number=0.001561&amp;sourceID=30","0.001561")</f>
        <v>0.001561</v>
      </c>
      <c r="N527" s="4" t="str">
        <f>HYPERLINK("http://141.218.60.56/~jnz1568/getInfo.php?workbook=06_02.xlsx&amp;sheet=A0&amp;row=527&amp;col=14&amp;number=&amp;sourceID=30","")</f>
        <v/>
      </c>
      <c r="O527" s="4" t="str">
        <f>HYPERLINK("http://141.218.60.56/~jnz1568/getInfo.php?workbook=06_02.xlsx&amp;sheet=A0&amp;row=527&amp;col=15&amp;number=&amp;sourceID=32","")</f>
        <v/>
      </c>
      <c r="P527" s="4" t="str">
        <f>HYPERLINK("http://141.218.60.56/~jnz1568/getInfo.php?workbook=06_02.xlsx&amp;sheet=A0&amp;row=527&amp;col=16&amp;number=66290&amp;sourceID=32","66290")</f>
        <v>66290</v>
      </c>
      <c r="Q527" s="4" t="str">
        <f>HYPERLINK("http://141.218.60.56/~jnz1568/getInfo.php?workbook=06_02.xlsx&amp;sheet=A0&amp;row=527&amp;col=17&amp;number=0.001651&amp;sourceID=32","0.001651")</f>
        <v>0.001651</v>
      </c>
      <c r="R527" s="4" t="str">
        <f>HYPERLINK("http://141.218.60.56/~jnz1568/getInfo.php?workbook=06_02.xlsx&amp;sheet=A0&amp;row=527&amp;col=18&amp;number=&amp;sourceID=32","")</f>
        <v/>
      </c>
    </row>
    <row r="528" spans="1:18">
      <c r="A528" s="3">
        <v>6</v>
      </c>
      <c r="B528" s="3">
        <v>2</v>
      </c>
      <c r="C528" s="3">
        <v>37</v>
      </c>
      <c r="D528" s="3">
        <v>3</v>
      </c>
      <c r="E528" s="3">
        <f>((1/(INDEX(E0!J$4:J$52,C528,1)-INDEX(E0!J$4:J$52,D528,1))))*100000000</f>
        <v>0</v>
      </c>
      <c r="F528" s="4" t="str">
        <f>HYPERLINK("http://141.218.60.56/~jnz1568/getInfo.php?workbook=06_02.xlsx&amp;sheet=A0&amp;row=528&amp;col=6&amp;number=&amp;sourceID=27","")</f>
        <v/>
      </c>
      <c r="G528" s="4" t="str">
        <f>HYPERLINK("http://141.218.60.56/~jnz1568/getInfo.php?workbook=06_02.xlsx&amp;sheet=A0&amp;row=528&amp;col=7&amp;number=&amp;sourceID=34","")</f>
        <v/>
      </c>
      <c r="H528" s="4" t="str">
        <f>HYPERLINK("http://141.218.60.56/~jnz1568/getInfo.php?workbook=06_02.xlsx&amp;sheet=A0&amp;row=528&amp;col=8&amp;number=&amp;sourceID=34","")</f>
        <v/>
      </c>
      <c r="I528" s="4" t="str">
        <f>HYPERLINK("http://141.218.60.56/~jnz1568/getInfo.php?workbook=06_02.xlsx&amp;sheet=A0&amp;row=528&amp;col=9&amp;number=&amp;sourceID=34","")</f>
        <v/>
      </c>
      <c r="J528" s="4" t="str">
        <f>HYPERLINK("http://141.218.60.56/~jnz1568/getInfo.php?workbook=06_02.xlsx&amp;sheet=A0&amp;row=528&amp;col=10&amp;number=&amp;sourceID=34","")</f>
        <v/>
      </c>
      <c r="K528" s="4" t="str">
        <f>HYPERLINK("http://141.218.60.56/~jnz1568/getInfo.php?workbook=06_02.xlsx&amp;sheet=A0&amp;row=528&amp;col=11&amp;number=&amp;sourceID=30","")</f>
        <v/>
      </c>
      <c r="L528" s="4" t="str">
        <f>HYPERLINK("http://141.218.60.56/~jnz1568/getInfo.php?workbook=06_02.xlsx&amp;sheet=A0&amp;row=528&amp;col=12&amp;number=&amp;sourceID=30","")</f>
        <v/>
      </c>
      <c r="M528" s="4" t="str">
        <f>HYPERLINK("http://141.218.60.56/~jnz1568/getInfo.php?workbook=06_02.xlsx&amp;sheet=A0&amp;row=528&amp;col=13&amp;number=6.025e-07&amp;sourceID=30","6.025e-07")</f>
        <v>6.025e-07</v>
      </c>
      <c r="N528" s="4" t="str">
        <f>HYPERLINK("http://141.218.60.56/~jnz1568/getInfo.php?workbook=06_02.xlsx&amp;sheet=A0&amp;row=528&amp;col=14&amp;number=&amp;sourceID=30","")</f>
        <v/>
      </c>
      <c r="O528" s="4" t="str">
        <f>HYPERLINK("http://141.218.60.56/~jnz1568/getInfo.php?workbook=06_02.xlsx&amp;sheet=A0&amp;row=528&amp;col=15&amp;number=&amp;sourceID=32","")</f>
        <v/>
      </c>
      <c r="P528" s="4" t="str">
        <f>HYPERLINK("http://141.218.60.56/~jnz1568/getInfo.php?workbook=06_02.xlsx&amp;sheet=A0&amp;row=528&amp;col=16&amp;number=&amp;sourceID=32","")</f>
        <v/>
      </c>
      <c r="Q528" s="4" t="str">
        <f>HYPERLINK("http://141.218.60.56/~jnz1568/getInfo.php?workbook=06_02.xlsx&amp;sheet=A0&amp;row=528&amp;col=17&amp;number=0.000494&amp;sourceID=32","0.000494")</f>
        <v>0.000494</v>
      </c>
      <c r="R528" s="4" t="str">
        <f>HYPERLINK("http://141.218.60.56/~jnz1568/getInfo.php?workbook=06_02.xlsx&amp;sheet=A0&amp;row=528&amp;col=18&amp;number=&amp;sourceID=32","")</f>
        <v/>
      </c>
    </row>
    <row r="529" spans="1:18">
      <c r="A529" s="3">
        <v>6</v>
      </c>
      <c r="B529" s="3">
        <v>2</v>
      </c>
      <c r="C529" s="3">
        <v>37</v>
      </c>
      <c r="D529" s="3">
        <v>4</v>
      </c>
      <c r="E529" s="3">
        <f>((1/(INDEX(E0!J$4:J$52,C529,1)-INDEX(E0!J$4:J$52,D529,1))))*100000000</f>
        <v>0</v>
      </c>
      <c r="F529" s="4" t="str">
        <f>HYPERLINK("http://141.218.60.56/~jnz1568/getInfo.php?workbook=06_02.xlsx&amp;sheet=A0&amp;row=529&amp;col=6&amp;number=&amp;sourceID=27","")</f>
        <v/>
      </c>
      <c r="G529" s="4" t="str">
        <f>HYPERLINK("http://141.218.60.56/~jnz1568/getInfo.php?workbook=06_02.xlsx&amp;sheet=A0&amp;row=529&amp;col=7&amp;number=2734000000&amp;sourceID=34","2734000000")</f>
        <v>2734000000</v>
      </c>
      <c r="H529" s="4" t="str">
        <f>HYPERLINK("http://141.218.60.56/~jnz1568/getInfo.php?workbook=06_02.xlsx&amp;sheet=A0&amp;row=529&amp;col=8&amp;number=&amp;sourceID=34","")</f>
        <v/>
      </c>
      <c r="I529" s="4" t="str">
        <f>HYPERLINK("http://141.218.60.56/~jnz1568/getInfo.php?workbook=06_02.xlsx&amp;sheet=A0&amp;row=529&amp;col=9&amp;number=&amp;sourceID=34","")</f>
        <v/>
      </c>
      <c r="J529" s="4" t="str">
        <f>HYPERLINK("http://141.218.60.56/~jnz1568/getInfo.php?workbook=06_02.xlsx&amp;sheet=A0&amp;row=529&amp;col=10&amp;number=&amp;sourceID=34","")</f>
        <v/>
      </c>
      <c r="K529" s="4" t="str">
        <f>HYPERLINK("http://141.218.60.56/~jnz1568/getInfo.php?workbook=06_02.xlsx&amp;sheet=A0&amp;row=529&amp;col=11&amp;number=2582000000&amp;sourceID=30","2582000000")</f>
        <v>2582000000</v>
      </c>
      <c r="L529" s="4" t="str">
        <f>HYPERLINK("http://141.218.60.56/~jnz1568/getInfo.php?workbook=06_02.xlsx&amp;sheet=A0&amp;row=529&amp;col=12&amp;number=&amp;sourceID=30","")</f>
        <v/>
      </c>
      <c r="M529" s="4" t="str">
        <f>HYPERLINK("http://141.218.60.56/~jnz1568/getInfo.php?workbook=06_02.xlsx&amp;sheet=A0&amp;row=529&amp;col=13&amp;number=&amp;sourceID=30","")</f>
        <v/>
      </c>
      <c r="N529" s="4" t="str">
        <f>HYPERLINK("http://141.218.60.56/~jnz1568/getInfo.php?workbook=06_02.xlsx&amp;sheet=A0&amp;row=529&amp;col=14&amp;number=0.5441&amp;sourceID=30","0.5441")</f>
        <v>0.5441</v>
      </c>
      <c r="O529" s="4" t="str">
        <f>HYPERLINK("http://141.218.60.56/~jnz1568/getInfo.php?workbook=06_02.xlsx&amp;sheet=A0&amp;row=529&amp;col=15&amp;number=2733000000&amp;sourceID=32","2733000000")</f>
        <v>2733000000</v>
      </c>
      <c r="P529" s="4" t="str">
        <f>HYPERLINK("http://141.218.60.56/~jnz1568/getInfo.php?workbook=06_02.xlsx&amp;sheet=A0&amp;row=529&amp;col=16&amp;number=&amp;sourceID=32","")</f>
        <v/>
      </c>
      <c r="Q529" s="4" t="str">
        <f>HYPERLINK("http://141.218.60.56/~jnz1568/getInfo.php?workbook=06_02.xlsx&amp;sheet=A0&amp;row=529&amp;col=17&amp;number=&amp;sourceID=32","")</f>
        <v/>
      </c>
      <c r="R529" s="4" t="str">
        <f>HYPERLINK("http://141.218.60.56/~jnz1568/getInfo.php?workbook=06_02.xlsx&amp;sheet=A0&amp;row=529&amp;col=18&amp;number=0.5877&amp;sourceID=32","0.5877")</f>
        <v>0.5877</v>
      </c>
    </row>
    <row r="530" spans="1:18">
      <c r="A530" s="3">
        <v>6</v>
      </c>
      <c r="B530" s="3">
        <v>2</v>
      </c>
      <c r="C530" s="3">
        <v>37</v>
      </c>
      <c r="D530" s="3">
        <v>5</v>
      </c>
      <c r="E530" s="3">
        <f>((1/(INDEX(E0!J$4:J$52,C530,1)-INDEX(E0!J$4:J$52,D530,1))))*100000000</f>
        <v>0</v>
      </c>
      <c r="F530" s="4" t="str">
        <f>HYPERLINK("http://141.218.60.56/~jnz1568/getInfo.php?workbook=06_02.xlsx&amp;sheet=A0&amp;row=530&amp;col=6&amp;number=&amp;sourceID=27","")</f>
        <v/>
      </c>
      <c r="G530" s="4" t="str">
        <f>HYPERLINK("http://141.218.60.56/~jnz1568/getInfo.php?workbook=06_02.xlsx&amp;sheet=A0&amp;row=530&amp;col=7&amp;number=3647000000&amp;sourceID=34","3647000000")</f>
        <v>3647000000</v>
      </c>
      <c r="H530" s="4" t="str">
        <f>HYPERLINK("http://141.218.60.56/~jnz1568/getInfo.php?workbook=06_02.xlsx&amp;sheet=A0&amp;row=530&amp;col=8&amp;number=&amp;sourceID=34","")</f>
        <v/>
      </c>
      <c r="I530" s="4" t="str">
        <f>HYPERLINK("http://141.218.60.56/~jnz1568/getInfo.php?workbook=06_02.xlsx&amp;sheet=A0&amp;row=530&amp;col=9&amp;number=&amp;sourceID=34","")</f>
        <v/>
      </c>
      <c r="J530" s="4" t="str">
        <f>HYPERLINK("http://141.218.60.56/~jnz1568/getInfo.php?workbook=06_02.xlsx&amp;sheet=A0&amp;row=530&amp;col=10&amp;number=&amp;sourceID=34","")</f>
        <v/>
      </c>
      <c r="K530" s="4" t="str">
        <f>HYPERLINK("http://141.218.60.56/~jnz1568/getInfo.php?workbook=06_02.xlsx&amp;sheet=A0&amp;row=530&amp;col=11&amp;number=3444000000&amp;sourceID=30","3444000000")</f>
        <v>3444000000</v>
      </c>
      <c r="L530" s="4" t="str">
        <f>HYPERLINK("http://141.218.60.56/~jnz1568/getInfo.php?workbook=06_02.xlsx&amp;sheet=A0&amp;row=530&amp;col=12&amp;number=&amp;sourceID=30","")</f>
        <v/>
      </c>
      <c r="M530" s="4" t="str">
        <f>HYPERLINK("http://141.218.60.56/~jnz1568/getInfo.php?workbook=06_02.xlsx&amp;sheet=A0&amp;row=530&amp;col=13&amp;number=&amp;sourceID=30","")</f>
        <v/>
      </c>
      <c r="N530" s="4" t="str">
        <f>HYPERLINK("http://141.218.60.56/~jnz1568/getInfo.php?workbook=06_02.xlsx&amp;sheet=A0&amp;row=530&amp;col=14&amp;number=&amp;sourceID=30","")</f>
        <v/>
      </c>
      <c r="O530" s="4" t="str">
        <f>HYPERLINK("http://141.218.60.56/~jnz1568/getInfo.php?workbook=06_02.xlsx&amp;sheet=A0&amp;row=530&amp;col=15&amp;number=3644000000&amp;sourceID=32","3644000000")</f>
        <v>3644000000</v>
      </c>
      <c r="P530" s="4" t="str">
        <f>HYPERLINK("http://141.218.60.56/~jnz1568/getInfo.php?workbook=06_02.xlsx&amp;sheet=A0&amp;row=530&amp;col=16&amp;number=&amp;sourceID=32","")</f>
        <v/>
      </c>
      <c r="Q530" s="4" t="str">
        <f>HYPERLINK("http://141.218.60.56/~jnz1568/getInfo.php?workbook=06_02.xlsx&amp;sheet=A0&amp;row=530&amp;col=17&amp;number=&amp;sourceID=32","")</f>
        <v/>
      </c>
      <c r="R530" s="4" t="str">
        <f>HYPERLINK("http://141.218.60.56/~jnz1568/getInfo.php?workbook=06_02.xlsx&amp;sheet=A0&amp;row=530&amp;col=18&amp;number=&amp;sourceID=32","")</f>
        <v/>
      </c>
    </row>
    <row r="531" spans="1:18">
      <c r="A531" s="3">
        <v>6</v>
      </c>
      <c r="B531" s="3">
        <v>2</v>
      </c>
      <c r="C531" s="3">
        <v>37</v>
      </c>
      <c r="D531" s="3">
        <v>6</v>
      </c>
      <c r="E531" s="3">
        <f>((1/(INDEX(E0!J$4:J$52,C531,1)-INDEX(E0!J$4:J$52,D531,1))))*100000000</f>
        <v>0</v>
      </c>
      <c r="F531" s="4" t="str">
        <f>HYPERLINK("http://141.218.60.56/~jnz1568/getInfo.php?workbook=06_02.xlsx&amp;sheet=A0&amp;row=531&amp;col=6&amp;number=&amp;sourceID=27","")</f>
        <v/>
      </c>
      <c r="G531" s="4" t="str">
        <f>HYPERLINK("http://141.218.60.56/~jnz1568/getInfo.php?workbook=06_02.xlsx&amp;sheet=A0&amp;row=531&amp;col=7&amp;number=182200000&amp;sourceID=34","182200000")</f>
        <v>182200000</v>
      </c>
      <c r="H531" s="4" t="str">
        <f>HYPERLINK("http://141.218.60.56/~jnz1568/getInfo.php?workbook=06_02.xlsx&amp;sheet=A0&amp;row=531&amp;col=8&amp;number=&amp;sourceID=34","")</f>
        <v/>
      </c>
      <c r="I531" s="4" t="str">
        <f>HYPERLINK("http://141.218.60.56/~jnz1568/getInfo.php?workbook=06_02.xlsx&amp;sheet=A0&amp;row=531&amp;col=9&amp;number=&amp;sourceID=34","")</f>
        <v/>
      </c>
      <c r="J531" s="4" t="str">
        <f>HYPERLINK("http://141.218.60.56/~jnz1568/getInfo.php?workbook=06_02.xlsx&amp;sheet=A0&amp;row=531&amp;col=10&amp;number=&amp;sourceID=34","")</f>
        <v/>
      </c>
      <c r="K531" s="4" t="str">
        <f>HYPERLINK("http://141.218.60.56/~jnz1568/getInfo.php?workbook=06_02.xlsx&amp;sheet=A0&amp;row=531&amp;col=11&amp;number=172000000&amp;sourceID=30","172000000")</f>
        <v>172000000</v>
      </c>
      <c r="L531" s="4" t="str">
        <f>HYPERLINK("http://141.218.60.56/~jnz1568/getInfo.php?workbook=06_02.xlsx&amp;sheet=A0&amp;row=531&amp;col=12&amp;number=&amp;sourceID=30","")</f>
        <v/>
      </c>
      <c r="M531" s="4" t="str">
        <f>HYPERLINK("http://141.218.60.56/~jnz1568/getInfo.php?workbook=06_02.xlsx&amp;sheet=A0&amp;row=531&amp;col=13&amp;number=&amp;sourceID=30","")</f>
        <v/>
      </c>
      <c r="N531" s="4" t="str">
        <f>HYPERLINK("http://141.218.60.56/~jnz1568/getInfo.php?workbook=06_02.xlsx&amp;sheet=A0&amp;row=531&amp;col=14&amp;number=2.241e-09&amp;sourceID=30","2.241e-09")</f>
        <v>2.241e-09</v>
      </c>
      <c r="O531" s="4" t="str">
        <f>HYPERLINK("http://141.218.60.56/~jnz1568/getInfo.php?workbook=06_02.xlsx&amp;sheet=A0&amp;row=531&amp;col=15&amp;number=182000000&amp;sourceID=32","182000000")</f>
        <v>182000000</v>
      </c>
      <c r="P531" s="4" t="str">
        <f>HYPERLINK("http://141.218.60.56/~jnz1568/getInfo.php?workbook=06_02.xlsx&amp;sheet=A0&amp;row=531&amp;col=16&amp;number=&amp;sourceID=32","")</f>
        <v/>
      </c>
      <c r="Q531" s="4" t="str">
        <f>HYPERLINK("http://141.218.60.56/~jnz1568/getInfo.php?workbook=06_02.xlsx&amp;sheet=A0&amp;row=531&amp;col=17&amp;number=&amp;sourceID=32","")</f>
        <v/>
      </c>
      <c r="R531" s="4" t="str">
        <f>HYPERLINK("http://141.218.60.56/~jnz1568/getInfo.php?workbook=06_02.xlsx&amp;sheet=A0&amp;row=531&amp;col=18&amp;number=1.208e-05&amp;sourceID=32","1.208e-05")</f>
        <v>1.208e-05</v>
      </c>
    </row>
    <row r="532" spans="1:18">
      <c r="A532" s="3">
        <v>6</v>
      </c>
      <c r="B532" s="3">
        <v>2</v>
      </c>
      <c r="C532" s="3">
        <v>37</v>
      </c>
      <c r="D532" s="3">
        <v>7</v>
      </c>
      <c r="E532" s="3">
        <f>((1/(INDEX(E0!J$4:J$52,C532,1)-INDEX(E0!J$4:J$52,D532,1))))*100000000</f>
        <v>0</v>
      </c>
      <c r="F532" s="4" t="str">
        <f>HYPERLINK("http://141.218.60.56/~jnz1568/getInfo.php?workbook=06_02.xlsx&amp;sheet=A0&amp;row=532&amp;col=6&amp;number=&amp;sourceID=27","")</f>
        <v/>
      </c>
      <c r="G532" s="4" t="str">
        <f>HYPERLINK("http://141.218.60.56/~jnz1568/getInfo.php?workbook=06_02.xlsx&amp;sheet=A0&amp;row=532&amp;col=7&amp;number=&amp;sourceID=34","")</f>
        <v/>
      </c>
      <c r="H532" s="4" t="str">
        <f>HYPERLINK("http://141.218.60.56/~jnz1568/getInfo.php?workbook=06_02.xlsx&amp;sheet=A0&amp;row=532&amp;col=8&amp;number=&amp;sourceID=34","")</f>
        <v/>
      </c>
      <c r="I532" s="4" t="str">
        <f>HYPERLINK("http://141.218.60.56/~jnz1568/getInfo.php?workbook=06_02.xlsx&amp;sheet=A0&amp;row=532&amp;col=9&amp;number=&amp;sourceID=34","")</f>
        <v/>
      </c>
      <c r="J532" s="4" t="str">
        <f>HYPERLINK("http://141.218.60.56/~jnz1568/getInfo.php?workbook=06_02.xlsx&amp;sheet=A0&amp;row=532&amp;col=10&amp;number=&amp;sourceID=34","")</f>
        <v/>
      </c>
      <c r="K532" s="4" t="str">
        <f>HYPERLINK("http://141.218.60.56/~jnz1568/getInfo.php?workbook=06_02.xlsx&amp;sheet=A0&amp;row=532&amp;col=11&amp;number=60130&amp;sourceID=30","60130")</f>
        <v>60130</v>
      </c>
      <c r="L532" s="4" t="str">
        <f>HYPERLINK("http://141.218.60.56/~jnz1568/getInfo.php?workbook=06_02.xlsx&amp;sheet=A0&amp;row=532&amp;col=12&amp;number=&amp;sourceID=30","")</f>
        <v/>
      </c>
      <c r="M532" s="4" t="str">
        <f>HYPERLINK("http://141.218.60.56/~jnz1568/getInfo.php?workbook=06_02.xlsx&amp;sheet=A0&amp;row=532&amp;col=13&amp;number=&amp;sourceID=30","")</f>
        <v/>
      </c>
      <c r="N532" s="4" t="str">
        <f>HYPERLINK("http://141.218.60.56/~jnz1568/getInfo.php?workbook=06_02.xlsx&amp;sheet=A0&amp;row=532&amp;col=14&amp;number=0.2524&amp;sourceID=30","0.2524")</f>
        <v>0.2524</v>
      </c>
      <c r="O532" s="4" t="str">
        <f>HYPERLINK("http://141.218.60.56/~jnz1568/getInfo.php?workbook=06_02.xlsx&amp;sheet=A0&amp;row=532&amp;col=15&amp;number=65840&amp;sourceID=32","65840")</f>
        <v>65840</v>
      </c>
      <c r="P532" s="4" t="str">
        <f>HYPERLINK("http://141.218.60.56/~jnz1568/getInfo.php?workbook=06_02.xlsx&amp;sheet=A0&amp;row=532&amp;col=16&amp;number=&amp;sourceID=32","")</f>
        <v/>
      </c>
      <c r="Q532" s="4" t="str">
        <f>HYPERLINK("http://141.218.60.56/~jnz1568/getInfo.php?workbook=06_02.xlsx&amp;sheet=A0&amp;row=532&amp;col=17&amp;number=&amp;sourceID=32","")</f>
        <v/>
      </c>
      <c r="R532" s="4" t="str">
        <f>HYPERLINK("http://141.218.60.56/~jnz1568/getInfo.php?workbook=06_02.xlsx&amp;sheet=A0&amp;row=532&amp;col=18&amp;number=0.2212&amp;sourceID=32","0.2212")</f>
        <v>0.2212</v>
      </c>
    </row>
    <row r="533" spans="1:18">
      <c r="A533" s="3">
        <v>6</v>
      </c>
      <c r="B533" s="3">
        <v>2</v>
      </c>
      <c r="C533" s="3">
        <v>37</v>
      </c>
      <c r="D533" s="3">
        <v>8</v>
      </c>
      <c r="E533" s="3">
        <f>((1/(INDEX(E0!J$4:J$52,C533,1)-INDEX(E0!J$4:J$52,D533,1))))*100000000</f>
        <v>0</v>
      </c>
      <c r="F533" s="4" t="str">
        <f>HYPERLINK("http://141.218.60.56/~jnz1568/getInfo.php?workbook=06_02.xlsx&amp;sheet=A0&amp;row=533&amp;col=6&amp;number=&amp;sourceID=27","")</f>
        <v/>
      </c>
      <c r="G533" s="4" t="str">
        <f>HYPERLINK("http://141.218.60.56/~jnz1568/getInfo.php?workbook=06_02.xlsx&amp;sheet=A0&amp;row=533&amp;col=7&amp;number=&amp;sourceID=34","")</f>
        <v/>
      </c>
      <c r="H533" s="4" t="str">
        <f>HYPERLINK("http://141.218.60.56/~jnz1568/getInfo.php?workbook=06_02.xlsx&amp;sheet=A0&amp;row=533&amp;col=8&amp;number=&amp;sourceID=34","")</f>
        <v/>
      </c>
      <c r="I533" s="4" t="str">
        <f>HYPERLINK("http://141.218.60.56/~jnz1568/getInfo.php?workbook=06_02.xlsx&amp;sheet=A0&amp;row=533&amp;col=9&amp;number=&amp;sourceID=34","")</f>
        <v/>
      </c>
      <c r="J533" s="4" t="str">
        <f>HYPERLINK("http://141.218.60.56/~jnz1568/getInfo.php?workbook=06_02.xlsx&amp;sheet=A0&amp;row=533&amp;col=10&amp;number=&amp;sourceID=34","")</f>
        <v/>
      </c>
      <c r="K533" s="4" t="str">
        <f>HYPERLINK("http://141.218.60.56/~jnz1568/getInfo.php?workbook=06_02.xlsx&amp;sheet=A0&amp;row=533&amp;col=11&amp;number=&amp;sourceID=30","")</f>
        <v/>
      </c>
      <c r="L533" s="4" t="str">
        <f>HYPERLINK("http://141.218.60.56/~jnz1568/getInfo.php?workbook=06_02.xlsx&amp;sheet=A0&amp;row=533&amp;col=12&amp;number=25240&amp;sourceID=30","25240")</f>
        <v>25240</v>
      </c>
      <c r="M533" s="4" t="str">
        <f>HYPERLINK("http://141.218.60.56/~jnz1568/getInfo.php?workbook=06_02.xlsx&amp;sheet=A0&amp;row=533&amp;col=13&amp;number=4.734e-05&amp;sourceID=30","4.734e-05")</f>
        <v>4.734e-05</v>
      </c>
      <c r="N533" s="4" t="str">
        <f>HYPERLINK("http://141.218.60.56/~jnz1568/getInfo.php?workbook=06_02.xlsx&amp;sheet=A0&amp;row=533&amp;col=14&amp;number=&amp;sourceID=30","")</f>
        <v/>
      </c>
      <c r="O533" s="4" t="str">
        <f>HYPERLINK("http://141.218.60.56/~jnz1568/getInfo.php?workbook=06_02.xlsx&amp;sheet=A0&amp;row=533&amp;col=15&amp;number=&amp;sourceID=32","")</f>
        <v/>
      </c>
      <c r="P533" s="4" t="str">
        <f>HYPERLINK("http://141.218.60.56/~jnz1568/getInfo.php?workbook=06_02.xlsx&amp;sheet=A0&amp;row=533&amp;col=16&amp;number=29350&amp;sourceID=32","29350")</f>
        <v>29350</v>
      </c>
      <c r="Q533" s="4" t="str">
        <f>HYPERLINK("http://141.218.60.56/~jnz1568/getInfo.php?workbook=06_02.xlsx&amp;sheet=A0&amp;row=533&amp;col=17&amp;number=5.385e-05&amp;sourceID=32","5.385e-05")</f>
        <v>5.385e-05</v>
      </c>
      <c r="R533" s="4" t="str">
        <f>HYPERLINK("http://141.218.60.56/~jnz1568/getInfo.php?workbook=06_02.xlsx&amp;sheet=A0&amp;row=533&amp;col=18&amp;number=&amp;sourceID=32","")</f>
        <v/>
      </c>
    </row>
    <row r="534" spans="1:18">
      <c r="A534" s="3">
        <v>6</v>
      </c>
      <c r="B534" s="3">
        <v>2</v>
      </c>
      <c r="C534" s="3">
        <v>37</v>
      </c>
      <c r="D534" s="3">
        <v>9</v>
      </c>
      <c r="E534" s="3">
        <f>((1/(INDEX(E0!J$4:J$52,C534,1)-INDEX(E0!J$4:J$52,D534,1))))*100000000</f>
        <v>0</v>
      </c>
      <c r="F534" s="4" t="str">
        <f>HYPERLINK("http://141.218.60.56/~jnz1568/getInfo.php?workbook=06_02.xlsx&amp;sheet=A0&amp;row=534&amp;col=6&amp;number=&amp;sourceID=27","")</f>
        <v/>
      </c>
      <c r="G534" s="4" t="str">
        <f>HYPERLINK("http://141.218.60.56/~jnz1568/getInfo.php?workbook=06_02.xlsx&amp;sheet=A0&amp;row=534&amp;col=7&amp;number=&amp;sourceID=34","")</f>
        <v/>
      </c>
      <c r="H534" s="4" t="str">
        <f>HYPERLINK("http://141.218.60.56/~jnz1568/getInfo.php?workbook=06_02.xlsx&amp;sheet=A0&amp;row=534&amp;col=8&amp;number=&amp;sourceID=34","")</f>
        <v/>
      </c>
      <c r="I534" s="4" t="str">
        <f>HYPERLINK("http://141.218.60.56/~jnz1568/getInfo.php?workbook=06_02.xlsx&amp;sheet=A0&amp;row=534&amp;col=9&amp;number=&amp;sourceID=34","")</f>
        <v/>
      </c>
      <c r="J534" s="4" t="str">
        <f>HYPERLINK("http://141.218.60.56/~jnz1568/getInfo.php?workbook=06_02.xlsx&amp;sheet=A0&amp;row=534&amp;col=10&amp;number=&amp;sourceID=34","")</f>
        <v/>
      </c>
      <c r="K534" s="4" t="str">
        <f>HYPERLINK("http://141.218.60.56/~jnz1568/getInfo.php?workbook=06_02.xlsx&amp;sheet=A0&amp;row=534&amp;col=11&amp;number=&amp;sourceID=30","")</f>
        <v/>
      </c>
      <c r="L534" s="4" t="str">
        <f>HYPERLINK("http://141.218.60.56/~jnz1568/getInfo.php?workbook=06_02.xlsx&amp;sheet=A0&amp;row=534&amp;col=12&amp;number=&amp;sourceID=30","")</f>
        <v/>
      </c>
      <c r="M534" s="4" t="str">
        <f>HYPERLINK("http://141.218.60.56/~jnz1568/getInfo.php?workbook=06_02.xlsx&amp;sheet=A0&amp;row=534&amp;col=13&amp;number=3.045e-06&amp;sourceID=30","3.045e-06")</f>
        <v>3.045e-06</v>
      </c>
      <c r="N534" s="4" t="str">
        <f>HYPERLINK("http://141.218.60.56/~jnz1568/getInfo.php?workbook=06_02.xlsx&amp;sheet=A0&amp;row=534&amp;col=14&amp;number=&amp;sourceID=30","")</f>
        <v/>
      </c>
      <c r="O534" s="4" t="str">
        <f>HYPERLINK("http://141.218.60.56/~jnz1568/getInfo.php?workbook=06_02.xlsx&amp;sheet=A0&amp;row=534&amp;col=15&amp;number=&amp;sourceID=32","")</f>
        <v/>
      </c>
      <c r="P534" s="4" t="str">
        <f>HYPERLINK("http://141.218.60.56/~jnz1568/getInfo.php?workbook=06_02.xlsx&amp;sheet=A0&amp;row=534&amp;col=16&amp;number=&amp;sourceID=32","")</f>
        <v/>
      </c>
      <c r="Q534" s="4" t="str">
        <f>HYPERLINK("http://141.218.60.56/~jnz1568/getInfo.php?workbook=06_02.xlsx&amp;sheet=A0&amp;row=534&amp;col=17&amp;number=8.61e-06&amp;sourceID=32","8.61e-06")</f>
        <v>8.61e-06</v>
      </c>
      <c r="R534" s="4" t="str">
        <f>HYPERLINK("http://141.218.60.56/~jnz1568/getInfo.php?workbook=06_02.xlsx&amp;sheet=A0&amp;row=534&amp;col=18&amp;number=&amp;sourceID=32","")</f>
        <v/>
      </c>
    </row>
    <row r="535" spans="1:18">
      <c r="A535" s="3">
        <v>6</v>
      </c>
      <c r="B535" s="3">
        <v>2</v>
      </c>
      <c r="C535" s="3">
        <v>37</v>
      </c>
      <c r="D535" s="3">
        <v>10</v>
      </c>
      <c r="E535" s="3">
        <f>((1/(INDEX(E0!J$4:J$52,C535,1)-INDEX(E0!J$4:J$52,D535,1))))*100000000</f>
        <v>0</v>
      </c>
      <c r="F535" s="4" t="str">
        <f>HYPERLINK("http://141.218.60.56/~jnz1568/getInfo.php?workbook=06_02.xlsx&amp;sheet=A0&amp;row=535&amp;col=6&amp;number=&amp;sourceID=27","")</f>
        <v/>
      </c>
      <c r="G535" s="4" t="str">
        <f>HYPERLINK("http://141.218.60.56/~jnz1568/getInfo.php?workbook=06_02.xlsx&amp;sheet=A0&amp;row=535&amp;col=7&amp;number=902000000&amp;sourceID=34","902000000")</f>
        <v>902000000</v>
      </c>
      <c r="H535" s="4" t="str">
        <f>HYPERLINK("http://141.218.60.56/~jnz1568/getInfo.php?workbook=06_02.xlsx&amp;sheet=A0&amp;row=535&amp;col=8&amp;number=&amp;sourceID=34","")</f>
        <v/>
      </c>
      <c r="I535" s="4" t="str">
        <f>HYPERLINK("http://141.218.60.56/~jnz1568/getInfo.php?workbook=06_02.xlsx&amp;sheet=A0&amp;row=535&amp;col=9&amp;number=&amp;sourceID=34","")</f>
        <v/>
      </c>
      <c r="J535" s="4" t="str">
        <f>HYPERLINK("http://141.218.60.56/~jnz1568/getInfo.php?workbook=06_02.xlsx&amp;sheet=A0&amp;row=535&amp;col=10&amp;number=&amp;sourceID=34","")</f>
        <v/>
      </c>
      <c r="K535" s="4" t="str">
        <f>HYPERLINK("http://141.218.60.56/~jnz1568/getInfo.php?workbook=06_02.xlsx&amp;sheet=A0&amp;row=535&amp;col=11&amp;number=878200000&amp;sourceID=30","878200000")</f>
        <v>878200000</v>
      </c>
      <c r="L535" s="4" t="str">
        <f>HYPERLINK("http://141.218.60.56/~jnz1568/getInfo.php?workbook=06_02.xlsx&amp;sheet=A0&amp;row=535&amp;col=12&amp;number=&amp;sourceID=30","")</f>
        <v/>
      </c>
      <c r="M535" s="4" t="str">
        <f>HYPERLINK("http://141.218.60.56/~jnz1568/getInfo.php?workbook=06_02.xlsx&amp;sheet=A0&amp;row=535&amp;col=13&amp;number=&amp;sourceID=30","")</f>
        <v/>
      </c>
      <c r="N535" s="4" t="str">
        <f>HYPERLINK("http://141.218.60.56/~jnz1568/getInfo.php?workbook=06_02.xlsx&amp;sheet=A0&amp;row=535&amp;col=14&amp;number=0.02102&amp;sourceID=30","0.02102")</f>
        <v>0.02102</v>
      </c>
      <c r="O535" s="4" t="str">
        <f>HYPERLINK("http://141.218.60.56/~jnz1568/getInfo.php?workbook=06_02.xlsx&amp;sheet=A0&amp;row=535&amp;col=15&amp;number=901700000&amp;sourceID=32","901700000")</f>
        <v>901700000</v>
      </c>
      <c r="P535" s="4" t="str">
        <f>HYPERLINK("http://141.218.60.56/~jnz1568/getInfo.php?workbook=06_02.xlsx&amp;sheet=A0&amp;row=535&amp;col=16&amp;number=&amp;sourceID=32","")</f>
        <v/>
      </c>
      <c r="Q535" s="4" t="str">
        <f>HYPERLINK("http://141.218.60.56/~jnz1568/getInfo.php?workbook=06_02.xlsx&amp;sheet=A0&amp;row=535&amp;col=17&amp;number=&amp;sourceID=32","")</f>
        <v/>
      </c>
      <c r="R535" s="4" t="str">
        <f>HYPERLINK("http://141.218.60.56/~jnz1568/getInfo.php?workbook=06_02.xlsx&amp;sheet=A0&amp;row=535&amp;col=18&amp;number=0.02168&amp;sourceID=32","0.02168")</f>
        <v>0.02168</v>
      </c>
    </row>
    <row r="536" spans="1:18">
      <c r="A536" s="3">
        <v>6</v>
      </c>
      <c r="B536" s="3">
        <v>2</v>
      </c>
      <c r="C536" s="3">
        <v>37</v>
      </c>
      <c r="D536" s="3">
        <v>11</v>
      </c>
      <c r="E536" s="3">
        <f>((1/(INDEX(E0!J$4:J$52,C536,1)-INDEX(E0!J$4:J$52,D536,1))))*100000000</f>
        <v>0</v>
      </c>
      <c r="F536" s="4" t="str">
        <f>HYPERLINK("http://141.218.60.56/~jnz1568/getInfo.php?workbook=06_02.xlsx&amp;sheet=A0&amp;row=536&amp;col=6&amp;number=&amp;sourceID=27","")</f>
        <v/>
      </c>
      <c r="G536" s="4" t="str">
        <f>HYPERLINK("http://141.218.60.56/~jnz1568/getInfo.php?workbook=06_02.xlsx&amp;sheet=A0&amp;row=536&amp;col=7&amp;number=1203000000&amp;sourceID=34","1203000000")</f>
        <v>1203000000</v>
      </c>
      <c r="H536" s="4" t="str">
        <f>HYPERLINK("http://141.218.60.56/~jnz1568/getInfo.php?workbook=06_02.xlsx&amp;sheet=A0&amp;row=536&amp;col=8&amp;number=&amp;sourceID=34","")</f>
        <v/>
      </c>
      <c r="I536" s="4" t="str">
        <f>HYPERLINK("http://141.218.60.56/~jnz1568/getInfo.php?workbook=06_02.xlsx&amp;sheet=A0&amp;row=536&amp;col=9&amp;number=&amp;sourceID=34","")</f>
        <v/>
      </c>
      <c r="J536" s="4" t="str">
        <f>HYPERLINK("http://141.218.60.56/~jnz1568/getInfo.php?workbook=06_02.xlsx&amp;sheet=A0&amp;row=536&amp;col=10&amp;number=&amp;sourceID=34","")</f>
        <v/>
      </c>
      <c r="K536" s="4" t="str">
        <f>HYPERLINK("http://141.218.60.56/~jnz1568/getInfo.php?workbook=06_02.xlsx&amp;sheet=A0&amp;row=536&amp;col=11&amp;number=1171000000&amp;sourceID=30","1171000000")</f>
        <v>1171000000</v>
      </c>
      <c r="L536" s="4" t="str">
        <f>HYPERLINK("http://141.218.60.56/~jnz1568/getInfo.php?workbook=06_02.xlsx&amp;sheet=A0&amp;row=536&amp;col=12&amp;number=&amp;sourceID=30","")</f>
        <v/>
      </c>
      <c r="M536" s="4" t="str">
        <f>HYPERLINK("http://141.218.60.56/~jnz1568/getInfo.php?workbook=06_02.xlsx&amp;sheet=A0&amp;row=536&amp;col=13&amp;number=&amp;sourceID=30","")</f>
        <v/>
      </c>
      <c r="N536" s="4" t="str">
        <f>HYPERLINK("http://141.218.60.56/~jnz1568/getInfo.php?workbook=06_02.xlsx&amp;sheet=A0&amp;row=536&amp;col=14&amp;number=&amp;sourceID=30","")</f>
        <v/>
      </c>
      <c r="O536" s="4" t="str">
        <f>HYPERLINK("http://141.218.60.56/~jnz1568/getInfo.php?workbook=06_02.xlsx&amp;sheet=A0&amp;row=536&amp;col=15&amp;number=1202000000&amp;sourceID=32","1202000000")</f>
        <v>1202000000</v>
      </c>
      <c r="P536" s="4" t="str">
        <f>HYPERLINK("http://141.218.60.56/~jnz1568/getInfo.php?workbook=06_02.xlsx&amp;sheet=A0&amp;row=536&amp;col=16&amp;number=&amp;sourceID=32","")</f>
        <v/>
      </c>
      <c r="Q536" s="4" t="str">
        <f>HYPERLINK("http://141.218.60.56/~jnz1568/getInfo.php?workbook=06_02.xlsx&amp;sheet=A0&amp;row=536&amp;col=17&amp;number=&amp;sourceID=32","")</f>
        <v/>
      </c>
      <c r="R536" s="4" t="str">
        <f>HYPERLINK("http://141.218.60.56/~jnz1568/getInfo.php?workbook=06_02.xlsx&amp;sheet=A0&amp;row=536&amp;col=18&amp;number=&amp;sourceID=32","")</f>
        <v/>
      </c>
    </row>
    <row r="537" spans="1:18">
      <c r="A537" s="3">
        <v>6</v>
      </c>
      <c r="B537" s="3">
        <v>2</v>
      </c>
      <c r="C537" s="3">
        <v>37</v>
      </c>
      <c r="D537" s="3">
        <v>12</v>
      </c>
      <c r="E537" s="3">
        <f>((1/(INDEX(E0!J$4:J$52,C537,1)-INDEX(E0!J$4:J$52,D537,1))))*100000000</f>
        <v>0</v>
      </c>
      <c r="F537" s="4" t="str">
        <f>HYPERLINK("http://141.218.60.56/~jnz1568/getInfo.php?workbook=06_02.xlsx&amp;sheet=A0&amp;row=537&amp;col=6&amp;number=&amp;sourceID=27","")</f>
        <v/>
      </c>
      <c r="G537" s="4" t="str">
        <f>HYPERLINK("http://141.218.60.56/~jnz1568/getInfo.php?workbook=06_02.xlsx&amp;sheet=A0&amp;row=537&amp;col=7&amp;number=60100000&amp;sourceID=34","60100000")</f>
        <v>60100000</v>
      </c>
      <c r="H537" s="4" t="str">
        <f>HYPERLINK("http://141.218.60.56/~jnz1568/getInfo.php?workbook=06_02.xlsx&amp;sheet=A0&amp;row=537&amp;col=8&amp;number=&amp;sourceID=34","")</f>
        <v/>
      </c>
      <c r="I537" s="4" t="str">
        <f>HYPERLINK("http://141.218.60.56/~jnz1568/getInfo.php?workbook=06_02.xlsx&amp;sheet=A0&amp;row=537&amp;col=9&amp;number=&amp;sourceID=34","")</f>
        <v/>
      </c>
      <c r="J537" s="4" t="str">
        <f>HYPERLINK("http://141.218.60.56/~jnz1568/getInfo.php?workbook=06_02.xlsx&amp;sheet=A0&amp;row=537&amp;col=10&amp;number=&amp;sourceID=34","")</f>
        <v/>
      </c>
      <c r="K537" s="4" t="str">
        <f>HYPERLINK("http://141.218.60.56/~jnz1568/getInfo.php?workbook=06_02.xlsx&amp;sheet=A0&amp;row=537&amp;col=11&amp;number=58500000&amp;sourceID=30","58500000")</f>
        <v>58500000</v>
      </c>
      <c r="L537" s="4" t="str">
        <f>HYPERLINK("http://141.218.60.56/~jnz1568/getInfo.php?workbook=06_02.xlsx&amp;sheet=A0&amp;row=537&amp;col=12&amp;number=&amp;sourceID=30","")</f>
        <v/>
      </c>
      <c r="M537" s="4" t="str">
        <f>HYPERLINK("http://141.218.60.56/~jnz1568/getInfo.php?workbook=06_02.xlsx&amp;sheet=A0&amp;row=537&amp;col=13&amp;number=&amp;sourceID=30","")</f>
        <v/>
      </c>
      <c r="N537" s="4" t="str">
        <f>HYPERLINK("http://141.218.60.56/~jnz1568/getInfo.php?workbook=06_02.xlsx&amp;sheet=A0&amp;row=537&amp;col=14&amp;number=6.975e-10&amp;sourceID=30","6.975e-10")</f>
        <v>6.975e-10</v>
      </c>
      <c r="O537" s="4" t="str">
        <f>HYPERLINK("http://141.218.60.56/~jnz1568/getInfo.php?workbook=06_02.xlsx&amp;sheet=A0&amp;row=537&amp;col=15&amp;number=60080000&amp;sourceID=32","60080000")</f>
        <v>60080000</v>
      </c>
      <c r="P537" s="4" t="str">
        <f>HYPERLINK("http://141.218.60.56/~jnz1568/getInfo.php?workbook=06_02.xlsx&amp;sheet=A0&amp;row=537&amp;col=16&amp;number=&amp;sourceID=32","")</f>
        <v/>
      </c>
      <c r="Q537" s="4" t="str">
        <f>HYPERLINK("http://141.218.60.56/~jnz1568/getInfo.php?workbook=06_02.xlsx&amp;sheet=A0&amp;row=537&amp;col=17&amp;number=&amp;sourceID=32","")</f>
        <v/>
      </c>
      <c r="R537" s="4" t="str">
        <f>HYPERLINK("http://141.218.60.56/~jnz1568/getInfo.php?workbook=06_02.xlsx&amp;sheet=A0&amp;row=537&amp;col=18&amp;number=4.822e-10&amp;sourceID=32","4.822e-10")</f>
        <v>4.822e-10</v>
      </c>
    </row>
    <row r="538" spans="1:18">
      <c r="A538" s="3">
        <v>6</v>
      </c>
      <c r="B538" s="3">
        <v>2</v>
      </c>
      <c r="C538" s="3">
        <v>37</v>
      </c>
      <c r="D538" s="3">
        <v>13</v>
      </c>
      <c r="E538" s="3">
        <f>((1/(INDEX(E0!J$4:J$52,C538,1)-INDEX(E0!J$4:J$52,D538,1))))*100000000</f>
        <v>0</v>
      </c>
      <c r="F538" s="4" t="str">
        <f>HYPERLINK("http://141.218.60.56/~jnz1568/getInfo.php?workbook=06_02.xlsx&amp;sheet=A0&amp;row=538&amp;col=6&amp;number=&amp;sourceID=27","")</f>
        <v/>
      </c>
      <c r="G538" s="4" t="str">
        <f>HYPERLINK("http://141.218.60.56/~jnz1568/getInfo.php?workbook=06_02.xlsx&amp;sheet=A0&amp;row=538&amp;col=7&amp;number=&amp;sourceID=34","")</f>
        <v/>
      </c>
      <c r="H538" s="4" t="str">
        <f>HYPERLINK("http://141.218.60.56/~jnz1568/getInfo.php?workbook=06_02.xlsx&amp;sheet=A0&amp;row=538&amp;col=8&amp;number=&amp;sourceID=34","")</f>
        <v/>
      </c>
      <c r="I538" s="4" t="str">
        <f>HYPERLINK("http://141.218.60.56/~jnz1568/getInfo.php?workbook=06_02.xlsx&amp;sheet=A0&amp;row=538&amp;col=9&amp;number=&amp;sourceID=34","")</f>
        <v/>
      </c>
      <c r="J538" s="4" t="str">
        <f>HYPERLINK("http://141.218.60.56/~jnz1568/getInfo.php?workbook=06_02.xlsx&amp;sheet=A0&amp;row=538&amp;col=10&amp;number=&amp;sourceID=34","")</f>
        <v/>
      </c>
      <c r="K538" s="4" t="str">
        <f>HYPERLINK("http://141.218.60.56/~jnz1568/getInfo.php?workbook=06_02.xlsx&amp;sheet=A0&amp;row=538&amp;col=11&amp;number=&amp;sourceID=30","")</f>
        <v/>
      </c>
      <c r="L538" s="4" t="str">
        <f>HYPERLINK("http://141.218.60.56/~jnz1568/getInfo.php?workbook=06_02.xlsx&amp;sheet=A0&amp;row=538&amp;col=12&amp;number=3099&amp;sourceID=30","3099")</f>
        <v>3099</v>
      </c>
      <c r="M538" s="4" t="str">
        <f>HYPERLINK("http://141.218.60.56/~jnz1568/getInfo.php?workbook=06_02.xlsx&amp;sheet=A0&amp;row=538&amp;col=13&amp;number=0.0001541&amp;sourceID=30","0.0001541")</f>
        <v>0.0001541</v>
      </c>
      <c r="N538" s="4" t="str">
        <f>HYPERLINK("http://141.218.60.56/~jnz1568/getInfo.php?workbook=06_02.xlsx&amp;sheet=A0&amp;row=538&amp;col=14&amp;number=&amp;sourceID=30","")</f>
        <v/>
      </c>
      <c r="O538" s="4" t="str">
        <f>HYPERLINK("http://141.218.60.56/~jnz1568/getInfo.php?workbook=06_02.xlsx&amp;sheet=A0&amp;row=538&amp;col=15&amp;number=&amp;sourceID=32","")</f>
        <v/>
      </c>
      <c r="P538" s="4" t="str">
        <f>HYPERLINK("http://141.218.60.56/~jnz1568/getInfo.php?workbook=06_02.xlsx&amp;sheet=A0&amp;row=538&amp;col=16&amp;number=3137&amp;sourceID=32","3137")</f>
        <v>3137</v>
      </c>
      <c r="Q538" s="4" t="str">
        <f>HYPERLINK("http://141.218.60.56/~jnz1568/getInfo.php?workbook=06_02.xlsx&amp;sheet=A0&amp;row=538&amp;col=17&amp;number=0.0001784&amp;sourceID=32","0.0001784")</f>
        <v>0.0001784</v>
      </c>
      <c r="R538" s="4" t="str">
        <f>HYPERLINK("http://141.218.60.56/~jnz1568/getInfo.php?workbook=06_02.xlsx&amp;sheet=A0&amp;row=538&amp;col=18&amp;number=&amp;sourceID=32","")</f>
        <v/>
      </c>
    </row>
    <row r="539" spans="1:18">
      <c r="A539" s="3">
        <v>6</v>
      </c>
      <c r="B539" s="3">
        <v>2</v>
      </c>
      <c r="C539" s="3">
        <v>37</v>
      </c>
      <c r="D539" s="3">
        <v>14</v>
      </c>
      <c r="E539" s="3">
        <f>((1/(INDEX(E0!J$4:J$52,C539,1)-INDEX(E0!J$4:J$52,D539,1))))*100000000</f>
        <v>0</v>
      </c>
      <c r="F539" s="4" t="str">
        <f>HYPERLINK("http://141.218.60.56/~jnz1568/getInfo.php?workbook=06_02.xlsx&amp;sheet=A0&amp;row=539&amp;col=6&amp;number=&amp;sourceID=27","")</f>
        <v/>
      </c>
      <c r="G539" s="4" t="str">
        <f>HYPERLINK("http://141.218.60.56/~jnz1568/getInfo.php?workbook=06_02.xlsx&amp;sheet=A0&amp;row=539&amp;col=7&amp;number=&amp;sourceID=34","")</f>
        <v/>
      </c>
      <c r="H539" s="4" t="str">
        <f>HYPERLINK("http://141.218.60.56/~jnz1568/getInfo.php?workbook=06_02.xlsx&amp;sheet=A0&amp;row=539&amp;col=8&amp;number=&amp;sourceID=34","")</f>
        <v/>
      </c>
      <c r="I539" s="4" t="str">
        <f>HYPERLINK("http://141.218.60.56/~jnz1568/getInfo.php?workbook=06_02.xlsx&amp;sheet=A0&amp;row=539&amp;col=9&amp;number=&amp;sourceID=34","")</f>
        <v/>
      </c>
      <c r="J539" s="4" t="str">
        <f>HYPERLINK("http://141.218.60.56/~jnz1568/getInfo.php?workbook=06_02.xlsx&amp;sheet=A0&amp;row=539&amp;col=10&amp;number=&amp;sourceID=34","")</f>
        <v/>
      </c>
      <c r="K539" s="4" t="str">
        <f>HYPERLINK("http://141.218.60.56/~jnz1568/getInfo.php?workbook=06_02.xlsx&amp;sheet=A0&amp;row=539&amp;col=11&amp;number=&amp;sourceID=30","")</f>
        <v/>
      </c>
      <c r="L539" s="4" t="str">
        <f>HYPERLINK("http://141.218.60.56/~jnz1568/getInfo.php?workbook=06_02.xlsx&amp;sheet=A0&amp;row=539&amp;col=12&amp;number=5150&amp;sourceID=30","5150")</f>
        <v>5150</v>
      </c>
      <c r="M539" s="4" t="str">
        <f>HYPERLINK("http://141.218.60.56/~jnz1568/getInfo.php?workbook=06_02.xlsx&amp;sheet=A0&amp;row=539&amp;col=13&amp;number=7.889e-07&amp;sourceID=30","7.889e-07")</f>
        <v>7.889e-07</v>
      </c>
      <c r="N539" s="4" t="str">
        <f>HYPERLINK("http://141.218.60.56/~jnz1568/getInfo.php?workbook=06_02.xlsx&amp;sheet=A0&amp;row=539&amp;col=14&amp;number=&amp;sourceID=30","")</f>
        <v/>
      </c>
      <c r="O539" s="4" t="str">
        <f>HYPERLINK("http://141.218.60.56/~jnz1568/getInfo.php?workbook=06_02.xlsx&amp;sheet=A0&amp;row=539&amp;col=15&amp;number=&amp;sourceID=32","")</f>
        <v/>
      </c>
      <c r="P539" s="4" t="str">
        <f>HYPERLINK("http://141.218.60.56/~jnz1568/getInfo.php?workbook=06_02.xlsx&amp;sheet=A0&amp;row=539&amp;col=16&amp;number=5208&amp;sourceID=32","5208")</f>
        <v>5208</v>
      </c>
      <c r="Q539" s="4" t="str">
        <f>HYPERLINK("http://141.218.60.56/~jnz1568/getInfo.php?workbook=06_02.xlsx&amp;sheet=A0&amp;row=539&amp;col=17&amp;number=4.101e-06&amp;sourceID=32","4.101e-06")</f>
        <v>4.101e-06</v>
      </c>
      <c r="R539" s="4" t="str">
        <f>HYPERLINK("http://141.218.60.56/~jnz1568/getInfo.php?workbook=06_02.xlsx&amp;sheet=A0&amp;row=539&amp;col=18&amp;number=&amp;sourceID=32","")</f>
        <v/>
      </c>
    </row>
    <row r="540" spans="1:18">
      <c r="A540" s="3">
        <v>6</v>
      </c>
      <c r="B540" s="3">
        <v>2</v>
      </c>
      <c r="C540" s="3">
        <v>37</v>
      </c>
      <c r="D540" s="3">
        <v>15</v>
      </c>
      <c r="E540" s="3">
        <f>((1/(INDEX(E0!J$4:J$52,C540,1)-INDEX(E0!J$4:J$52,D540,1))))*100000000</f>
        <v>0</v>
      </c>
      <c r="F540" s="4" t="str">
        <f>HYPERLINK("http://141.218.60.56/~jnz1568/getInfo.php?workbook=06_02.xlsx&amp;sheet=A0&amp;row=540&amp;col=6&amp;number=&amp;sourceID=27","")</f>
        <v/>
      </c>
      <c r="G540" s="4" t="str">
        <f>HYPERLINK("http://141.218.60.56/~jnz1568/getInfo.php?workbook=06_02.xlsx&amp;sheet=A0&amp;row=540&amp;col=7&amp;number=&amp;sourceID=34","")</f>
        <v/>
      </c>
      <c r="H540" s="4" t="str">
        <f>HYPERLINK("http://141.218.60.56/~jnz1568/getInfo.php?workbook=06_02.xlsx&amp;sheet=A0&amp;row=540&amp;col=8&amp;number=&amp;sourceID=34","")</f>
        <v/>
      </c>
      <c r="I540" s="4" t="str">
        <f>HYPERLINK("http://141.218.60.56/~jnz1568/getInfo.php?workbook=06_02.xlsx&amp;sheet=A0&amp;row=540&amp;col=9&amp;number=&amp;sourceID=34","")</f>
        <v/>
      </c>
      <c r="J540" s="4" t="str">
        <f>HYPERLINK("http://141.218.60.56/~jnz1568/getInfo.php?workbook=06_02.xlsx&amp;sheet=A0&amp;row=540&amp;col=10&amp;number=&amp;sourceID=34","")</f>
        <v/>
      </c>
      <c r="K540" s="4" t="str">
        <f>HYPERLINK("http://141.218.60.56/~jnz1568/getInfo.php?workbook=06_02.xlsx&amp;sheet=A0&amp;row=540&amp;col=11&amp;number=&amp;sourceID=30","")</f>
        <v/>
      </c>
      <c r="L540" s="4" t="str">
        <f>HYPERLINK("http://141.218.60.56/~jnz1568/getInfo.php?workbook=06_02.xlsx&amp;sheet=A0&amp;row=540&amp;col=12&amp;number=589.8&amp;sourceID=30","589.8")</f>
        <v>589.8</v>
      </c>
      <c r="M540" s="4" t="str">
        <f>HYPERLINK("http://141.218.60.56/~jnz1568/getInfo.php?workbook=06_02.xlsx&amp;sheet=A0&amp;row=540&amp;col=13&amp;number=&amp;sourceID=30","")</f>
        <v/>
      </c>
      <c r="N540" s="4" t="str">
        <f>HYPERLINK("http://141.218.60.56/~jnz1568/getInfo.php?workbook=06_02.xlsx&amp;sheet=A0&amp;row=540&amp;col=14&amp;number=&amp;sourceID=30","")</f>
        <v/>
      </c>
      <c r="O540" s="4" t="str">
        <f>HYPERLINK("http://141.218.60.56/~jnz1568/getInfo.php?workbook=06_02.xlsx&amp;sheet=A0&amp;row=540&amp;col=15&amp;number=&amp;sourceID=32","")</f>
        <v/>
      </c>
      <c r="P540" s="4" t="str">
        <f>HYPERLINK("http://141.218.60.56/~jnz1568/getInfo.php?workbook=06_02.xlsx&amp;sheet=A0&amp;row=540&amp;col=16&amp;number=597.3&amp;sourceID=32","597.3")</f>
        <v>597.3</v>
      </c>
      <c r="Q540" s="4" t="str">
        <f>HYPERLINK("http://141.218.60.56/~jnz1568/getInfo.php?workbook=06_02.xlsx&amp;sheet=A0&amp;row=540&amp;col=17&amp;number=&amp;sourceID=32","")</f>
        <v/>
      </c>
      <c r="R540" s="4" t="str">
        <f>HYPERLINK("http://141.218.60.56/~jnz1568/getInfo.php?workbook=06_02.xlsx&amp;sheet=A0&amp;row=540&amp;col=18&amp;number=&amp;sourceID=32","")</f>
        <v/>
      </c>
    </row>
    <row r="541" spans="1:18">
      <c r="A541" s="3">
        <v>6</v>
      </c>
      <c r="B541" s="3">
        <v>2</v>
      </c>
      <c r="C541" s="3">
        <v>37</v>
      </c>
      <c r="D541" s="3">
        <v>16</v>
      </c>
      <c r="E541" s="3">
        <f>((1/(INDEX(E0!J$4:J$52,C541,1)-INDEX(E0!J$4:J$52,D541,1))))*100000000</f>
        <v>0</v>
      </c>
      <c r="F541" s="4" t="str">
        <f>HYPERLINK("http://141.218.60.56/~jnz1568/getInfo.php?workbook=06_02.xlsx&amp;sheet=A0&amp;row=541&amp;col=6&amp;number=&amp;sourceID=27","")</f>
        <v/>
      </c>
      <c r="G541" s="4" t="str">
        <f>HYPERLINK("http://141.218.60.56/~jnz1568/getInfo.php?workbook=06_02.xlsx&amp;sheet=A0&amp;row=541&amp;col=7&amp;number=&amp;sourceID=34","")</f>
        <v/>
      </c>
      <c r="H541" s="4" t="str">
        <f>HYPERLINK("http://141.218.60.56/~jnz1568/getInfo.php?workbook=06_02.xlsx&amp;sheet=A0&amp;row=541&amp;col=8&amp;number=&amp;sourceID=34","")</f>
        <v/>
      </c>
      <c r="I541" s="4" t="str">
        <f>HYPERLINK("http://141.218.60.56/~jnz1568/getInfo.php?workbook=06_02.xlsx&amp;sheet=A0&amp;row=541&amp;col=9&amp;number=&amp;sourceID=34","")</f>
        <v/>
      </c>
      <c r="J541" s="4" t="str">
        <f>HYPERLINK("http://141.218.60.56/~jnz1568/getInfo.php?workbook=06_02.xlsx&amp;sheet=A0&amp;row=541&amp;col=10&amp;number=&amp;sourceID=34","")</f>
        <v/>
      </c>
      <c r="K541" s="4" t="str">
        <f>HYPERLINK("http://141.218.60.56/~jnz1568/getInfo.php?workbook=06_02.xlsx&amp;sheet=A0&amp;row=541&amp;col=11&amp;number=&amp;sourceID=30","")</f>
        <v/>
      </c>
      <c r="L541" s="4" t="str">
        <f>HYPERLINK("http://141.218.60.56/~jnz1568/getInfo.php?workbook=06_02.xlsx&amp;sheet=A0&amp;row=541&amp;col=12&amp;number=16.24&amp;sourceID=30","16.24")</f>
        <v>16.24</v>
      </c>
      <c r="M541" s="4" t="str">
        <f>HYPERLINK("http://141.218.60.56/~jnz1568/getInfo.php?workbook=06_02.xlsx&amp;sheet=A0&amp;row=541&amp;col=13&amp;number=0.0005666&amp;sourceID=30","0.0005666")</f>
        <v>0.0005666</v>
      </c>
      <c r="N541" s="4" t="str">
        <f>HYPERLINK("http://141.218.60.56/~jnz1568/getInfo.php?workbook=06_02.xlsx&amp;sheet=A0&amp;row=541&amp;col=14&amp;number=&amp;sourceID=30","")</f>
        <v/>
      </c>
      <c r="O541" s="4" t="str">
        <f>HYPERLINK("http://141.218.60.56/~jnz1568/getInfo.php?workbook=06_02.xlsx&amp;sheet=A0&amp;row=541&amp;col=15&amp;number=&amp;sourceID=32","")</f>
        <v/>
      </c>
      <c r="P541" s="4" t="str">
        <f>HYPERLINK("http://141.218.60.56/~jnz1568/getInfo.php?workbook=06_02.xlsx&amp;sheet=A0&amp;row=541&amp;col=16&amp;number=22.24&amp;sourceID=32","22.24")</f>
        <v>22.24</v>
      </c>
      <c r="Q541" s="4" t="str">
        <f>HYPERLINK("http://141.218.60.56/~jnz1568/getInfo.php?workbook=06_02.xlsx&amp;sheet=A0&amp;row=541&amp;col=17&amp;number=0.0005424&amp;sourceID=32","0.0005424")</f>
        <v>0.0005424</v>
      </c>
      <c r="R541" s="4" t="str">
        <f>HYPERLINK("http://141.218.60.56/~jnz1568/getInfo.php?workbook=06_02.xlsx&amp;sheet=A0&amp;row=541&amp;col=18&amp;number=&amp;sourceID=32","")</f>
        <v/>
      </c>
    </row>
    <row r="542" spans="1:18">
      <c r="A542" s="3">
        <v>6</v>
      </c>
      <c r="B542" s="3">
        <v>2</v>
      </c>
      <c r="C542" s="3">
        <v>37</v>
      </c>
      <c r="D542" s="3">
        <v>17</v>
      </c>
      <c r="E542" s="3">
        <f>((1/(INDEX(E0!J$4:J$52,C542,1)-INDEX(E0!J$4:J$52,D542,1))))*100000000</f>
        <v>0</v>
      </c>
      <c r="F542" s="4" t="str">
        <f>HYPERLINK("http://141.218.60.56/~jnz1568/getInfo.php?workbook=06_02.xlsx&amp;sheet=A0&amp;row=542&amp;col=6&amp;number=&amp;sourceID=27","")</f>
        <v/>
      </c>
      <c r="G542" s="4" t="str">
        <f>HYPERLINK("http://141.218.60.56/~jnz1568/getInfo.php?workbook=06_02.xlsx&amp;sheet=A0&amp;row=542&amp;col=7&amp;number=&amp;sourceID=34","")</f>
        <v/>
      </c>
      <c r="H542" s="4" t="str">
        <f>HYPERLINK("http://141.218.60.56/~jnz1568/getInfo.php?workbook=06_02.xlsx&amp;sheet=A0&amp;row=542&amp;col=8&amp;number=&amp;sourceID=34","")</f>
        <v/>
      </c>
      <c r="I542" s="4" t="str">
        <f>HYPERLINK("http://141.218.60.56/~jnz1568/getInfo.php?workbook=06_02.xlsx&amp;sheet=A0&amp;row=542&amp;col=9&amp;number=&amp;sourceID=34","")</f>
        <v/>
      </c>
      <c r="J542" s="4" t="str">
        <f>HYPERLINK("http://141.218.60.56/~jnz1568/getInfo.php?workbook=06_02.xlsx&amp;sheet=A0&amp;row=542&amp;col=10&amp;number=&amp;sourceID=34","")</f>
        <v/>
      </c>
      <c r="K542" s="4" t="str">
        <f>HYPERLINK("http://141.218.60.56/~jnz1568/getInfo.php?workbook=06_02.xlsx&amp;sheet=A0&amp;row=542&amp;col=11&amp;number=24160&amp;sourceID=30","24160")</f>
        <v>24160</v>
      </c>
      <c r="L542" s="4" t="str">
        <f>HYPERLINK("http://141.218.60.56/~jnz1568/getInfo.php?workbook=06_02.xlsx&amp;sheet=A0&amp;row=542&amp;col=12&amp;number=&amp;sourceID=30","")</f>
        <v/>
      </c>
      <c r="M542" s="4" t="str">
        <f>HYPERLINK("http://141.218.60.56/~jnz1568/getInfo.php?workbook=06_02.xlsx&amp;sheet=A0&amp;row=542&amp;col=13&amp;number=&amp;sourceID=30","")</f>
        <v/>
      </c>
      <c r="N542" s="4" t="str">
        <f>HYPERLINK("http://141.218.60.56/~jnz1568/getInfo.php?workbook=06_02.xlsx&amp;sheet=A0&amp;row=542&amp;col=14&amp;number=0.01006&amp;sourceID=30","0.01006")</f>
        <v>0.01006</v>
      </c>
      <c r="O542" s="4" t="str">
        <f>HYPERLINK("http://141.218.60.56/~jnz1568/getInfo.php?workbook=06_02.xlsx&amp;sheet=A0&amp;row=542&amp;col=15&amp;number=26500&amp;sourceID=32","26500")</f>
        <v>26500</v>
      </c>
      <c r="P542" s="4" t="str">
        <f>HYPERLINK("http://141.218.60.56/~jnz1568/getInfo.php?workbook=06_02.xlsx&amp;sheet=A0&amp;row=542&amp;col=16&amp;number=&amp;sourceID=32","")</f>
        <v/>
      </c>
      <c r="Q542" s="4" t="str">
        <f>HYPERLINK("http://141.218.60.56/~jnz1568/getInfo.php?workbook=06_02.xlsx&amp;sheet=A0&amp;row=542&amp;col=17&amp;number=&amp;sourceID=32","")</f>
        <v/>
      </c>
      <c r="R542" s="4" t="str">
        <f>HYPERLINK("http://141.218.60.56/~jnz1568/getInfo.php?workbook=06_02.xlsx&amp;sheet=A0&amp;row=542&amp;col=18&amp;number=0.009493&amp;sourceID=32","0.009493")</f>
        <v>0.009493</v>
      </c>
    </row>
    <row r="543" spans="1:18">
      <c r="A543" s="3">
        <v>6</v>
      </c>
      <c r="B543" s="3">
        <v>2</v>
      </c>
      <c r="C543" s="3">
        <v>37</v>
      </c>
      <c r="D543" s="3">
        <v>18</v>
      </c>
      <c r="E543" s="3">
        <f>((1/(INDEX(E0!J$4:J$52,C543,1)-INDEX(E0!J$4:J$52,D543,1))))*100000000</f>
        <v>0</v>
      </c>
      <c r="F543" s="4" t="str">
        <f>HYPERLINK("http://141.218.60.56/~jnz1568/getInfo.php?workbook=06_02.xlsx&amp;sheet=A0&amp;row=543&amp;col=6&amp;number=&amp;sourceID=27","")</f>
        <v/>
      </c>
      <c r="G543" s="4" t="str">
        <f>HYPERLINK("http://141.218.60.56/~jnz1568/getInfo.php?workbook=06_02.xlsx&amp;sheet=A0&amp;row=543&amp;col=7&amp;number=&amp;sourceID=34","")</f>
        <v/>
      </c>
      <c r="H543" s="4" t="str">
        <f>HYPERLINK("http://141.218.60.56/~jnz1568/getInfo.php?workbook=06_02.xlsx&amp;sheet=A0&amp;row=543&amp;col=8&amp;number=&amp;sourceID=34","")</f>
        <v/>
      </c>
      <c r="I543" s="4" t="str">
        <f>HYPERLINK("http://141.218.60.56/~jnz1568/getInfo.php?workbook=06_02.xlsx&amp;sheet=A0&amp;row=543&amp;col=9&amp;number=&amp;sourceID=34","")</f>
        <v/>
      </c>
      <c r="J543" s="4" t="str">
        <f>HYPERLINK("http://141.218.60.56/~jnz1568/getInfo.php?workbook=06_02.xlsx&amp;sheet=A0&amp;row=543&amp;col=10&amp;number=&amp;sourceID=34","")</f>
        <v/>
      </c>
      <c r="K543" s="4" t="str">
        <f>HYPERLINK("http://141.218.60.56/~jnz1568/getInfo.php?workbook=06_02.xlsx&amp;sheet=A0&amp;row=543&amp;col=11&amp;number=&amp;sourceID=30","")</f>
        <v/>
      </c>
      <c r="L543" s="4" t="str">
        <f>HYPERLINK("http://141.218.60.56/~jnz1568/getInfo.php?workbook=06_02.xlsx&amp;sheet=A0&amp;row=543&amp;col=12&amp;number=9884&amp;sourceID=30","9884")</f>
        <v>9884</v>
      </c>
      <c r="M543" s="4" t="str">
        <f>HYPERLINK("http://141.218.60.56/~jnz1568/getInfo.php?workbook=06_02.xlsx&amp;sheet=A0&amp;row=543&amp;col=13&amp;number=2.976e-06&amp;sourceID=30","2.976e-06")</f>
        <v>2.976e-06</v>
      </c>
      <c r="N543" s="4" t="str">
        <f>HYPERLINK("http://141.218.60.56/~jnz1568/getInfo.php?workbook=06_02.xlsx&amp;sheet=A0&amp;row=543&amp;col=14&amp;number=&amp;sourceID=30","")</f>
        <v/>
      </c>
      <c r="O543" s="4" t="str">
        <f>HYPERLINK("http://141.218.60.56/~jnz1568/getInfo.php?workbook=06_02.xlsx&amp;sheet=A0&amp;row=543&amp;col=15&amp;number=&amp;sourceID=32","")</f>
        <v/>
      </c>
      <c r="P543" s="4" t="str">
        <f>HYPERLINK("http://141.218.60.56/~jnz1568/getInfo.php?workbook=06_02.xlsx&amp;sheet=A0&amp;row=543&amp;col=16&amp;number=10110&amp;sourceID=32","10110")</f>
        <v>10110</v>
      </c>
      <c r="Q543" s="4" t="str">
        <f>HYPERLINK("http://141.218.60.56/~jnz1568/getInfo.php?workbook=06_02.xlsx&amp;sheet=A0&amp;row=543&amp;col=17&amp;number=3.344e-06&amp;sourceID=32","3.344e-06")</f>
        <v>3.344e-06</v>
      </c>
      <c r="R543" s="4" t="str">
        <f>HYPERLINK("http://141.218.60.56/~jnz1568/getInfo.php?workbook=06_02.xlsx&amp;sheet=A0&amp;row=543&amp;col=18&amp;number=&amp;sourceID=32","")</f>
        <v/>
      </c>
    </row>
    <row r="544" spans="1:18">
      <c r="A544" s="3">
        <v>6</v>
      </c>
      <c r="B544" s="3">
        <v>2</v>
      </c>
      <c r="C544" s="3">
        <v>37</v>
      </c>
      <c r="D544" s="3">
        <v>19</v>
      </c>
      <c r="E544" s="3">
        <f>((1/(INDEX(E0!J$4:J$52,C544,1)-INDEX(E0!J$4:J$52,D544,1))))*100000000</f>
        <v>0</v>
      </c>
      <c r="F544" s="4" t="str">
        <f>HYPERLINK("http://141.218.60.56/~jnz1568/getInfo.php?workbook=06_02.xlsx&amp;sheet=A0&amp;row=544&amp;col=6&amp;number=&amp;sourceID=27","")</f>
        <v/>
      </c>
      <c r="G544" s="4" t="str">
        <f>HYPERLINK("http://141.218.60.56/~jnz1568/getInfo.php?workbook=06_02.xlsx&amp;sheet=A0&amp;row=544&amp;col=7&amp;number=&amp;sourceID=34","")</f>
        <v/>
      </c>
      <c r="H544" s="4" t="str">
        <f>HYPERLINK("http://141.218.60.56/~jnz1568/getInfo.php?workbook=06_02.xlsx&amp;sheet=A0&amp;row=544&amp;col=8&amp;number=&amp;sourceID=34","")</f>
        <v/>
      </c>
      <c r="I544" s="4" t="str">
        <f>HYPERLINK("http://141.218.60.56/~jnz1568/getInfo.php?workbook=06_02.xlsx&amp;sheet=A0&amp;row=544&amp;col=9&amp;number=&amp;sourceID=34","")</f>
        <v/>
      </c>
      <c r="J544" s="4" t="str">
        <f>HYPERLINK("http://141.218.60.56/~jnz1568/getInfo.php?workbook=06_02.xlsx&amp;sheet=A0&amp;row=544&amp;col=10&amp;number=&amp;sourceID=34","")</f>
        <v/>
      </c>
      <c r="K544" s="4" t="str">
        <f>HYPERLINK("http://141.218.60.56/~jnz1568/getInfo.php?workbook=06_02.xlsx&amp;sheet=A0&amp;row=544&amp;col=11&amp;number=&amp;sourceID=30","")</f>
        <v/>
      </c>
      <c r="L544" s="4" t="str">
        <f>HYPERLINK("http://141.218.60.56/~jnz1568/getInfo.php?workbook=06_02.xlsx&amp;sheet=A0&amp;row=544&amp;col=12&amp;number=&amp;sourceID=30","")</f>
        <v/>
      </c>
      <c r="M544" s="4" t="str">
        <f>HYPERLINK("http://141.218.60.56/~jnz1568/getInfo.php?workbook=06_02.xlsx&amp;sheet=A0&amp;row=544&amp;col=13&amp;number=5.587e-08&amp;sourceID=30","5.587e-08")</f>
        <v>5.587e-08</v>
      </c>
      <c r="N544" s="4" t="str">
        <f>HYPERLINK("http://141.218.60.56/~jnz1568/getInfo.php?workbook=06_02.xlsx&amp;sheet=A0&amp;row=544&amp;col=14&amp;number=&amp;sourceID=30","")</f>
        <v/>
      </c>
      <c r="O544" s="4" t="str">
        <f>HYPERLINK("http://141.218.60.56/~jnz1568/getInfo.php?workbook=06_02.xlsx&amp;sheet=A0&amp;row=544&amp;col=15&amp;number=&amp;sourceID=32","")</f>
        <v/>
      </c>
      <c r="P544" s="4" t="str">
        <f>HYPERLINK("http://141.218.60.56/~jnz1568/getInfo.php?workbook=06_02.xlsx&amp;sheet=A0&amp;row=544&amp;col=16&amp;number=&amp;sourceID=32","")</f>
        <v/>
      </c>
      <c r="Q544" s="4" t="str">
        <f>HYPERLINK("http://141.218.60.56/~jnz1568/getInfo.php?workbook=06_02.xlsx&amp;sheet=A0&amp;row=544&amp;col=17&amp;number=1.258e-07&amp;sourceID=32","1.258e-07")</f>
        <v>1.258e-07</v>
      </c>
      <c r="R544" s="4" t="str">
        <f>HYPERLINK("http://141.218.60.56/~jnz1568/getInfo.php?workbook=06_02.xlsx&amp;sheet=A0&amp;row=544&amp;col=18&amp;number=&amp;sourceID=32","")</f>
        <v/>
      </c>
    </row>
    <row r="545" spans="1:18">
      <c r="A545" s="3">
        <v>6</v>
      </c>
      <c r="B545" s="3">
        <v>2</v>
      </c>
      <c r="C545" s="3">
        <v>37</v>
      </c>
      <c r="D545" s="3">
        <v>20</v>
      </c>
      <c r="E545" s="3">
        <f>((1/(INDEX(E0!J$4:J$52,C545,1)-INDEX(E0!J$4:J$52,D545,1))))*100000000</f>
        <v>0</v>
      </c>
      <c r="F545" s="4" t="str">
        <f>HYPERLINK("http://141.218.60.56/~jnz1568/getInfo.php?workbook=06_02.xlsx&amp;sheet=A0&amp;row=545&amp;col=6&amp;number=&amp;sourceID=27","")</f>
        <v/>
      </c>
      <c r="G545" s="4" t="str">
        <f>HYPERLINK("http://141.218.60.56/~jnz1568/getInfo.php?workbook=06_02.xlsx&amp;sheet=A0&amp;row=545&amp;col=7&amp;number=&amp;sourceID=34","")</f>
        <v/>
      </c>
      <c r="H545" s="4" t="str">
        <f>HYPERLINK("http://141.218.60.56/~jnz1568/getInfo.php?workbook=06_02.xlsx&amp;sheet=A0&amp;row=545&amp;col=8&amp;number=&amp;sourceID=34","")</f>
        <v/>
      </c>
      <c r="I545" s="4" t="str">
        <f>HYPERLINK("http://141.218.60.56/~jnz1568/getInfo.php?workbook=06_02.xlsx&amp;sheet=A0&amp;row=545&amp;col=9&amp;number=&amp;sourceID=34","")</f>
        <v/>
      </c>
      <c r="J545" s="4" t="str">
        <f>HYPERLINK("http://141.218.60.56/~jnz1568/getInfo.php?workbook=06_02.xlsx&amp;sheet=A0&amp;row=545&amp;col=10&amp;number=&amp;sourceID=34","")</f>
        <v/>
      </c>
      <c r="K545" s="4" t="str">
        <f>HYPERLINK("http://141.218.60.56/~jnz1568/getInfo.php?workbook=06_02.xlsx&amp;sheet=A0&amp;row=545&amp;col=11&amp;number=484900000&amp;sourceID=30","484900000")</f>
        <v>484900000</v>
      </c>
      <c r="L545" s="4" t="str">
        <f>HYPERLINK("http://141.218.60.56/~jnz1568/getInfo.php?workbook=06_02.xlsx&amp;sheet=A0&amp;row=545&amp;col=12&amp;number=&amp;sourceID=30","")</f>
        <v/>
      </c>
      <c r="M545" s="4" t="str">
        <f>HYPERLINK("http://141.218.60.56/~jnz1568/getInfo.php?workbook=06_02.xlsx&amp;sheet=A0&amp;row=545&amp;col=13&amp;number=&amp;sourceID=30","")</f>
        <v/>
      </c>
      <c r="N545" s="4" t="str">
        <f>HYPERLINK("http://141.218.60.56/~jnz1568/getInfo.php?workbook=06_02.xlsx&amp;sheet=A0&amp;row=545&amp;col=14&amp;number=&amp;sourceID=30","")</f>
        <v/>
      </c>
      <c r="O545" s="4" t="str">
        <f>HYPERLINK("http://141.218.60.56/~jnz1568/getInfo.php?workbook=06_02.xlsx&amp;sheet=A0&amp;row=545&amp;col=15&amp;number=488900000&amp;sourceID=32","488900000")</f>
        <v>488900000</v>
      </c>
      <c r="P545" s="4" t="str">
        <f>HYPERLINK("http://141.218.60.56/~jnz1568/getInfo.php?workbook=06_02.xlsx&amp;sheet=A0&amp;row=545&amp;col=16&amp;number=&amp;sourceID=32","")</f>
        <v/>
      </c>
      <c r="Q545" s="4" t="str">
        <f>HYPERLINK("http://141.218.60.56/~jnz1568/getInfo.php?workbook=06_02.xlsx&amp;sheet=A0&amp;row=545&amp;col=17&amp;number=&amp;sourceID=32","")</f>
        <v/>
      </c>
      <c r="R545" s="4" t="str">
        <f>HYPERLINK("http://141.218.60.56/~jnz1568/getInfo.php?workbook=06_02.xlsx&amp;sheet=A0&amp;row=545&amp;col=18&amp;number=&amp;sourceID=32","")</f>
        <v/>
      </c>
    </row>
    <row r="546" spans="1:18">
      <c r="A546" s="3">
        <v>6</v>
      </c>
      <c r="B546" s="3">
        <v>2</v>
      </c>
      <c r="C546" s="3">
        <v>37</v>
      </c>
      <c r="D546" s="3">
        <v>21</v>
      </c>
      <c r="E546" s="3">
        <f>((1/(INDEX(E0!J$4:J$52,C546,1)-INDEX(E0!J$4:J$52,D546,1))))*100000000</f>
        <v>0</v>
      </c>
      <c r="F546" s="4" t="str">
        <f>HYPERLINK("http://141.218.60.56/~jnz1568/getInfo.php?workbook=06_02.xlsx&amp;sheet=A0&amp;row=546&amp;col=6&amp;number=&amp;sourceID=27","")</f>
        <v/>
      </c>
      <c r="G546" s="4" t="str">
        <f>HYPERLINK("http://141.218.60.56/~jnz1568/getInfo.php?workbook=06_02.xlsx&amp;sheet=A0&amp;row=546&amp;col=7&amp;number=&amp;sourceID=34","")</f>
        <v/>
      </c>
      <c r="H546" s="4" t="str">
        <f>HYPERLINK("http://141.218.60.56/~jnz1568/getInfo.php?workbook=06_02.xlsx&amp;sheet=A0&amp;row=546&amp;col=8&amp;number=&amp;sourceID=34","")</f>
        <v/>
      </c>
      <c r="I546" s="4" t="str">
        <f>HYPERLINK("http://141.218.60.56/~jnz1568/getInfo.php?workbook=06_02.xlsx&amp;sheet=A0&amp;row=546&amp;col=9&amp;number=&amp;sourceID=34","")</f>
        <v/>
      </c>
      <c r="J546" s="4" t="str">
        <f>HYPERLINK("http://141.218.60.56/~jnz1568/getInfo.php?workbook=06_02.xlsx&amp;sheet=A0&amp;row=546&amp;col=10&amp;number=&amp;sourceID=34","")</f>
        <v/>
      </c>
      <c r="K546" s="4" t="str">
        <f>HYPERLINK("http://141.218.60.56/~jnz1568/getInfo.php?workbook=06_02.xlsx&amp;sheet=A0&amp;row=546&amp;col=11&amp;number=363700000&amp;sourceID=30","363700000")</f>
        <v>363700000</v>
      </c>
      <c r="L546" s="4" t="str">
        <f>HYPERLINK("http://141.218.60.56/~jnz1568/getInfo.php?workbook=06_02.xlsx&amp;sheet=A0&amp;row=546&amp;col=12&amp;number=&amp;sourceID=30","")</f>
        <v/>
      </c>
      <c r="M546" s="4" t="str">
        <f>HYPERLINK("http://141.218.60.56/~jnz1568/getInfo.php?workbook=06_02.xlsx&amp;sheet=A0&amp;row=546&amp;col=13&amp;number=&amp;sourceID=30","")</f>
        <v/>
      </c>
      <c r="N546" s="4" t="str">
        <f>HYPERLINK("http://141.218.60.56/~jnz1568/getInfo.php?workbook=06_02.xlsx&amp;sheet=A0&amp;row=546&amp;col=14&amp;number=0.0008867&amp;sourceID=30","0.0008867")</f>
        <v>0.0008867</v>
      </c>
      <c r="O546" s="4" t="str">
        <f>HYPERLINK("http://141.218.60.56/~jnz1568/getInfo.php?workbook=06_02.xlsx&amp;sheet=A0&amp;row=546&amp;col=15&amp;number=366700000&amp;sourceID=32","366700000")</f>
        <v>366700000</v>
      </c>
      <c r="P546" s="4" t="str">
        <f>HYPERLINK("http://141.218.60.56/~jnz1568/getInfo.php?workbook=06_02.xlsx&amp;sheet=A0&amp;row=546&amp;col=16&amp;number=&amp;sourceID=32","")</f>
        <v/>
      </c>
      <c r="Q546" s="4" t="str">
        <f>HYPERLINK("http://141.218.60.56/~jnz1568/getInfo.php?workbook=06_02.xlsx&amp;sheet=A0&amp;row=546&amp;col=17&amp;number=&amp;sourceID=32","")</f>
        <v/>
      </c>
      <c r="R546" s="4" t="str">
        <f>HYPERLINK("http://141.218.60.56/~jnz1568/getInfo.php?workbook=06_02.xlsx&amp;sheet=A0&amp;row=546&amp;col=18&amp;number=0.0008975&amp;sourceID=32","0.0008975")</f>
        <v>0.0008975</v>
      </c>
    </row>
    <row r="547" spans="1:18">
      <c r="A547" s="3">
        <v>6</v>
      </c>
      <c r="B547" s="3">
        <v>2</v>
      </c>
      <c r="C547" s="3">
        <v>37</v>
      </c>
      <c r="D547" s="3">
        <v>22</v>
      </c>
      <c r="E547" s="3">
        <f>((1/(INDEX(E0!J$4:J$52,C547,1)-INDEX(E0!J$4:J$52,D547,1))))*100000000</f>
        <v>0</v>
      </c>
      <c r="F547" s="4" t="str">
        <f>HYPERLINK("http://141.218.60.56/~jnz1568/getInfo.php?workbook=06_02.xlsx&amp;sheet=A0&amp;row=547&amp;col=6&amp;number=&amp;sourceID=27","")</f>
        <v/>
      </c>
      <c r="G547" s="4" t="str">
        <f>HYPERLINK("http://141.218.60.56/~jnz1568/getInfo.php?workbook=06_02.xlsx&amp;sheet=A0&amp;row=547&amp;col=7&amp;number=&amp;sourceID=34","")</f>
        <v/>
      </c>
      <c r="H547" s="4" t="str">
        <f>HYPERLINK("http://141.218.60.56/~jnz1568/getInfo.php?workbook=06_02.xlsx&amp;sheet=A0&amp;row=547&amp;col=8&amp;number=&amp;sourceID=34","")</f>
        <v/>
      </c>
      <c r="I547" s="4" t="str">
        <f>HYPERLINK("http://141.218.60.56/~jnz1568/getInfo.php?workbook=06_02.xlsx&amp;sheet=A0&amp;row=547&amp;col=9&amp;number=&amp;sourceID=34","")</f>
        <v/>
      </c>
      <c r="J547" s="4" t="str">
        <f>HYPERLINK("http://141.218.60.56/~jnz1568/getInfo.php?workbook=06_02.xlsx&amp;sheet=A0&amp;row=547&amp;col=10&amp;number=&amp;sourceID=34","")</f>
        <v/>
      </c>
      <c r="K547" s="4" t="str">
        <f>HYPERLINK("http://141.218.60.56/~jnz1568/getInfo.php?workbook=06_02.xlsx&amp;sheet=A0&amp;row=547&amp;col=11&amp;number=24240000&amp;sourceID=30","24240000")</f>
        <v>24240000</v>
      </c>
      <c r="L547" s="4" t="str">
        <f>HYPERLINK("http://141.218.60.56/~jnz1568/getInfo.php?workbook=06_02.xlsx&amp;sheet=A0&amp;row=547&amp;col=12&amp;number=&amp;sourceID=30","")</f>
        <v/>
      </c>
      <c r="M547" s="4" t="str">
        <f>HYPERLINK("http://141.218.60.56/~jnz1568/getInfo.php?workbook=06_02.xlsx&amp;sheet=A0&amp;row=547&amp;col=13&amp;number=&amp;sourceID=30","")</f>
        <v/>
      </c>
      <c r="N547" s="4" t="str">
        <f>HYPERLINK("http://141.218.60.56/~jnz1568/getInfo.php?workbook=06_02.xlsx&amp;sheet=A0&amp;row=547&amp;col=14&amp;number=4.619e-11&amp;sourceID=30","4.619e-11")</f>
        <v>4.619e-11</v>
      </c>
      <c r="O547" s="4" t="str">
        <f>HYPERLINK("http://141.218.60.56/~jnz1568/getInfo.php?workbook=06_02.xlsx&amp;sheet=A0&amp;row=547&amp;col=15&amp;number=24440000&amp;sourceID=32","24440000")</f>
        <v>24440000</v>
      </c>
      <c r="P547" s="4" t="str">
        <f>HYPERLINK("http://141.218.60.56/~jnz1568/getInfo.php?workbook=06_02.xlsx&amp;sheet=A0&amp;row=547&amp;col=16&amp;number=&amp;sourceID=32","")</f>
        <v/>
      </c>
      <c r="Q547" s="4" t="str">
        <f>HYPERLINK("http://141.218.60.56/~jnz1568/getInfo.php?workbook=06_02.xlsx&amp;sheet=A0&amp;row=547&amp;col=17&amp;number=&amp;sourceID=32","")</f>
        <v/>
      </c>
      <c r="R547" s="4" t="str">
        <f>HYPERLINK("http://141.218.60.56/~jnz1568/getInfo.php?workbook=06_02.xlsx&amp;sheet=A0&amp;row=547&amp;col=18&amp;number=4.849e-11&amp;sourceID=32","4.849e-11")</f>
        <v>4.849e-11</v>
      </c>
    </row>
    <row r="548" spans="1:18">
      <c r="A548" s="3">
        <v>6</v>
      </c>
      <c r="B548" s="3">
        <v>2</v>
      </c>
      <c r="C548" s="3">
        <v>37</v>
      </c>
      <c r="D548" s="3">
        <v>23</v>
      </c>
      <c r="E548" s="3">
        <f>((1/(INDEX(E0!J$4:J$52,C548,1)-INDEX(E0!J$4:J$52,D548,1))))*100000000</f>
        <v>0</v>
      </c>
      <c r="F548" s="4" t="str">
        <f>HYPERLINK("http://141.218.60.56/~jnz1568/getInfo.php?workbook=06_02.xlsx&amp;sheet=A0&amp;row=548&amp;col=6&amp;number=&amp;sourceID=27","")</f>
        <v/>
      </c>
      <c r="G548" s="4" t="str">
        <f>HYPERLINK("http://141.218.60.56/~jnz1568/getInfo.php?workbook=06_02.xlsx&amp;sheet=A0&amp;row=548&amp;col=7&amp;number=&amp;sourceID=34","")</f>
        <v/>
      </c>
      <c r="H548" s="4" t="str">
        <f>HYPERLINK("http://141.218.60.56/~jnz1568/getInfo.php?workbook=06_02.xlsx&amp;sheet=A0&amp;row=548&amp;col=8&amp;number=&amp;sourceID=34","")</f>
        <v/>
      </c>
      <c r="I548" s="4" t="str">
        <f>HYPERLINK("http://141.218.60.56/~jnz1568/getInfo.php?workbook=06_02.xlsx&amp;sheet=A0&amp;row=548&amp;col=9&amp;number=&amp;sourceID=34","")</f>
        <v/>
      </c>
      <c r="J548" s="4" t="str">
        <f>HYPERLINK("http://141.218.60.56/~jnz1568/getInfo.php?workbook=06_02.xlsx&amp;sheet=A0&amp;row=548&amp;col=10&amp;number=&amp;sourceID=34","")</f>
        <v/>
      </c>
      <c r="K548" s="4" t="str">
        <f>HYPERLINK("http://141.218.60.56/~jnz1568/getInfo.php?workbook=06_02.xlsx&amp;sheet=A0&amp;row=548&amp;col=11&amp;number=&amp;sourceID=30","")</f>
        <v/>
      </c>
      <c r="L548" s="4" t="str">
        <f>HYPERLINK("http://141.218.60.56/~jnz1568/getInfo.php?workbook=06_02.xlsx&amp;sheet=A0&amp;row=548&amp;col=12&amp;number=1452&amp;sourceID=30","1452")</f>
        <v>1452</v>
      </c>
      <c r="M548" s="4" t="str">
        <f>HYPERLINK("http://141.218.60.56/~jnz1568/getInfo.php?workbook=06_02.xlsx&amp;sheet=A0&amp;row=548&amp;col=13&amp;number=7.136e-06&amp;sourceID=30","7.136e-06")</f>
        <v>7.136e-06</v>
      </c>
      <c r="N548" s="4" t="str">
        <f>HYPERLINK("http://141.218.60.56/~jnz1568/getInfo.php?workbook=06_02.xlsx&amp;sheet=A0&amp;row=548&amp;col=14&amp;number=&amp;sourceID=30","")</f>
        <v/>
      </c>
      <c r="O548" s="4" t="str">
        <f>HYPERLINK("http://141.218.60.56/~jnz1568/getInfo.php?workbook=06_02.xlsx&amp;sheet=A0&amp;row=548&amp;col=15&amp;number=&amp;sourceID=32","")</f>
        <v/>
      </c>
      <c r="P548" s="4" t="str">
        <f>HYPERLINK("http://141.218.60.56/~jnz1568/getInfo.php?workbook=06_02.xlsx&amp;sheet=A0&amp;row=548&amp;col=16&amp;number=1456&amp;sourceID=32","1456")</f>
        <v>1456</v>
      </c>
      <c r="Q548" s="4" t="str">
        <f>HYPERLINK("http://141.218.60.56/~jnz1568/getInfo.php?workbook=06_02.xlsx&amp;sheet=A0&amp;row=548&amp;col=17&amp;number=8.244e-06&amp;sourceID=32","8.244e-06")</f>
        <v>8.244e-06</v>
      </c>
      <c r="R548" s="4" t="str">
        <f>HYPERLINK("http://141.218.60.56/~jnz1568/getInfo.php?workbook=06_02.xlsx&amp;sheet=A0&amp;row=548&amp;col=18&amp;number=&amp;sourceID=32","")</f>
        <v/>
      </c>
    </row>
    <row r="549" spans="1:18">
      <c r="A549" s="3">
        <v>6</v>
      </c>
      <c r="B549" s="3">
        <v>2</v>
      </c>
      <c r="C549" s="3">
        <v>37</v>
      </c>
      <c r="D549" s="3">
        <v>24</v>
      </c>
      <c r="E549" s="3">
        <f>((1/(INDEX(E0!J$4:J$52,C549,1)-INDEX(E0!J$4:J$52,D549,1))))*100000000</f>
        <v>0</v>
      </c>
      <c r="F549" s="4" t="str">
        <f>HYPERLINK("http://141.218.60.56/~jnz1568/getInfo.php?workbook=06_02.xlsx&amp;sheet=A0&amp;row=549&amp;col=6&amp;number=&amp;sourceID=27","")</f>
        <v/>
      </c>
      <c r="G549" s="4" t="str">
        <f>HYPERLINK("http://141.218.60.56/~jnz1568/getInfo.php?workbook=06_02.xlsx&amp;sheet=A0&amp;row=549&amp;col=7&amp;number=&amp;sourceID=34","")</f>
        <v/>
      </c>
      <c r="H549" s="4" t="str">
        <f>HYPERLINK("http://141.218.60.56/~jnz1568/getInfo.php?workbook=06_02.xlsx&amp;sheet=A0&amp;row=549&amp;col=8&amp;number=&amp;sourceID=34","")</f>
        <v/>
      </c>
      <c r="I549" s="4" t="str">
        <f>HYPERLINK("http://141.218.60.56/~jnz1568/getInfo.php?workbook=06_02.xlsx&amp;sheet=A0&amp;row=549&amp;col=9&amp;number=&amp;sourceID=34","")</f>
        <v/>
      </c>
      <c r="J549" s="4" t="str">
        <f>HYPERLINK("http://141.218.60.56/~jnz1568/getInfo.php?workbook=06_02.xlsx&amp;sheet=A0&amp;row=549&amp;col=10&amp;number=&amp;sourceID=34","")</f>
        <v/>
      </c>
      <c r="K549" s="4" t="str">
        <f>HYPERLINK("http://141.218.60.56/~jnz1568/getInfo.php?workbook=06_02.xlsx&amp;sheet=A0&amp;row=549&amp;col=11&amp;number=&amp;sourceID=30","")</f>
        <v/>
      </c>
      <c r="L549" s="4" t="str">
        <f>HYPERLINK("http://141.218.60.56/~jnz1568/getInfo.php?workbook=06_02.xlsx&amp;sheet=A0&amp;row=549&amp;col=12&amp;number=2417&amp;sourceID=30","2417")</f>
        <v>2417</v>
      </c>
      <c r="M549" s="4" t="str">
        <f>HYPERLINK("http://141.218.60.56/~jnz1568/getInfo.php?workbook=06_02.xlsx&amp;sheet=A0&amp;row=549&amp;col=13&amp;number=1.584e-08&amp;sourceID=30","1.584e-08")</f>
        <v>1.584e-08</v>
      </c>
      <c r="N549" s="4" t="str">
        <f>HYPERLINK("http://141.218.60.56/~jnz1568/getInfo.php?workbook=06_02.xlsx&amp;sheet=A0&amp;row=549&amp;col=14&amp;number=&amp;sourceID=30","")</f>
        <v/>
      </c>
      <c r="O549" s="4" t="str">
        <f>HYPERLINK("http://141.218.60.56/~jnz1568/getInfo.php?workbook=06_02.xlsx&amp;sheet=A0&amp;row=549&amp;col=15&amp;number=&amp;sourceID=32","")</f>
        <v/>
      </c>
      <c r="P549" s="4" t="str">
        <f>HYPERLINK("http://141.218.60.56/~jnz1568/getInfo.php?workbook=06_02.xlsx&amp;sheet=A0&amp;row=549&amp;col=16&amp;number=2422&amp;sourceID=32","2422")</f>
        <v>2422</v>
      </c>
      <c r="Q549" s="4" t="str">
        <f>HYPERLINK("http://141.218.60.56/~jnz1568/getInfo.php?workbook=06_02.xlsx&amp;sheet=A0&amp;row=549&amp;col=17&amp;number=2.334e-08&amp;sourceID=32","2.334e-08")</f>
        <v>2.334e-08</v>
      </c>
      <c r="R549" s="4" t="str">
        <f>HYPERLINK("http://141.218.60.56/~jnz1568/getInfo.php?workbook=06_02.xlsx&amp;sheet=A0&amp;row=549&amp;col=18&amp;number=&amp;sourceID=32","")</f>
        <v/>
      </c>
    </row>
    <row r="550" spans="1:18">
      <c r="A550" s="3">
        <v>6</v>
      </c>
      <c r="B550" s="3">
        <v>2</v>
      </c>
      <c r="C550" s="3">
        <v>37</v>
      </c>
      <c r="D550" s="3">
        <v>25</v>
      </c>
      <c r="E550" s="3">
        <f>((1/(INDEX(E0!J$4:J$52,C550,1)-INDEX(E0!J$4:J$52,D550,1))))*100000000</f>
        <v>0</v>
      </c>
      <c r="F550" s="4" t="str">
        <f>HYPERLINK("http://141.218.60.56/~jnz1568/getInfo.php?workbook=06_02.xlsx&amp;sheet=A0&amp;row=550&amp;col=6&amp;number=&amp;sourceID=27","")</f>
        <v/>
      </c>
      <c r="G550" s="4" t="str">
        <f>HYPERLINK("http://141.218.60.56/~jnz1568/getInfo.php?workbook=06_02.xlsx&amp;sheet=A0&amp;row=550&amp;col=7&amp;number=&amp;sourceID=34","")</f>
        <v/>
      </c>
      <c r="H550" s="4" t="str">
        <f>HYPERLINK("http://141.218.60.56/~jnz1568/getInfo.php?workbook=06_02.xlsx&amp;sheet=A0&amp;row=550&amp;col=8&amp;number=&amp;sourceID=34","")</f>
        <v/>
      </c>
      <c r="I550" s="4" t="str">
        <f>HYPERLINK("http://141.218.60.56/~jnz1568/getInfo.php?workbook=06_02.xlsx&amp;sheet=A0&amp;row=550&amp;col=9&amp;number=&amp;sourceID=34","")</f>
        <v/>
      </c>
      <c r="J550" s="4" t="str">
        <f>HYPERLINK("http://141.218.60.56/~jnz1568/getInfo.php?workbook=06_02.xlsx&amp;sheet=A0&amp;row=550&amp;col=10&amp;number=&amp;sourceID=34","")</f>
        <v/>
      </c>
      <c r="K550" s="4" t="str">
        <f>HYPERLINK("http://141.218.60.56/~jnz1568/getInfo.php?workbook=06_02.xlsx&amp;sheet=A0&amp;row=550&amp;col=11&amp;number=&amp;sourceID=30","")</f>
        <v/>
      </c>
      <c r="L550" s="4" t="str">
        <f>HYPERLINK("http://141.218.60.56/~jnz1568/getInfo.php?workbook=06_02.xlsx&amp;sheet=A0&amp;row=550&amp;col=12&amp;number=276.5&amp;sourceID=30","276.5")</f>
        <v>276.5</v>
      </c>
      <c r="M550" s="4" t="str">
        <f>HYPERLINK("http://141.218.60.56/~jnz1568/getInfo.php?workbook=06_02.xlsx&amp;sheet=A0&amp;row=550&amp;col=13&amp;number=&amp;sourceID=30","")</f>
        <v/>
      </c>
      <c r="N550" s="4" t="str">
        <f>HYPERLINK("http://141.218.60.56/~jnz1568/getInfo.php?workbook=06_02.xlsx&amp;sheet=A0&amp;row=550&amp;col=14&amp;number=&amp;sourceID=30","")</f>
        <v/>
      </c>
      <c r="O550" s="4" t="str">
        <f>HYPERLINK("http://141.218.60.56/~jnz1568/getInfo.php?workbook=06_02.xlsx&amp;sheet=A0&amp;row=550&amp;col=15&amp;number=&amp;sourceID=32","")</f>
        <v/>
      </c>
      <c r="P550" s="4" t="str">
        <f>HYPERLINK("http://141.218.60.56/~jnz1568/getInfo.php?workbook=06_02.xlsx&amp;sheet=A0&amp;row=550&amp;col=16&amp;number=277.2&amp;sourceID=32","277.2")</f>
        <v>277.2</v>
      </c>
      <c r="Q550" s="4" t="str">
        <f>HYPERLINK("http://141.218.60.56/~jnz1568/getInfo.php?workbook=06_02.xlsx&amp;sheet=A0&amp;row=550&amp;col=17&amp;number=&amp;sourceID=32","")</f>
        <v/>
      </c>
      <c r="R550" s="4" t="str">
        <f>HYPERLINK("http://141.218.60.56/~jnz1568/getInfo.php?workbook=06_02.xlsx&amp;sheet=A0&amp;row=550&amp;col=18&amp;number=&amp;sourceID=32","")</f>
        <v/>
      </c>
    </row>
    <row r="551" spans="1:18">
      <c r="A551" s="3">
        <v>6</v>
      </c>
      <c r="B551" s="3">
        <v>2</v>
      </c>
      <c r="C551" s="3">
        <v>37</v>
      </c>
      <c r="D551" s="3">
        <v>26</v>
      </c>
      <c r="E551" s="3">
        <f>((1/(INDEX(E0!J$4:J$52,C551,1)-INDEX(E0!J$4:J$52,D551,1))))*100000000</f>
        <v>0</v>
      </c>
      <c r="F551" s="4" t="str">
        <f>HYPERLINK("http://141.218.60.56/~jnz1568/getInfo.php?workbook=06_02.xlsx&amp;sheet=A0&amp;row=551&amp;col=6&amp;number=&amp;sourceID=27","")</f>
        <v/>
      </c>
      <c r="G551" s="4" t="str">
        <f>HYPERLINK("http://141.218.60.56/~jnz1568/getInfo.php?workbook=06_02.xlsx&amp;sheet=A0&amp;row=551&amp;col=7&amp;number=&amp;sourceID=34","")</f>
        <v/>
      </c>
      <c r="H551" s="4" t="str">
        <f>HYPERLINK("http://141.218.60.56/~jnz1568/getInfo.php?workbook=06_02.xlsx&amp;sheet=A0&amp;row=551&amp;col=8&amp;number=&amp;sourceID=34","")</f>
        <v/>
      </c>
      <c r="I551" s="4" t="str">
        <f>HYPERLINK("http://141.218.60.56/~jnz1568/getInfo.php?workbook=06_02.xlsx&amp;sheet=A0&amp;row=551&amp;col=9&amp;number=&amp;sourceID=34","")</f>
        <v/>
      </c>
      <c r="J551" s="4" t="str">
        <f>HYPERLINK("http://141.218.60.56/~jnz1568/getInfo.php?workbook=06_02.xlsx&amp;sheet=A0&amp;row=551&amp;col=10&amp;number=&amp;sourceID=34","")</f>
        <v/>
      </c>
      <c r="K551" s="4" t="str">
        <f>HYPERLINK("http://141.218.60.56/~jnz1568/getInfo.php?workbook=06_02.xlsx&amp;sheet=A0&amp;row=551&amp;col=11&amp;number=&amp;sourceID=30","")</f>
        <v/>
      </c>
      <c r="L551" s="4" t="str">
        <f>HYPERLINK("http://141.218.60.56/~jnz1568/getInfo.php?workbook=06_02.xlsx&amp;sheet=A0&amp;row=551&amp;col=12&amp;number=&amp;sourceID=30","")</f>
        <v/>
      </c>
      <c r="M551" s="4" t="str">
        <f>HYPERLINK("http://141.218.60.56/~jnz1568/getInfo.php?workbook=06_02.xlsx&amp;sheet=A0&amp;row=551&amp;col=13&amp;number=&amp;sourceID=30","")</f>
        <v/>
      </c>
      <c r="N551" s="4" t="str">
        <f>HYPERLINK("http://141.218.60.56/~jnz1568/getInfo.php?workbook=06_02.xlsx&amp;sheet=A0&amp;row=551&amp;col=14&amp;number=0.0005794&amp;sourceID=30","0.0005794")</f>
        <v>0.0005794</v>
      </c>
      <c r="O551" s="4" t="str">
        <f>HYPERLINK("http://141.218.60.56/~jnz1568/getInfo.php?workbook=06_02.xlsx&amp;sheet=A0&amp;row=551&amp;col=15&amp;number=&amp;sourceID=32","")</f>
        <v/>
      </c>
      <c r="P551" s="4" t="str">
        <f>HYPERLINK("http://141.218.60.56/~jnz1568/getInfo.php?workbook=06_02.xlsx&amp;sheet=A0&amp;row=551&amp;col=16&amp;number=&amp;sourceID=32","")</f>
        <v/>
      </c>
      <c r="Q551" s="4" t="str">
        <f>HYPERLINK("http://141.218.60.56/~jnz1568/getInfo.php?workbook=06_02.xlsx&amp;sheet=A0&amp;row=551&amp;col=17&amp;number=&amp;sourceID=32","")</f>
        <v/>
      </c>
      <c r="R551" s="4" t="str">
        <f>HYPERLINK("http://141.218.60.56/~jnz1568/getInfo.php?workbook=06_02.xlsx&amp;sheet=A0&amp;row=551&amp;col=18&amp;number=4.633e-05&amp;sourceID=32","4.633e-05")</f>
        <v>4.633e-05</v>
      </c>
    </row>
    <row r="552" spans="1:18">
      <c r="A552" s="3">
        <v>6</v>
      </c>
      <c r="B552" s="3">
        <v>2</v>
      </c>
      <c r="C552" s="3">
        <v>37</v>
      </c>
      <c r="D552" s="3">
        <v>27</v>
      </c>
      <c r="E552" s="3">
        <f>((1/(INDEX(E0!J$4:J$52,C552,1)-INDEX(E0!J$4:J$52,D552,1))))*100000000</f>
        <v>0</v>
      </c>
      <c r="F552" s="4" t="str">
        <f>HYPERLINK("http://141.218.60.56/~jnz1568/getInfo.php?workbook=06_02.xlsx&amp;sheet=A0&amp;row=552&amp;col=6&amp;number=&amp;sourceID=27","")</f>
        <v/>
      </c>
      <c r="G552" s="4" t="str">
        <f>HYPERLINK("http://141.218.60.56/~jnz1568/getInfo.php?workbook=06_02.xlsx&amp;sheet=A0&amp;row=552&amp;col=7&amp;number=&amp;sourceID=34","")</f>
        <v/>
      </c>
      <c r="H552" s="4" t="str">
        <f>HYPERLINK("http://141.218.60.56/~jnz1568/getInfo.php?workbook=06_02.xlsx&amp;sheet=A0&amp;row=552&amp;col=8&amp;number=&amp;sourceID=34","")</f>
        <v/>
      </c>
      <c r="I552" s="4" t="str">
        <f>HYPERLINK("http://141.218.60.56/~jnz1568/getInfo.php?workbook=06_02.xlsx&amp;sheet=A0&amp;row=552&amp;col=9&amp;number=&amp;sourceID=34","")</f>
        <v/>
      </c>
      <c r="J552" s="4" t="str">
        <f>HYPERLINK("http://141.218.60.56/~jnz1568/getInfo.php?workbook=06_02.xlsx&amp;sheet=A0&amp;row=552&amp;col=10&amp;number=&amp;sourceID=34","")</f>
        <v/>
      </c>
      <c r="K552" s="4" t="str">
        <f>HYPERLINK("http://141.218.60.56/~jnz1568/getInfo.php?workbook=06_02.xlsx&amp;sheet=A0&amp;row=552&amp;col=11&amp;number=32080000&amp;sourceID=30","32080000")</f>
        <v>32080000</v>
      </c>
      <c r="L552" s="4" t="str">
        <f>HYPERLINK("http://141.218.60.56/~jnz1568/getInfo.php?workbook=06_02.xlsx&amp;sheet=A0&amp;row=552&amp;col=12&amp;number=&amp;sourceID=30","")</f>
        <v/>
      </c>
      <c r="M552" s="4" t="str">
        <f>HYPERLINK("http://141.218.60.56/~jnz1568/getInfo.php?workbook=06_02.xlsx&amp;sheet=A0&amp;row=552&amp;col=13&amp;number=&amp;sourceID=30","")</f>
        <v/>
      </c>
      <c r="N552" s="4" t="str">
        <f>HYPERLINK("http://141.218.60.56/~jnz1568/getInfo.php?workbook=06_02.xlsx&amp;sheet=A0&amp;row=552&amp;col=14&amp;number=0.0002494&amp;sourceID=30","0.0002494")</f>
        <v>0.0002494</v>
      </c>
      <c r="O552" s="4" t="str">
        <f>HYPERLINK("http://141.218.60.56/~jnz1568/getInfo.php?workbook=06_02.xlsx&amp;sheet=A0&amp;row=552&amp;col=15&amp;number=32210000&amp;sourceID=32","32210000")</f>
        <v>32210000</v>
      </c>
      <c r="P552" s="4" t="str">
        <f>HYPERLINK("http://141.218.60.56/~jnz1568/getInfo.php?workbook=06_02.xlsx&amp;sheet=A0&amp;row=552&amp;col=16&amp;number=&amp;sourceID=32","")</f>
        <v/>
      </c>
      <c r="Q552" s="4" t="str">
        <f>HYPERLINK("http://141.218.60.56/~jnz1568/getInfo.php?workbook=06_02.xlsx&amp;sheet=A0&amp;row=552&amp;col=17&amp;number=&amp;sourceID=32","")</f>
        <v/>
      </c>
      <c r="R552" s="4" t="str">
        <f>HYPERLINK("http://141.218.60.56/~jnz1568/getInfo.php?workbook=06_02.xlsx&amp;sheet=A0&amp;row=552&amp;col=18&amp;number=0.0002504&amp;sourceID=32","0.0002504")</f>
        <v>0.0002504</v>
      </c>
    </row>
    <row r="553" spans="1:18">
      <c r="A553" s="3">
        <v>6</v>
      </c>
      <c r="B553" s="3">
        <v>2</v>
      </c>
      <c r="C553" s="3">
        <v>37</v>
      </c>
      <c r="D553" s="3">
        <v>28</v>
      </c>
      <c r="E553" s="3">
        <f>((1/(INDEX(E0!J$4:J$52,C553,1)-INDEX(E0!J$4:J$52,D553,1))))*100000000</f>
        <v>0</v>
      </c>
      <c r="F553" s="4" t="str">
        <f>HYPERLINK("http://141.218.60.56/~jnz1568/getInfo.php?workbook=06_02.xlsx&amp;sheet=A0&amp;row=553&amp;col=6&amp;number=&amp;sourceID=27","")</f>
        <v/>
      </c>
      <c r="G553" s="4" t="str">
        <f>HYPERLINK("http://141.218.60.56/~jnz1568/getInfo.php?workbook=06_02.xlsx&amp;sheet=A0&amp;row=553&amp;col=7&amp;number=&amp;sourceID=34","")</f>
        <v/>
      </c>
      <c r="H553" s="4" t="str">
        <f>HYPERLINK("http://141.218.60.56/~jnz1568/getInfo.php?workbook=06_02.xlsx&amp;sheet=A0&amp;row=553&amp;col=8&amp;number=&amp;sourceID=34","")</f>
        <v/>
      </c>
      <c r="I553" s="4" t="str">
        <f>HYPERLINK("http://141.218.60.56/~jnz1568/getInfo.php?workbook=06_02.xlsx&amp;sheet=A0&amp;row=553&amp;col=9&amp;number=&amp;sourceID=34","")</f>
        <v/>
      </c>
      <c r="J553" s="4" t="str">
        <f>HYPERLINK("http://141.218.60.56/~jnz1568/getInfo.php?workbook=06_02.xlsx&amp;sheet=A0&amp;row=553&amp;col=10&amp;number=&amp;sourceID=34","")</f>
        <v/>
      </c>
      <c r="K553" s="4" t="str">
        <f>HYPERLINK("http://141.218.60.56/~jnz1568/getInfo.php?workbook=06_02.xlsx&amp;sheet=A0&amp;row=553&amp;col=11&amp;number=&amp;sourceID=30","")</f>
        <v/>
      </c>
      <c r="L553" s="4" t="str">
        <f>HYPERLINK("http://141.218.60.56/~jnz1568/getInfo.php?workbook=06_02.xlsx&amp;sheet=A0&amp;row=553&amp;col=12&amp;number=&amp;sourceID=30","")</f>
        <v/>
      </c>
      <c r="M553" s="4" t="str">
        <f>HYPERLINK("http://141.218.60.56/~jnz1568/getInfo.php?workbook=06_02.xlsx&amp;sheet=A0&amp;row=553&amp;col=13&amp;number=&amp;sourceID=30","")</f>
        <v/>
      </c>
      <c r="N553" s="4" t="str">
        <f>HYPERLINK("http://141.218.60.56/~jnz1568/getInfo.php?workbook=06_02.xlsx&amp;sheet=A0&amp;row=553&amp;col=14&amp;number=3.972e-05&amp;sourceID=30","3.972e-05")</f>
        <v>3.972e-05</v>
      </c>
      <c r="O553" s="4" t="str">
        <f>HYPERLINK("http://141.218.60.56/~jnz1568/getInfo.php?workbook=06_02.xlsx&amp;sheet=A0&amp;row=553&amp;col=15&amp;number=&amp;sourceID=32","")</f>
        <v/>
      </c>
      <c r="P553" s="4" t="str">
        <f>HYPERLINK("http://141.218.60.56/~jnz1568/getInfo.php?workbook=06_02.xlsx&amp;sheet=A0&amp;row=553&amp;col=16&amp;number=&amp;sourceID=32","")</f>
        <v/>
      </c>
      <c r="Q553" s="4" t="str">
        <f>HYPERLINK("http://141.218.60.56/~jnz1568/getInfo.php?workbook=06_02.xlsx&amp;sheet=A0&amp;row=553&amp;col=17&amp;number=&amp;sourceID=32","")</f>
        <v/>
      </c>
      <c r="R553" s="4" t="str">
        <f>HYPERLINK("http://141.218.60.56/~jnz1568/getInfo.php?workbook=06_02.xlsx&amp;sheet=A0&amp;row=553&amp;col=18&amp;number=0.000575&amp;sourceID=32","0.000575")</f>
        <v>0.000575</v>
      </c>
    </row>
    <row r="554" spans="1:18">
      <c r="A554" s="3">
        <v>6</v>
      </c>
      <c r="B554" s="3">
        <v>2</v>
      </c>
      <c r="C554" s="3">
        <v>37</v>
      </c>
      <c r="D554" s="3">
        <v>30</v>
      </c>
      <c r="E554" s="3">
        <f>((1/(INDEX(E0!J$4:J$52,C554,1)-INDEX(E0!J$4:J$52,D554,1))))*100000000</f>
        <v>0</v>
      </c>
      <c r="F554" s="4" t="str">
        <f>HYPERLINK("http://141.218.60.56/~jnz1568/getInfo.php?workbook=06_02.xlsx&amp;sheet=A0&amp;row=554&amp;col=6&amp;number=&amp;sourceID=27","")</f>
        <v/>
      </c>
      <c r="G554" s="4" t="str">
        <f>HYPERLINK("http://141.218.60.56/~jnz1568/getInfo.php?workbook=06_02.xlsx&amp;sheet=A0&amp;row=554&amp;col=7&amp;number=&amp;sourceID=34","")</f>
        <v/>
      </c>
      <c r="H554" s="4" t="str">
        <f>HYPERLINK("http://141.218.60.56/~jnz1568/getInfo.php?workbook=06_02.xlsx&amp;sheet=A0&amp;row=554&amp;col=8&amp;number=&amp;sourceID=34","")</f>
        <v/>
      </c>
      <c r="I554" s="4" t="str">
        <f>HYPERLINK("http://141.218.60.56/~jnz1568/getInfo.php?workbook=06_02.xlsx&amp;sheet=A0&amp;row=554&amp;col=9&amp;number=&amp;sourceID=34","")</f>
        <v/>
      </c>
      <c r="J554" s="4" t="str">
        <f>HYPERLINK("http://141.218.60.56/~jnz1568/getInfo.php?workbook=06_02.xlsx&amp;sheet=A0&amp;row=554&amp;col=10&amp;number=&amp;sourceID=34","")</f>
        <v/>
      </c>
      <c r="K554" s="4" t="str">
        <f>HYPERLINK("http://141.218.60.56/~jnz1568/getInfo.php?workbook=06_02.xlsx&amp;sheet=A0&amp;row=554&amp;col=11&amp;number=&amp;sourceID=30","")</f>
        <v/>
      </c>
      <c r="L554" s="4" t="str">
        <f>HYPERLINK("http://141.218.60.56/~jnz1568/getInfo.php?workbook=06_02.xlsx&amp;sheet=A0&amp;row=554&amp;col=12&amp;number=4.48&amp;sourceID=30","4.48")</f>
        <v>4.48</v>
      </c>
      <c r="M554" s="4" t="str">
        <f>HYPERLINK("http://141.218.60.56/~jnz1568/getInfo.php?workbook=06_02.xlsx&amp;sheet=A0&amp;row=554&amp;col=13&amp;number=7.359e-05&amp;sourceID=30","7.359e-05")</f>
        <v>7.359e-05</v>
      </c>
      <c r="N554" s="4" t="str">
        <f>HYPERLINK("http://141.218.60.56/~jnz1568/getInfo.php?workbook=06_02.xlsx&amp;sheet=A0&amp;row=554&amp;col=14&amp;number=&amp;sourceID=30","")</f>
        <v/>
      </c>
      <c r="O554" s="4" t="str">
        <f>HYPERLINK("http://141.218.60.56/~jnz1568/getInfo.php?workbook=06_02.xlsx&amp;sheet=A0&amp;row=554&amp;col=15&amp;number=&amp;sourceID=32","")</f>
        <v/>
      </c>
      <c r="P554" s="4" t="str">
        <f>HYPERLINK("http://141.218.60.56/~jnz1568/getInfo.php?workbook=06_02.xlsx&amp;sheet=A0&amp;row=554&amp;col=16&amp;number=6.132&amp;sourceID=32","6.132")</f>
        <v>6.132</v>
      </c>
      <c r="Q554" s="4" t="str">
        <f>HYPERLINK("http://141.218.60.56/~jnz1568/getInfo.php?workbook=06_02.xlsx&amp;sheet=A0&amp;row=554&amp;col=17&amp;number=7.049e-05&amp;sourceID=32","7.049e-05")</f>
        <v>7.049e-05</v>
      </c>
      <c r="R554" s="4" t="str">
        <f>HYPERLINK("http://141.218.60.56/~jnz1568/getInfo.php?workbook=06_02.xlsx&amp;sheet=A0&amp;row=554&amp;col=18&amp;number=&amp;sourceID=32","")</f>
        <v/>
      </c>
    </row>
    <row r="555" spans="1:18">
      <c r="A555" s="3">
        <v>6</v>
      </c>
      <c r="B555" s="3">
        <v>2</v>
      </c>
      <c r="C555" s="3">
        <v>37</v>
      </c>
      <c r="D555" s="3">
        <v>31</v>
      </c>
      <c r="E555" s="3">
        <f>((1/(INDEX(E0!J$4:J$52,C555,1)-INDEX(E0!J$4:J$52,D555,1))))*100000000</f>
        <v>0</v>
      </c>
      <c r="F555" s="4" t="str">
        <f>HYPERLINK("http://141.218.60.56/~jnz1568/getInfo.php?workbook=06_02.xlsx&amp;sheet=A0&amp;row=555&amp;col=6&amp;number=&amp;sourceID=27","")</f>
        <v/>
      </c>
      <c r="G555" s="4" t="str">
        <f>HYPERLINK("http://141.218.60.56/~jnz1568/getInfo.php?workbook=06_02.xlsx&amp;sheet=A0&amp;row=555&amp;col=7&amp;number=&amp;sourceID=34","")</f>
        <v/>
      </c>
      <c r="H555" s="4" t="str">
        <f>HYPERLINK("http://141.218.60.56/~jnz1568/getInfo.php?workbook=06_02.xlsx&amp;sheet=A0&amp;row=555&amp;col=8&amp;number=&amp;sourceID=34","")</f>
        <v/>
      </c>
      <c r="I555" s="4" t="str">
        <f>HYPERLINK("http://141.218.60.56/~jnz1568/getInfo.php?workbook=06_02.xlsx&amp;sheet=A0&amp;row=555&amp;col=9&amp;number=&amp;sourceID=34","")</f>
        <v/>
      </c>
      <c r="J555" s="4" t="str">
        <f>HYPERLINK("http://141.218.60.56/~jnz1568/getInfo.php?workbook=06_02.xlsx&amp;sheet=A0&amp;row=555&amp;col=10&amp;number=&amp;sourceID=34","")</f>
        <v/>
      </c>
      <c r="K555" s="4" t="str">
        <f>HYPERLINK("http://141.218.60.56/~jnz1568/getInfo.php?workbook=06_02.xlsx&amp;sheet=A0&amp;row=555&amp;col=11&amp;number=11100&amp;sourceID=30","11100")</f>
        <v>11100</v>
      </c>
      <c r="L555" s="4" t="str">
        <f>HYPERLINK("http://141.218.60.56/~jnz1568/getInfo.php?workbook=06_02.xlsx&amp;sheet=A0&amp;row=555&amp;col=12&amp;number=&amp;sourceID=30","")</f>
        <v/>
      </c>
      <c r="M555" s="4" t="str">
        <f>HYPERLINK("http://141.218.60.56/~jnz1568/getInfo.php?workbook=06_02.xlsx&amp;sheet=A0&amp;row=555&amp;col=13&amp;number=&amp;sourceID=30","")</f>
        <v/>
      </c>
      <c r="N555" s="4" t="str">
        <f>HYPERLINK("http://141.218.60.56/~jnz1568/getInfo.php?workbook=06_02.xlsx&amp;sheet=A0&amp;row=555&amp;col=14&amp;number=0.0004339&amp;sourceID=30","0.0004339")</f>
        <v>0.0004339</v>
      </c>
      <c r="O555" s="4" t="str">
        <f>HYPERLINK("http://141.218.60.56/~jnz1568/getInfo.php?workbook=06_02.xlsx&amp;sheet=A0&amp;row=555&amp;col=15&amp;number=12320&amp;sourceID=32","12320")</f>
        <v>12320</v>
      </c>
      <c r="P555" s="4" t="str">
        <f>HYPERLINK("http://141.218.60.56/~jnz1568/getInfo.php?workbook=06_02.xlsx&amp;sheet=A0&amp;row=555&amp;col=16&amp;number=&amp;sourceID=32","")</f>
        <v/>
      </c>
      <c r="Q555" s="4" t="str">
        <f>HYPERLINK("http://141.218.60.56/~jnz1568/getInfo.php?workbook=06_02.xlsx&amp;sheet=A0&amp;row=555&amp;col=17&amp;number=&amp;sourceID=32","")</f>
        <v/>
      </c>
      <c r="R555" s="4" t="str">
        <f>HYPERLINK("http://141.218.60.56/~jnz1568/getInfo.php?workbook=06_02.xlsx&amp;sheet=A0&amp;row=555&amp;col=18&amp;number=0.0004252&amp;sourceID=32","0.0004252")</f>
        <v>0.0004252</v>
      </c>
    </row>
    <row r="556" spans="1:18">
      <c r="A556" s="3">
        <v>6</v>
      </c>
      <c r="B556" s="3">
        <v>2</v>
      </c>
      <c r="C556" s="3">
        <v>37</v>
      </c>
      <c r="D556" s="3">
        <v>32</v>
      </c>
      <c r="E556" s="3">
        <f>((1/(INDEX(E0!J$4:J$52,C556,1)-INDEX(E0!J$4:J$52,D556,1))))*100000000</f>
        <v>0</v>
      </c>
      <c r="F556" s="4" t="str">
        <f>HYPERLINK("http://141.218.60.56/~jnz1568/getInfo.php?workbook=06_02.xlsx&amp;sheet=A0&amp;row=556&amp;col=6&amp;number=&amp;sourceID=27","")</f>
        <v/>
      </c>
      <c r="G556" s="4" t="str">
        <f>HYPERLINK("http://141.218.60.56/~jnz1568/getInfo.php?workbook=06_02.xlsx&amp;sheet=A0&amp;row=556&amp;col=7&amp;number=&amp;sourceID=34","")</f>
        <v/>
      </c>
      <c r="H556" s="4" t="str">
        <f>HYPERLINK("http://141.218.60.56/~jnz1568/getInfo.php?workbook=06_02.xlsx&amp;sheet=A0&amp;row=556&amp;col=8&amp;number=&amp;sourceID=34","")</f>
        <v/>
      </c>
      <c r="I556" s="4" t="str">
        <f>HYPERLINK("http://141.218.60.56/~jnz1568/getInfo.php?workbook=06_02.xlsx&amp;sheet=A0&amp;row=556&amp;col=9&amp;number=&amp;sourceID=34","")</f>
        <v/>
      </c>
      <c r="J556" s="4" t="str">
        <f>HYPERLINK("http://141.218.60.56/~jnz1568/getInfo.php?workbook=06_02.xlsx&amp;sheet=A0&amp;row=556&amp;col=10&amp;number=&amp;sourceID=34","")</f>
        <v/>
      </c>
      <c r="K556" s="4" t="str">
        <f>HYPERLINK("http://141.218.60.56/~jnz1568/getInfo.php?workbook=06_02.xlsx&amp;sheet=A0&amp;row=556&amp;col=11&amp;number=&amp;sourceID=30","")</f>
        <v/>
      </c>
      <c r="L556" s="4" t="str">
        <f>HYPERLINK("http://141.218.60.56/~jnz1568/getInfo.php?workbook=06_02.xlsx&amp;sheet=A0&amp;row=556&amp;col=12&amp;number=0.04403&amp;sourceID=30","0.04403")</f>
        <v>0.04403</v>
      </c>
      <c r="M556" s="4" t="str">
        <f>HYPERLINK("http://141.218.60.56/~jnz1568/getInfo.php?workbook=06_02.xlsx&amp;sheet=A0&amp;row=556&amp;col=13&amp;number=4.801e-08&amp;sourceID=30","4.801e-08")</f>
        <v>4.801e-08</v>
      </c>
      <c r="N556" s="4" t="str">
        <f>HYPERLINK("http://141.218.60.56/~jnz1568/getInfo.php?workbook=06_02.xlsx&amp;sheet=A0&amp;row=556&amp;col=14&amp;number=&amp;sourceID=30","")</f>
        <v/>
      </c>
      <c r="O556" s="4" t="str">
        <f>HYPERLINK("http://141.218.60.56/~jnz1568/getInfo.php?workbook=06_02.xlsx&amp;sheet=A0&amp;row=556&amp;col=15&amp;number=&amp;sourceID=32","")</f>
        <v/>
      </c>
      <c r="P556" s="4" t="str">
        <f>HYPERLINK("http://141.218.60.56/~jnz1568/getInfo.php?workbook=06_02.xlsx&amp;sheet=A0&amp;row=556&amp;col=16&amp;number=0.04531&amp;sourceID=32","0.04531")</f>
        <v>0.04531</v>
      </c>
      <c r="Q556" s="4" t="str">
        <f>HYPERLINK("http://141.218.60.56/~jnz1568/getInfo.php?workbook=06_02.xlsx&amp;sheet=A0&amp;row=556&amp;col=17&amp;number=5.237e-08&amp;sourceID=32","5.237e-08")</f>
        <v>5.237e-08</v>
      </c>
      <c r="R556" s="4" t="str">
        <f>HYPERLINK("http://141.218.60.56/~jnz1568/getInfo.php?workbook=06_02.xlsx&amp;sheet=A0&amp;row=556&amp;col=18&amp;number=&amp;sourceID=32","")</f>
        <v/>
      </c>
    </row>
    <row r="557" spans="1:18">
      <c r="A557" s="3">
        <v>6</v>
      </c>
      <c r="B557" s="3">
        <v>2</v>
      </c>
      <c r="C557" s="3">
        <v>37</v>
      </c>
      <c r="D557" s="3">
        <v>33</v>
      </c>
      <c r="E557" s="3">
        <f>((1/(INDEX(E0!J$4:J$52,C557,1)-INDEX(E0!J$4:J$52,D557,1))))*100000000</f>
        <v>0</v>
      </c>
      <c r="F557" s="4" t="str">
        <f>HYPERLINK("http://141.218.60.56/~jnz1568/getInfo.php?workbook=06_02.xlsx&amp;sheet=A0&amp;row=557&amp;col=6&amp;number=&amp;sourceID=27","")</f>
        <v/>
      </c>
      <c r="G557" s="4" t="str">
        <f>HYPERLINK("http://141.218.60.56/~jnz1568/getInfo.php?workbook=06_02.xlsx&amp;sheet=A0&amp;row=557&amp;col=7&amp;number=&amp;sourceID=34","")</f>
        <v/>
      </c>
      <c r="H557" s="4" t="str">
        <f>HYPERLINK("http://141.218.60.56/~jnz1568/getInfo.php?workbook=06_02.xlsx&amp;sheet=A0&amp;row=557&amp;col=8&amp;number=&amp;sourceID=34","")</f>
        <v/>
      </c>
      <c r="I557" s="4" t="str">
        <f>HYPERLINK("http://141.218.60.56/~jnz1568/getInfo.php?workbook=06_02.xlsx&amp;sheet=A0&amp;row=557&amp;col=9&amp;number=&amp;sourceID=34","")</f>
        <v/>
      </c>
      <c r="J557" s="4" t="str">
        <f>HYPERLINK("http://141.218.60.56/~jnz1568/getInfo.php?workbook=06_02.xlsx&amp;sheet=A0&amp;row=557&amp;col=10&amp;number=&amp;sourceID=34","")</f>
        <v/>
      </c>
      <c r="K557" s="4" t="str">
        <f>HYPERLINK("http://141.218.60.56/~jnz1568/getInfo.php?workbook=06_02.xlsx&amp;sheet=A0&amp;row=557&amp;col=11&amp;number=&amp;sourceID=30","")</f>
        <v/>
      </c>
      <c r="L557" s="4" t="str">
        <f>HYPERLINK("http://141.218.60.56/~jnz1568/getInfo.php?workbook=06_02.xlsx&amp;sheet=A0&amp;row=557&amp;col=12&amp;number=&amp;sourceID=30","")</f>
        <v/>
      </c>
      <c r="M557" s="4" t="str">
        <f>HYPERLINK("http://141.218.60.56/~jnz1568/getInfo.php?workbook=06_02.xlsx&amp;sheet=A0&amp;row=557&amp;col=13&amp;number=1.23e-13&amp;sourceID=30","1.23e-13")</f>
        <v>1.23e-13</v>
      </c>
      <c r="N557" s="4" t="str">
        <f>HYPERLINK("http://141.218.60.56/~jnz1568/getInfo.php?workbook=06_02.xlsx&amp;sheet=A0&amp;row=557&amp;col=14&amp;number=&amp;sourceID=30","")</f>
        <v/>
      </c>
      <c r="O557" s="4" t="str">
        <f>HYPERLINK("http://141.218.60.56/~jnz1568/getInfo.php?workbook=06_02.xlsx&amp;sheet=A0&amp;row=557&amp;col=15&amp;number=&amp;sourceID=32","")</f>
        <v/>
      </c>
      <c r="P557" s="4" t="str">
        <f>HYPERLINK("http://141.218.60.56/~jnz1568/getInfo.php?workbook=06_02.xlsx&amp;sheet=A0&amp;row=557&amp;col=16&amp;number=&amp;sourceID=32","")</f>
        <v/>
      </c>
      <c r="Q557" s="4" t="str">
        <f>HYPERLINK("http://141.218.60.56/~jnz1568/getInfo.php?workbook=06_02.xlsx&amp;sheet=A0&amp;row=557&amp;col=17&amp;number=5.22e-13&amp;sourceID=32","5.22e-13")</f>
        <v>5.22e-13</v>
      </c>
      <c r="R557" s="4" t="str">
        <f>HYPERLINK("http://141.218.60.56/~jnz1568/getInfo.php?workbook=06_02.xlsx&amp;sheet=A0&amp;row=557&amp;col=18&amp;number=&amp;sourceID=32","")</f>
        <v/>
      </c>
    </row>
    <row r="558" spans="1:18">
      <c r="A558" s="3">
        <v>6</v>
      </c>
      <c r="B558" s="3">
        <v>2</v>
      </c>
      <c r="C558" s="3">
        <v>37</v>
      </c>
      <c r="D558" s="3">
        <v>34</v>
      </c>
      <c r="E558" s="3">
        <f>((1/(INDEX(E0!J$4:J$52,C558,1)-INDEX(E0!J$4:J$52,D558,1))))*100000000</f>
        <v>0</v>
      </c>
      <c r="F558" s="4" t="str">
        <f>HYPERLINK("http://141.218.60.56/~jnz1568/getInfo.php?workbook=06_02.xlsx&amp;sheet=A0&amp;row=558&amp;col=6&amp;number=&amp;sourceID=27","")</f>
        <v/>
      </c>
      <c r="G558" s="4" t="str">
        <f>HYPERLINK("http://141.218.60.56/~jnz1568/getInfo.php?workbook=06_02.xlsx&amp;sheet=A0&amp;row=558&amp;col=7&amp;number=&amp;sourceID=34","")</f>
        <v/>
      </c>
      <c r="H558" s="4" t="str">
        <f>HYPERLINK("http://141.218.60.56/~jnz1568/getInfo.php?workbook=06_02.xlsx&amp;sheet=A0&amp;row=558&amp;col=8&amp;number=&amp;sourceID=34","")</f>
        <v/>
      </c>
      <c r="I558" s="4" t="str">
        <f>HYPERLINK("http://141.218.60.56/~jnz1568/getInfo.php?workbook=06_02.xlsx&amp;sheet=A0&amp;row=558&amp;col=9&amp;number=&amp;sourceID=34","")</f>
        <v/>
      </c>
      <c r="J558" s="4" t="str">
        <f>HYPERLINK("http://141.218.60.56/~jnz1568/getInfo.php?workbook=06_02.xlsx&amp;sheet=A0&amp;row=558&amp;col=10&amp;number=&amp;sourceID=34","")</f>
        <v/>
      </c>
      <c r="K558" s="4" t="str">
        <f>HYPERLINK("http://141.218.60.56/~jnz1568/getInfo.php?workbook=06_02.xlsx&amp;sheet=A0&amp;row=558&amp;col=11&amp;number=35120&amp;sourceID=30","35120")</f>
        <v>35120</v>
      </c>
      <c r="L558" s="4" t="str">
        <f>HYPERLINK("http://141.218.60.56/~jnz1568/getInfo.php?workbook=06_02.xlsx&amp;sheet=A0&amp;row=558&amp;col=12&amp;number=&amp;sourceID=30","")</f>
        <v/>
      </c>
      <c r="M558" s="4" t="str">
        <f>HYPERLINK("http://141.218.60.56/~jnz1568/getInfo.php?workbook=06_02.xlsx&amp;sheet=A0&amp;row=558&amp;col=13&amp;number=&amp;sourceID=30","")</f>
        <v/>
      </c>
      <c r="N558" s="4" t="str">
        <f>HYPERLINK("http://141.218.60.56/~jnz1568/getInfo.php?workbook=06_02.xlsx&amp;sheet=A0&amp;row=558&amp;col=14&amp;number=&amp;sourceID=30","")</f>
        <v/>
      </c>
      <c r="O558" s="4" t="str">
        <f>HYPERLINK("http://141.218.60.56/~jnz1568/getInfo.php?workbook=06_02.xlsx&amp;sheet=A0&amp;row=558&amp;col=15&amp;number=40160&amp;sourceID=32","40160")</f>
        <v>40160</v>
      </c>
      <c r="P558" s="4" t="str">
        <f>HYPERLINK("http://141.218.60.56/~jnz1568/getInfo.php?workbook=06_02.xlsx&amp;sheet=A0&amp;row=558&amp;col=16&amp;number=&amp;sourceID=32","")</f>
        <v/>
      </c>
      <c r="Q558" s="4" t="str">
        <f>HYPERLINK("http://141.218.60.56/~jnz1568/getInfo.php?workbook=06_02.xlsx&amp;sheet=A0&amp;row=558&amp;col=17&amp;number=&amp;sourceID=32","")</f>
        <v/>
      </c>
      <c r="R558" s="4" t="str">
        <f>HYPERLINK("http://141.218.60.56/~jnz1568/getInfo.php?workbook=06_02.xlsx&amp;sheet=A0&amp;row=558&amp;col=18&amp;number=&amp;sourceID=32","")</f>
        <v/>
      </c>
    </row>
    <row r="559" spans="1:18">
      <c r="A559" s="3">
        <v>6</v>
      </c>
      <c r="B559" s="3">
        <v>2</v>
      </c>
      <c r="C559" s="3">
        <v>37</v>
      </c>
      <c r="D559" s="3">
        <v>35</v>
      </c>
      <c r="E559" s="3">
        <f>((1/(INDEX(E0!J$4:J$52,C559,1)-INDEX(E0!J$4:J$52,D559,1))))*100000000</f>
        <v>0</v>
      </c>
      <c r="F559" s="4" t="str">
        <f>HYPERLINK("http://141.218.60.56/~jnz1568/getInfo.php?workbook=06_02.xlsx&amp;sheet=A0&amp;row=559&amp;col=6&amp;number=&amp;sourceID=27","")</f>
        <v/>
      </c>
      <c r="G559" s="4" t="str">
        <f>HYPERLINK("http://141.218.60.56/~jnz1568/getInfo.php?workbook=06_02.xlsx&amp;sheet=A0&amp;row=559&amp;col=7&amp;number=&amp;sourceID=34","")</f>
        <v/>
      </c>
      <c r="H559" s="4" t="str">
        <f>HYPERLINK("http://141.218.60.56/~jnz1568/getInfo.php?workbook=06_02.xlsx&amp;sheet=A0&amp;row=559&amp;col=8&amp;number=&amp;sourceID=34","")</f>
        <v/>
      </c>
      <c r="I559" s="4" t="str">
        <f>HYPERLINK("http://141.218.60.56/~jnz1568/getInfo.php?workbook=06_02.xlsx&amp;sheet=A0&amp;row=559&amp;col=9&amp;number=&amp;sourceID=34","")</f>
        <v/>
      </c>
      <c r="J559" s="4" t="str">
        <f>HYPERLINK("http://141.218.60.56/~jnz1568/getInfo.php?workbook=06_02.xlsx&amp;sheet=A0&amp;row=559&amp;col=10&amp;number=&amp;sourceID=34","")</f>
        <v/>
      </c>
      <c r="K559" s="4" t="str">
        <f>HYPERLINK("http://141.218.60.56/~jnz1568/getInfo.php?workbook=06_02.xlsx&amp;sheet=A0&amp;row=559&amp;col=11&amp;number=26340&amp;sourceID=30","26340")</f>
        <v>26340</v>
      </c>
      <c r="L559" s="4" t="str">
        <f>HYPERLINK("http://141.218.60.56/~jnz1568/getInfo.php?workbook=06_02.xlsx&amp;sheet=A0&amp;row=559&amp;col=12&amp;number=&amp;sourceID=30","")</f>
        <v/>
      </c>
      <c r="M559" s="4" t="str">
        <f>HYPERLINK("http://141.218.60.56/~jnz1568/getInfo.php?workbook=06_02.xlsx&amp;sheet=A0&amp;row=559&amp;col=13&amp;number=&amp;sourceID=30","")</f>
        <v/>
      </c>
      <c r="N559" s="4" t="str">
        <f>HYPERLINK("http://141.218.60.56/~jnz1568/getInfo.php?workbook=06_02.xlsx&amp;sheet=A0&amp;row=559&amp;col=14&amp;number=2.168e-11&amp;sourceID=30","2.168e-11")</f>
        <v>2.168e-11</v>
      </c>
      <c r="O559" s="4" t="str">
        <f>HYPERLINK("http://141.218.60.56/~jnz1568/getInfo.php?workbook=06_02.xlsx&amp;sheet=A0&amp;row=559&amp;col=15&amp;number=30000&amp;sourceID=32","30000")</f>
        <v>30000</v>
      </c>
      <c r="P559" s="4" t="str">
        <f>HYPERLINK("http://141.218.60.56/~jnz1568/getInfo.php?workbook=06_02.xlsx&amp;sheet=A0&amp;row=559&amp;col=16&amp;number=&amp;sourceID=32","")</f>
        <v/>
      </c>
      <c r="Q559" s="4" t="str">
        <f>HYPERLINK("http://141.218.60.56/~jnz1568/getInfo.php?workbook=06_02.xlsx&amp;sheet=A0&amp;row=559&amp;col=17&amp;number=&amp;sourceID=32","")</f>
        <v/>
      </c>
      <c r="R559" s="4" t="str">
        <f>HYPERLINK("http://141.218.60.56/~jnz1568/getInfo.php?workbook=06_02.xlsx&amp;sheet=A0&amp;row=559&amp;col=18&amp;number=2.705e-11&amp;sourceID=32","2.705e-11")</f>
        <v>2.705e-11</v>
      </c>
    </row>
    <row r="560" spans="1:18">
      <c r="A560" s="3">
        <v>6</v>
      </c>
      <c r="B560" s="3">
        <v>2</v>
      </c>
      <c r="C560" s="3">
        <v>37</v>
      </c>
      <c r="D560" s="3">
        <v>36</v>
      </c>
      <c r="E560" s="3">
        <f>((1/(INDEX(E0!J$4:J$52,C560,1)-INDEX(E0!J$4:J$52,D560,1))))*100000000</f>
        <v>0</v>
      </c>
      <c r="F560" s="4" t="str">
        <f>HYPERLINK("http://141.218.60.56/~jnz1568/getInfo.php?workbook=06_02.xlsx&amp;sheet=A0&amp;row=560&amp;col=6&amp;number=&amp;sourceID=27","")</f>
        <v/>
      </c>
      <c r="G560" s="4" t="str">
        <f>HYPERLINK("http://141.218.60.56/~jnz1568/getInfo.php?workbook=06_02.xlsx&amp;sheet=A0&amp;row=560&amp;col=7&amp;number=&amp;sourceID=34","")</f>
        <v/>
      </c>
      <c r="H560" s="4" t="str">
        <f>HYPERLINK("http://141.218.60.56/~jnz1568/getInfo.php?workbook=06_02.xlsx&amp;sheet=A0&amp;row=560&amp;col=8&amp;number=&amp;sourceID=34","")</f>
        <v/>
      </c>
      <c r="I560" s="4" t="str">
        <f>HYPERLINK("http://141.218.60.56/~jnz1568/getInfo.php?workbook=06_02.xlsx&amp;sheet=A0&amp;row=560&amp;col=9&amp;number=&amp;sourceID=34","")</f>
        <v/>
      </c>
      <c r="J560" s="4" t="str">
        <f>HYPERLINK("http://141.218.60.56/~jnz1568/getInfo.php?workbook=06_02.xlsx&amp;sheet=A0&amp;row=560&amp;col=10&amp;number=&amp;sourceID=34","")</f>
        <v/>
      </c>
      <c r="K560" s="4" t="str">
        <f>HYPERLINK("http://141.218.60.56/~jnz1568/getInfo.php?workbook=06_02.xlsx&amp;sheet=A0&amp;row=560&amp;col=11&amp;number=1716&amp;sourceID=30","1716")</f>
        <v>1716</v>
      </c>
      <c r="L560" s="4" t="str">
        <f>HYPERLINK("http://141.218.60.56/~jnz1568/getInfo.php?workbook=06_02.xlsx&amp;sheet=A0&amp;row=560&amp;col=12&amp;number=&amp;sourceID=30","")</f>
        <v/>
      </c>
      <c r="M560" s="4" t="str">
        <f>HYPERLINK("http://141.218.60.56/~jnz1568/getInfo.php?workbook=06_02.xlsx&amp;sheet=A0&amp;row=560&amp;col=13&amp;number=&amp;sourceID=30","")</f>
        <v/>
      </c>
      <c r="N560" s="4" t="str">
        <f>HYPERLINK("http://141.218.60.56/~jnz1568/getInfo.php?workbook=06_02.xlsx&amp;sheet=A0&amp;row=560&amp;col=14&amp;number=0&amp;sourceID=30","0")</f>
        <v>0</v>
      </c>
      <c r="O560" s="4" t="str">
        <f>HYPERLINK("http://141.218.60.56/~jnz1568/getInfo.php?workbook=06_02.xlsx&amp;sheet=A0&amp;row=560&amp;col=15&amp;number=1938&amp;sourceID=32","1938")</f>
        <v>1938</v>
      </c>
      <c r="P560" s="4" t="str">
        <f>HYPERLINK("http://141.218.60.56/~jnz1568/getInfo.php?workbook=06_02.xlsx&amp;sheet=A0&amp;row=560&amp;col=16&amp;number=&amp;sourceID=32","")</f>
        <v/>
      </c>
      <c r="Q560" s="4" t="str">
        <f>HYPERLINK("http://141.218.60.56/~jnz1568/getInfo.php?workbook=06_02.xlsx&amp;sheet=A0&amp;row=560&amp;col=17&amp;number=&amp;sourceID=32","")</f>
        <v/>
      </c>
      <c r="R560" s="4" t="str">
        <f>HYPERLINK("http://141.218.60.56/~jnz1568/getInfo.php?workbook=06_02.xlsx&amp;sheet=A0&amp;row=560&amp;col=18&amp;number=0&amp;sourceID=32","0")</f>
        <v>0</v>
      </c>
    </row>
    <row r="561" spans="1:18">
      <c r="A561" s="3">
        <v>6</v>
      </c>
      <c r="B561" s="3">
        <v>2</v>
      </c>
      <c r="C561" s="3">
        <v>38</v>
      </c>
      <c r="D561" s="3">
        <v>1</v>
      </c>
      <c r="E561" s="3">
        <f>((1/(INDEX(E0!J$4:J$52,C561,1)-INDEX(E0!J$4:J$52,D561,1))))*100000000</f>
        <v>0</v>
      </c>
      <c r="F561" s="4" t="str">
        <f>HYPERLINK("http://141.218.60.56/~jnz1568/getInfo.php?workbook=06_02.xlsx&amp;sheet=A0&amp;row=561&amp;col=6&amp;number=&amp;sourceID=27","")</f>
        <v/>
      </c>
      <c r="G561" s="4" t="str">
        <f>HYPERLINK("http://141.218.60.56/~jnz1568/getInfo.php?workbook=06_02.xlsx&amp;sheet=A0&amp;row=561&amp;col=7&amp;number=&amp;sourceID=34","")</f>
        <v/>
      </c>
      <c r="H561" s="4" t="str">
        <f>HYPERLINK("http://141.218.60.56/~jnz1568/getInfo.php?workbook=06_02.xlsx&amp;sheet=A0&amp;row=561&amp;col=8&amp;number=&amp;sourceID=34","")</f>
        <v/>
      </c>
      <c r="I561" s="4" t="str">
        <f>HYPERLINK("http://141.218.60.56/~jnz1568/getInfo.php?workbook=06_02.xlsx&amp;sheet=A0&amp;row=561&amp;col=9&amp;number=&amp;sourceID=34","")</f>
        <v/>
      </c>
      <c r="J561" s="4" t="str">
        <f>HYPERLINK("http://141.218.60.56/~jnz1568/getInfo.php?workbook=06_02.xlsx&amp;sheet=A0&amp;row=561&amp;col=10&amp;number=&amp;sourceID=34","")</f>
        <v/>
      </c>
      <c r="K561" s="4" t="str">
        <f>HYPERLINK("http://141.218.60.56/~jnz1568/getInfo.php?workbook=06_02.xlsx&amp;sheet=A0&amp;row=561&amp;col=11&amp;number=&amp;sourceID=30","")</f>
        <v/>
      </c>
      <c r="L561" s="4" t="str">
        <f>HYPERLINK("http://141.218.60.56/~jnz1568/getInfo.php?workbook=06_02.xlsx&amp;sheet=A0&amp;row=561&amp;col=12&amp;number=385900&amp;sourceID=30","385900")</f>
        <v>385900</v>
      </c>
      <c r="M561" s="4" t="str">
        <f>HYPERLINK("http://141.218.60.56/~jnz1568/getInfo.php?workbook=06_02.xlsx&amp;sheet=A0&amp;row=561&amp;col=13&amp;number=&amp;sourceID=30","")</f>
        <v/>
      </c>
      <c r="N561" s="4" t="str">
        <f>HYPERLINK("http://141.218.60.56/~jnz1568/getInfo.php?workbook=06_02.xlsx&amp;sheet=A0&amp;row=561&amp;col=14&amp;number=&amp;sourceID=30","")</f>
        <v/>
      </c>
      <c r="O561" s="4" t="str">
        <f>HYPERLINK("http://141.218.60.56/~jnz1568/getInfo.php?workbook=06_02.xlsx&amp;sheet=A0&amp;row=561&amp;col=15&amp;number=&amp;sourceID=32","")</f>
        <v/>
      </c>
      <c r="P561" s="4" t="str">
        <f>HYPERLINK("http://141.218.60.56/~jnz1568/getInfo.php?workbook=06_02.xlsx&amp;sheet=A0&amp;row=561&amp;col=16&amp;number=13000&amp;sourceID=32","13000")</f>
        <v>13000</v>
      </c>
      <c r="Q561" s="4" t="str">
        <f>HYPERLINK("http://141.218.60.56/~jnz1568/getInfo.php?workbook=06_02.xlsx&amp;sheet=A0&amp;row=561&amp;col=17&amp;number=&amp;sourceID=32","")</f>
        <v/>
      </c>
      <c r="R561" s="4" t="str">
        <f>HYPERLINK("http://141.218.60.56/~jnz1568/getInfo.php?workbook=06_02.xlsx&amp;sheet=A0&amp;row=561&amp;col=18&amp;number=&amp;sourceID=32","")</f>
        <v/>
      </c>
    </row>
    <row r="562" spans="1:18">
      <c r="A562" s="3">
        <v>6</v>
      </c>
      <c r="B562" s="3">
        <v>2</v>
      </c>
      <c r="C562" s="3">
        <v>38</v>
      </c>
      <c r="D562" s="3">
        <v>2</v>
      </c>
      <c r="E562" s="3">
        <f>((1/(INDEX(E0!J$4:J$52,C562,1)-INDEX(E0!J$4:J$52,D562,1))))*100000000</f>
        <v>0</v>
      </c>
      <c r="F562" s="4" t="str">
        <f>HYPERLINK("http://141.218.60.56/~jnz1568/getInfo.php?workbook=06_02.xlsx&amp;sheet=A0&amp;row=562&amp;col=6&amp;number=&amp;sourceID=27","")</f>
        <v/>
      </c>
      <c r="G562" s="4" t="str">
        <f>HYPERLINK("http://141.218.60.56/~jnz1568/getInfo.php?workbook=06_02.xlsx&amp;sheet=A0&amp;row=562&amp;col=7&amp;number=&amp;sourceID=34","")</f>
        <v/>
      </c>
      <c r="H562" s="4" t="str">
        <f>HYPERLINK("http://141.218.60.56/~jnz1568/getInfo.php?workbook=06_02.xlsx&amp;sheet=A0&amp;row=562&amp;col=8&amp;number=&amp;sourceID=34","")</f>
        <v/>
      </c>
      <c r="I562" s="4" t="str">
        <f>HYPERLINK("http://141.218.60.56/~jnz1568/getInfo.php?workbook=06_02.xlsx&amp;sheet=A0&amp;row=562&amp;col=9&amp;number=&amp;sourceID=34","")</f>
        <v/>
      </c>
      <c r="J562" s="4" t="str">
        <f>HYPERLINK("http://141.218.60.56/~jnz1568/getInfo.php?workbook=06_02.xlsx&amp;sheet=A0&amp;row=562&amp;col=10&amp;number=&amp;sourceID=34","")</f>
        <v/>
      </c>
      <c r="K562" s="4" t="str">
        <f>HYPERLINK("http://141.218.60.56/~jnz1568/getInfo.php?workbook=06_02.xlsx&amp;sheet=A0&amp;row=562&amp;col=11&amp;number=&amp;sourceID=30","")</f>
        <v/>
      </c>
      <c r="L562" s="4" t="str">
        <f>HYPERLINK("http://141.218.60.56/~jnz1568/getInfo.php?workbook=06_02.xlsx&amp;sheet=A0&amp;row=562&amp;col=12&amp;number=13180&amp;sourceID=30","13180")</f>
        <v>13180</v>
      </c>
      <c r="M562" s="4" t="str">
        <f>HYPERLINK("http://141.218.60.56/~jnz1568/getInfo.php?workbook=06_02.xlsx&amp;sheet=A0&amp;row=562&amp;col=13&amp;number=0.0002167&amp;sourceID=30","0.0002167")</f>
        <v>0.0002167</v>
      </c>
      <c r="N562" s="4" t="str">
        <f>HYPERLINK("http://141.218.60.56/~jnz1568/getInfo.php?workbook=06_02.xlsx&amp;sheet=A0&amp;row=562&amp;col=14&amp;number=&amp;sourceID=30","")</f>
        <v/>
      </c>
      <c r="O562" s="4" t="str">
        <f>HYPERLINK("http://141.218.60.56/~jnz1568/getInfo.php?workbook=06_02.xlsx&amp;sheet=A0&amp;row=562&amp;col=15&amp;number=&amp;sourceID=32","")</f>
        <v/>
      </c>
      <c r="P562" s="4" t="str">
        <f>HYPERLINK("http://141.218.60.56/~jnz1568/getInfo.php?workbook=06_02.xlsx&amp;sheet=A0&amp;row=562&amp;col=16&amp;number=66160&amp;sourceID=32","66160")</f>
        <v>66160</v>
      </c>
      <c r="Q562" s="4" t="str">
        <f>HYPERLINK("http://141.218.60.56/~jnz1568/getInfo.php?workbook=06_02.xlsx&amp;sheet=A0&amp;row=562&amp;col=17&amp;number=0.0002669&amp;sourceID=32","0.0002669")</f>
        <v>0.0002669</v>
      </c>
      <c r="R562" s="4" t="str">
        <f>HYPERLINK("http://141.218.60.56/~jnz1568/getInfo.php?workbook=06_02.xlsx&amp;sheet=A0&amp;row=562&amp;col=18&amp;number=&amp;sourceID=32","")</f>
        <v/>
      </c>
    </row>
    <row r="563" spans="1:18">
      <c r="A563" s="3">
        <v>6</v>
      </c>
      <c r="B563" s="3">
        <v>2</v>
      </c>
      <c r="C563" s="3">
        <v>38</v>
      </c>
      <c r="D563" s="3">
        <v>3</v>
      </c>
      <c r="E563" s="3">
        <f>((1/(INDEX(E0!J$4:J$52,C563,1)-INDEX(E0!J$4:J$52,D563,1))))*100000000</f>
        <v>0</v>
      </c>
      <c r="F563" s="4" t="str">
        <f>HYPERLINK("http://141.218.60.56/~jnz1568/getInfo.php?workbook=06_02.xlsx&amp;sheet=A0&amp;row=563&amp;col=6&amp;number=&amp;sourceID=27","")</f>
        <v/>
      </c>
      <c r="G563" s="4" t="str">
        <f>HYPERLINK("http://141.218.60.56/~jnz1568/getInfo.php?workbook=06_02.xlsx&amp;sheet=A0&amp;row=563&amp;col=7&amp;number=&amp;sourceID=34","")</f>
        <v/>
      </c>
      <c r="H563" s="4" t="str">
        <f>HYPERLINK("http://141.218.60.56/~jnz1568/getInfo.php?workbook=06_02.xlsx&amp;sheet=A0&amp;row=563&amp;col=8&amp;number=&amp;sourceID=34","")</f>
        <v/>
      </c>
      <c r="I563" s="4" t="str">
        <f>HYPERLINK("http://141.218.60.56/~jnz1568/getInfo.php?workbook=06_02.xlsx&amp;sheet=A0&amp;row=563&amp;col=9&amp;number=&amp;sourceID=34","")</f>
        <v/>
      </c>
      <c r="J563" s="4" t="str">
        <f>HYPERLINK("http://141.218.60.56/~jnz1568/getInfo.php?workbook=06_02.xlsx&amp;sheet=A0&amp;row=563&amp;col=10&amp;number=&amp;sourceID=34","")</f>
        <v/>
      </c>
      <c r="K563" s="4" t="str">
        <f>HYPERLINK("http://141.218.60.56/~jnz1568/getInfo.php?workbook=06_02.xlsx&amp;sheet=A0&amp;row=563&amp;col=11&amp;number=&amp;sourceID=30","")</f>
        <v/>
      </c>
      <c r="L563" s="4" t="str">
        <f>HYPERLINK("http://141.218.60.56/~jnz1568/getInfo.php?workbook=06_02.xlsx&amp;sheet=A0&amp;row=563&amp;col=12&amp;number=559.7&amp;sourceID=30","559.7")</f>
        <v>559.7</v>
      </c>
      <c r="M563" s="4" t="str">
        <f>HYPERLINK("http://141.218.60.56/~jnz1568/getInfo.php?workbook=06_02.xlsx&amp;sheet=A0&amp;row=563&amp;col=13&amp;number=&amp;sourceID=30","")</f>
        <v/>
      </c>
      <c r="N563" s="4" t="str">
        <f>HYPERLINK("http://141.218.60.56/~jnz1568/getInfo.php?workbook=06_02.xlsx&amp;sheet=A0&amp;row=563&amp;col=14&amp;number=&amp;sourceID=30","")</f>
        <v/>
      </c>
      <c r="O563" s="4" t="str">
        <f>HYPERLINK("http://141.218.60.56/~jnz1568/getInfo.php?workbook=06_02.xlsx&amp;sheet=A0&amp;row=563&amp;col=15&amp;number=&amp;sourceID=32","")</f>
        <v/>
      </c>
      <c r="P563" s="4" t="str">
        <f>HYPERLINK("http://141.218.60.56/~jnz1568/getInfo.php?workbook=06_02.xlsx&amp;sheet=A0&amp;row=563&amp;col=16&amp;number=56.66&amp;sourceID=32","56.66")</f>
        <v>56.66</v>
      </c>
      <c r="Q563" s="4" t="str">
        <f>HYPERLINK("http://141.218.60.56/~jnz1568/getInfo.php?workbook=06_02.xlsx&amp;sheet=A0&amp;row=563&amp;col=17&amp;number=&amp;sourceID=32","")</f>
        <v/>
      </c>
      <c r="R563" s="4" t="str">
        <f>HYPERLINK("http://141.218.60.56/~jnz1568/getInfo.php?workbook=06_02.xlsx&amp;sheet=A0&amp;row=563&amp;col=18&amp;number=&amp;sourceID=32","")</f>
        <v/>
      </c>
    </row>
    <row r="564" spans="1:18">
      <c r="A564" s="3">
        <v>6</v>
      </c>
      <c r="B564" s="3">
        <v>2</v>
      </c>
      <c r="C564" s="3">
        <v>38</v>
      </c>
      <c r="D564" s="3">
        <v>4</v>
      </c>
      <c r="E564" s="3">
        <f>((1/(INDEX(E0!J$4:J$52,C564,1)-INDEX(E0!J$4:J$52,D564,1))))*100000000</f>
        <v>0</v>
      </c>
      <c r="F564" s="4" t="str">
        <f>HYPERLINK("http://141.218.60.56/~jnz1568/getInfo.php?workbook=06_02.xlsx&amp;sheet=A0&amp;row=564&amp;col=6&amp;number=&amp;sourceID=27","")</f>
        <v/>
      </c>
      <c r="G564" s="4" t="str">
        <f>HYPERLINK("http://141.218.60.56/~jnz1568/getInfo.php?workbook=06_02.xlsx&amp;sheet=A0&amp;row=564&amp;col=7&amp;number=4920000000&amp;sourceID=34","4920000000")</f>
        <v>4920000000</v>
      </c>
      <c r="H564" s="4" t="str">
        <f>HYPERLINK("http://141.218.60.56/~jnz1568/getInfo.php?workbook=06_02.xlsx&amp;sheet=A0&amp;row=564&amp;col=8&amp;number=&amp;sourceID=34","")</f>
        <v/>
      </c>
      <c r="I564" s="4" t="str">
        <f>HYPERLINK("http://141.218.60.56/~jnz1568/getInfo.php?workbook=06_02.xlsx&amp;sheet=A0&amp;row=564&amp;col=9&amp;number=&amp;sourceID=34","")</f>
        <v/>
      </c>
      <c r="J564" s="4" t="str">
        <f>HYPERLINK("http://141.218.60.56/~jnz1568/getInfo.php?workbook=06_02.xlsx&amp;sheet=A0&amp;row=564&amp;col=10&amp;number=&amp;sourceID=34","")</f>
        <v/>
      </c>
      <c r="K564" s="4" t="str">
        <f>HYPERLINK("http://141.218.60.56/~jnz1568/getInfo.php?workbook=06_02.xlsx&amp;sheet=A0&amp;row=564&amp;col=11&amp;number=4642000000&amp;sourceID=30","4642000000")</f>
        <v>4642000000</v>
      </c>
      <c r="L564" s="4" t="str">
        <f>HYPERLINK("http://141.218.60.56/~jnz1568/getInfo.php?workbook=06_02.xlsx&amp;sheet=A0&amp;row=564&amp;col=12&amp;number=&amp;sourceID=30","")</f>
        <v/>
      </c>
      <c r="M564" s="4" t="str">
        <f>HYPERLINK("http://141.218.60.56/~jnz1568/getInfo.php?workbook=06_02.xlsx&amp;sheet=A0&amp;row=564&amp;col=13&amp;number=&amp;sourceID=30","")</f>
        <v/>
      </c>
      <c r="N564" s="4" t="str">
        <f>HYPERLINK("http://141.218.60.56/~jnz1568/getInfo.php?workbook=06_02.xlsx&amp;sheet=A0&amp;row=564&amp;col=14&amp;number=7.97&amp;sourceID=30","7.97")</f>
        <v>7.97</v>
      </c>
      <c r="O564" s="4" t="str">
        <f>HYPERLINK("http://141.218.60.56/~jnz1568/getInfo.php?workbook=06_02.xlsx&amp;sheet=A0&amp;row=564&amp;col=15&amp;number=4912000000&amp;sourceID=32","4912000000")</f>
        <v>4912000000</v>
      </c>
      <c r="P564" s="4" t="str">
        <f>HYPERLINK("http://141.218.60.56/~jnz1568/getInfo.php?workbook=06_02.xlsx&amp;sheet=A0&amp;row=564&amp;col=16&amp;number=&amp;sourceID=32","")</f>
        <v/>
      </c>
      <c r="Q564" s="4" t="str">
        <f>HYPERLINK("http://141.218.60.56/~jnz1568/getInfo.php?workbook=06_02.xlsx&amp;sheet=A0&amp;row=564&amp;col=17&amp;number=&amp;sourceID=32","")</f>
        <v/>
      </c>
      <c r="R564" s="4" t="str">
        <f>HYPERLINK("http://141.218.60.56/~jnz1568/getInfo.php?workbook=06_02.xlsx&amp;sheet=A0&amp;row=564&amp;col=18&amp;number=8.373&amp;sourceID=32","8.373")</f>
        <v>8.373</v>
      </c>
    </row>
    <row r="565" spans="1:18">
      <c r="A565" s="3">
        <v>6</v>
      </c>
      <c r="B565" s="3">
        <v>2</v>
      </c>
      <c r="C565" s="3">
        <v>38</v>
      </c>
      <c r="D565" s="3">
        <v>5</v>
      </c>
      <c r="E565" s="3">
        <f>((1/(INDEX(E0!J$4:J$52,C565,1)-INDEX(E0!J$4:J$52,D565,1))))*100000000</f>
        <v>0</v>
      </c>
      <c r="F565" s="4" t="str">
        <f>HYPERLINK("http://141.218.60.56/~jnz1568/getInfo.php?workbook=06_02.xlsx&amp;sheet=A0&amp;row=565&amp;col=6&amp;number=&amp;sourceID=27","")</f>
        <v/>
      </c>
      <c r="G565" s="4" t="str">
        <f>HYPERLINK("http://141.218.60.56/~jnz1568/getInfo.php?workbook=06_02.xlsx&amp;sheet=A0&amp;row=565&amp;col=7&amp;number=&amp;sourceID=34","")</f>
        <v/>
      </c>
      <c r="H565" s="4" t="str">
        <f>HYPERLINK("http://141.218.60.56/~jnz1568/getInfo.php?workbook=06_02.xlsx&amp;sheet=A0&amp;row=565&amp;col=8&amp;number=&amp;sourceID=34","")</f>
        <v/>
      </c>
      <c r="I565" s="4" t="str">
        <f>HYPERLINK("http://141.218.60.56/~jnz1568/getInfo.php?workbook=06_02.xlsx&amp;sheet=A0&amp;row=565&amp;col=9&amp;number=&amp;sourceID=34","")</f>
        <v/>
      </c>
      <c r="J565" s="4" t="str">
        <f>HYPERLINK("http://141.218.60.56/~jnz1568/getInfo.php?workbook=06_02.xlsx&amp;sheet=A0&amp;row=565&amp;col=10&amp;number=&amp;sourceID=34","")</f>
        <v/>
      </c>
      <c r="K565" s="4" t="str">
        <f>HYPERLINK("http://141.218.60.56/~jnz1568/getInfo.php?workbook=06_02.xlsx&amp;sheet=A0&amp;row=565&amp;col=11&amp;number=&amp;sourceID=30","")</f>
        <v/>
      </c>
      <c r="L565" s="4" t="str">
        <f>HYPERLINK("http://141.218.60.56/~jnz1568/getInfo.php?workbook=06_02.xlsx&amp;sheet=A0&amp;row=565&amp;col=12&amp;number=&amp;sourceID=30","")</f>
        <v/>
      </c>
      <c r="M565" s="4" t="str">
        <f>HYPERLINK("http://141.218.60.56/~jnz1568/getInfo.php?workbook=06_02.xlsx&amp;sheet=A0&amp;row=565&amp;col=13&amp;number=&amp;sourceID=30","")</f>
        <v/>
      </c>
      <c r="N565" s="4" t="str">
        <f>HYPERLINK("http://141.218.60.56/~jnz1568/getInfo.php?workbook=06_02.xlsx&amp;sheet=A0&amp;row=565&amp;col=14&amp;number=0.4412&amp;sourceID=30","0.4412")</f>
        <v>0.4412</v>
      </c>
      <c r="O565" s="4" t="str">
        <f>HYPERLINK("http://141.218.60.56/~jnz1568/getInfo.php?workbook=06_02.xlsx&amp;sheet=A0&amp;row=565&amp;col=15&amp;number=&amp;sourceID=32","")</f>
        <v/>
      </c>
      <c r="P565" s="4" t="str">
        <f>HYPERLINK("http://141.218.60.56/~jnz1568/getInfo.php?workbook=06_02.xlsx&amp;sheet=A0&amp;row=565&amp;col=16&amp;number=&amp;sourceID=32","")</f>
        <v/>
      </c>
      <c r="Q565" s="4" t="str">
        <f>HYPERLINK("http://141.218.60.56/~jnz1568/getInfo.php?workbook=06_02.xlsx&amp;sheet=A0&amp;row=565&amp;col=17&amp;number=&amp;sourceID=32","")</f>
        <v/>
      </c>
      <c r="R565" s="4" t="str">
        <f>HYPERLINK("http://141.218.60.56/~jnz1568/getInfo.php?workbook=06_02.xlsx&amp;sheet=A0&amp;row=565&amp;col=18&amp;number=0.4455&amp;sourceID=32","0.4455")</f>
        <v>0.4455</v>
      </c>
    </row>
    <row r="566" spans="1:18">
      <c r="A566" s="3">
        <v>6</v>
      </c>
      <c r="B566" s="3">
        <v>2</v>
      </c>
      <c r="C566" s="3">
        <v>38</v>
      </c>
      <c r="D566" s="3">
        <v>6</v>
      </c>
      <c r="E566" s="3">
        <f>((1/(INDEX(E0!J$4:J$52,C566,1)-INDEX(E0!J$4:J$52,D566,1))))*100000000</f>
        <v>0</v>
      </c>
      <c r="F566" s="4" t="str">
        <f>HYPERLINK("http://141.218.60.56/~jnz1568/getInfo.php?workbook=06_02.xlsx&amp;sheet=A0&amp;row=566&amp;col=6&amp;number=&amp;sourceID=27","")</f>
        <v/>
      </c>
      <c r="G566" s="4" t="str">
        <f>HYPERLINK("http://141.218.60.56/~jnz1568/getInfo.php?workbook=06_02.xlsx&amp;sheet=A0&amp;row=566&amp;col=7&amp;number=1639000000&amp;sourceID=34","1639000000")</f>
        <v>1639000000</v>
      </c>
      <c r="H566" s="4" t="str">
        <f>HYPERLINK("http://141.218.60.56/~jnz1568/getInfo.php?workbook=06_02.xlsx&amp;sheet=A0&amp;row=566&amp;col=8&amp;number=&amp;sourceID=34","")</f>
        <v/>
      </c>
      <c r="I566" s="4" t="str">
        <f>HYPERLINK("http://141.218.60.56/~jnz1568/getInfo.php?workbook=06_02.xlsx&amp;sheet=A0&amp;row=566&amp;col=9&amp;number=&amp;sourceID=34","")</f>
        <v/>
      </c>
      <c r="J566" s="4" t="str">
        <f>HYPERLINK("http://141.218.60.56/~jnz1568/getInfo.php?workbook=06_02.xlsx&amp;sheet=A0&amp;row=566&amp;col=10&amp;number=&amp;sourceID=34","")</f>
        <v/>
      </c>
      <c r="K566" s="4" t="str">
        <f>HYPERLINK("http://141.218.60.56/~jnz1568/getInfo.php?workbook=06_02.xlsx&amp;sheet=A0&amp;row=566&amp;col=11&amp;number=1545000000&amp;sourceID=30","1545000000")</f>
        <v>1545000000</v>
      </c>
      <c r="L566" s="4" t="str">
        <f>HYPERLINK("http://141.218.60.56/~jnz1568/getInfo.php?workbook=06_02.xlsx&amp;sheet=A0&amp;row=566&amp;col=12&amp;number=&amp;sourceID=30","")</f>
        <v/>
      </c>
      <c r="M566" s="4" t="str">
        <f>HYPERLINK("http://141.218.60.56/~jnz1568/getInfo.php?workbook=06_02.xlsx&amp;sheet=A0&amp;row=566&amp;col=13&amp;number=&amp;sourceID=30","")</f>
        <v/>
      </c>
      <c r="N566" s="4" t="str">
        <f>HYPERLINK("http://141.218.60.56/~jnz1568/getInfo.php?workbook=06_02.xlsx&amp;sheet=A0&amp;row=566&amp;col=14&amp;number=3.416&amp;sourceID=30","3.416")</f>
        <v>3.416</v>
      </c>
      <c r="O566" s="4" t="str">
        <f>HYPERLINK("http://141.218.60.56/~jnz1568/getInfo.php?workbook=06_02.xlsx&amp;sheet=A0&amp;row=566&amp;col=15&amp;number=1635000000&amp;sourceID=32","1635000000")</f>
        <v>1635000000</v>
      </c>
      <c r="P566" s="4" t="str">
        <f>HYPERLINK("http://141.218.60.56/~jnz1568/getInfo.php?workbook=06_02.xlsx&amp;sheet=A0&amp;row=566&amp;col=16&amp;number=&amp;sourceID=32","")</f>
        <v/>
      </c>
      <c r="Q566" s="4" t="str">
        <f>HYPERLINK("http://141.218.60.56/~jnz1568/getInfo.php?workbook=06_02.xlsx&amp;sheet=A0&amp;row=566&amp;col=17&amp;number=&amp;sourceID=32","")</f>
        <v/>
      </c>
      <c r="R566" s="4" t="str">
        <f>HYPERLINK("http://141.218.60.56/~jnz1568/getInfo.php?workbook=06_02.xlsx&amp;sheet=A0&amp;row=566&amp;col=18&amp;number=3.588&amp;sourceID=32","3.588")</f>
        <v>3.588</v>
      </c>
    </row>
    <row r="567" spans="1:18">
      <c r="A567" s="3">
        <v>6</v>
      </c>
      <c r="B567" s="3">
        <v>2</v>
      </c>
      <c r="C567" s="3">
        <v>38</v>
      </c>
      <c r="D567" s="3">
        <v>7</v>
      </c>
      <c r="E567" s="3">
        <f>((1/(INDEX(E0!J$4:J$52,C567,1)-INDEX(E0!J$4:J$52,D567,1))))*100000000</f>
        <v>0</v>
      </c>
      <c r="F567" s="4" t="str">
        <f>HYPERLINK("http://141.218.60.56/~jnz1568/getInfo.php?workbook=06_02.xlsx&amp;sheet=A0&amp;row=567&amp;col=6&amp;number=&amp;sourceID=27","")</f>
        <v/>
      </c>
      <c r="G567" s="4" t="str">
        <f>HYPERLINK("http://141.218.60.56/~jnz1568/getInfo.php?workbook=06_02.xlsx&amp;sheet=A0&amp;row=567&amp;col=7&amp;number=&amp;sourceID=34","")</f>
        <v/>
      </c>
      <c r="H567" s="4" t="str">
        <f>HYPERLINK("http://141.218.60.56/~jnz1568/getInfo.php?workbook=06_02.xlsx&amp;sheet=A0&amp;row=567&amp;col=8&amp;number=&amp;sourceID=34","")</f>
        <v/>
      </c>
      <c r="I567" s="4" t="str">
        <f>HYPERLINK("http://141.218.60.56/~jnz1568/getInfo.php?workbook=06_02.xlsx&amp;sheet=A0&amp;row=567&amp;col=9&amp;number=&amp;sourceID=34","")</f>
        <v/>
      </c>
      <c r="J567" s="4" t="str">
        <f>HYPERLINK("http://141.218.60.56/~jnz1568/getInfo.php?workbook=06_02.xlsx&amp;sheet=A0&amp;row=567&amp;col=10&amp;number=&amp;sourceID=34","")</f>
        <v/>
      </c>
      <c r="K567" s="4" t="str">
        <f>HYPERLINK("http://141.218.60.56/~jnz1568/getInfo.php?workbook=06_02.xlsx&amp;sheet=A0&amp;row=567&amp;col=11&amp;number=7960000&amp;sourceID=30","7960000")</f>
        <v>7960000</v>
      </c>
      <c r="L567" s="4" t="str">
        <f>HYPERLINK("http://141.218.60.56/~jnz1568/getInfo.php?workbook=06_02.xlsx&amp;sheet=A0&amp;row=567&amp;col=12&amp;number=&amp;sourceID=30","")</f>
        <v/>
      </c>
      <c r="M567" s="4" t="str">
        <f>HYPERLINK("http://141.218.60.56/~jnz1568/getInfo.php?workbook=06_02.xlsx&amp;sheet=A0&amp;row=567&amp;col=13&amp;number=&amp;sourceID=30","")</f>
        <v/>
      </c>
      <c r="N567" s="4" t="str">
        <f>HYPERLINK("http://141.218.60.56/~jnz1568/getInfo.php?workbook=06_02.xlsx&amp;sheet=A0&amp;row=567&amp;col=14&amp;number=2.049&amp;sourceID=30","2.049")</f>
        <v>2.049</v>
      </c>
      <c r="O567" s="4" t="str">
        <f>HYPERLINK("http://141.218.60.56/~jnz1568/getInfo.php?workbook=06_02.xlsx&amp;sheet=A0&amp;row=567&amp;col=15&amp;number=9344000&amp;sourceID=32","9344000")</f>
        <v>9344000</v>
      </c>
      <c r="P567" s="4" t="str">
        <f>HYPERLINK("http://141.218.60.56/~jnz1568/getInfo.php?workbook=06_02.xlsx&amp;sheet=A0&amp;row=567&amp;col=16&amp;number=&amp;sourceID=32","")</f>
        <v/>
      </c>
      <c r="Q567" s="4" t="str">
        <f>HYPERLINK("http://141.218.60.56/~jnz1568/getInfo.php?workbook=06_02.xlsx&amp;sheet=A0&amp;row=567&amp;col=17&amp;number=&amp;sourceID=32","")</f>
        <v/>
      </c>
      <c r="R567" s="4" t="str">
        <f>HYPERLINK("http://141.218.60.56/~jnz1568/getInfo.php?workbook=06_02.xlsx&amp;sheet=A0&amp;row=567&amp;col=18&amp;number=1.766&amp;sourceID=32","1.766")</f>
        <v>1.766</v>
      </c>
    </row>
    <row r="568" spans="1:18">
      <c r="A568" s="3">
        <v>6</v>
      </c>
      <c r="B568" s="3">
        <v>2</v>
      </c>
      <c r="C568" s="3">
        <v>38</v>
      </c>
      <c r="D568" s="3">
        <v>8</v>
      </c>
      <c r="E568" s="3">
        <f>((1/(INDEX(E0!J$4:J$52,C568,1)-INDEX(E0!J$4:J$52,D568,1))))*100000000</f>
        <v>0</v>
      </c>
      <c r="F568" s="4" t="str">
        <f>HYPERLINK("http://141.218.60.56/~jnz1568/getInfo.php?workbook=06_02.xlsx&amp;sheet=A0&amp;row=568&amp;col=6&amp;number=&amp;sourceID=27","")</f>
        <v/>
      </c>
      <c r="G568" s="4" t="str">
        <f>HYPERLINK("http://141.218.60.56/~jnz1568/getInfo.php?workbook=06_02.xlsx&amp;sheet=A0&amp;row=568&amp;col=7&amp;number=&amp;sourceID=34","")</f>
        <v/>
      </c>
      <c r="H568" s="4" t="str">
        <f>HYPERLINK("http://141.218.60.56/~jnz1568/getInfo.php?workbook=06_02.xlsx&amp;sheet=A0&amp;row=568&amp;col=8&amp;number=&amp;sourceID=34","")</f>
        <v/>
      </c>
      <c r="I568" s="4" t="str">
        <f>HYPERLINK("http://141.218.60.56/~jnz1568/getInfo.php?workbook=06_02.xlsx&amp;sheet=A0&amp;row=568&amp;col=9&amp;number=&amp;sourceID=34","")</f>
        <v/>
      </c>
      <c r="J568" s="4" t="str">
        <f>HYPERLINK("http://141.218.60.56/~jnz1568/getInfo.php?workbook=06_02.xlsx&amp;sheet=A0&amp;row=568&amp;col=10&amp;number=&amp;sourceID=34","")</f>
        <v/>
      </c>
      <c r="K568" s="4" t="str">
        <f>HYPERLINK("http://141.218.60.56/~jnz1568/getInfo.php?workbook=06_02.xlsx&amp;sheet=A0&amp;row=568&amp;col=11&amp;number=&amp;sourceID=30","")</f>
        <v/>
      </c>
      <c r="L568" s="4" t="str">
        <f>HYPERLINK("http://141.218.60.56/~jnz1568/getInfo.php?workbook=06_02.xlsx&amp;sheet=A0&amp;row=568&amp;col=12&amp;number=25210&amp;sourceID=30","25210")</f>
        <v>25210</v>
      </c>
      <c r="M568" s="4" t="str">
        <f>HYPERLINK("http://141.218.60.56/~jnz1568/getInfo.php?workbook=06_02.xlsx&amp;sheet=A0&amp;row=568&amp;col=13&amp;number=4.569e-09&amp;sourceID=30","4.569e-09")</f>
        <v>4.569e-09</v>
      </c>
      <c r="N568" s="4" t="str">
        <f>HYPERLINK("http://141.218.60.56/~jnz1568/getInfo.php?workbook=06_02.xlsx&amp;sheet=A0&amp;row=568&amp;col=14&amp;number=&amp;sourceID=30","")</f>
        <v/>
      </c>
      <c r="O568" s="4" t="str">
        <f>HYPERLINK("http://141.218.60.56/~jnz1568/getInfo.php?workbook=06_02.xlsx&amp;sheet=A0&amp;row=568&amp;col=15&amp;number=&amp;sourceID=32","")</f>
        <v/>
      </c>
      <c r="P568" s="4" t="str">
        <f>HYPERLINK("http://141.218.60.56/~jnz1568/getInfo.php?workbook=06_02.xlsx&amp;sheet=A0&amp;row=568&amp;col=16&amp;number=29290&amp;sourceID=32","29290")</f>
        <v>29290</v>
      </c>
      <c r="Q568" s="4" t="str">
        <f>HYPERLINK("http://141.218.60.56/~jnz1568/getInfo.php?workbook=06_02.xlsx&amp;sheet=A0&amp;row=568&amp;col=17&amp;number=3.861e-07&amp;sourceID=32","3.861e-07")</f>
        <v>3.861e-07</v>
      </c>
      <c r="R568" s="4" t="str">
        <f>HYPERLINK("http://141.218.60.56/~jnz1568/getInfo.php?workbook=06_02.xlsx&amp;sheet=A0&amp;row=568&amp;col=18&amp;number=&amp;sourceID=32","")</f>
        <v/>
      </c>
    </row>
    <row r="569" spans="1:18">
      <c r="A569" s="3">
        <v>6</v>
      </c>
      <c r="B569" s="3">
        <v>2</v>
      </c>
      <c r="C569" s="3">
        <v>38</v>
      </c>
      <c r="D569" s="3">
        <v>9</v>
      </c>
      <c r="E569" s="3">
        <f>((1/(INDEX(E0!J$4:J$52,C569,1)-INDEX(E0!J$4:J$52,D569,1))))*100000000</f>
        <v>0</v>
      </c>
      <c r="F569" s="4" t="str">
        <f>HYPERLINK("http://141.218.60.56/~jnz1568/getInfo.php?workbook=06_02.xlsx&amp;sheet=A0&amp;row=569&amp;col=6&amp;number=&amp;sourceID=27","")</f>
        <v/>
      </c>
      <c r="G569" s="4" t="str">
        <f>HYPERLINK("http://141.218.60.56/~jnz1568/getInfo.php?workbook=06_02.xlsx&amp;sheet=A0&amp;row=569&amp;col=7&amp;number=&amp;sourceID=34","")</f>
        <v/>
      </c>
      <c r="H569" s="4" t="str">
        <f>HYPERLINK("http://141.218.60.56/~jnz1568/getInfo.php?workbook=06_02.xlsx&amp;sheet=A0&amp;row=569&amp;col=8&amp;number=&amp;sourceID=34","")</f>
        <v/>
      </c>
      <c r="I569" s="4" t="str">
        <f>HYPERLINK("http://141.218.60.56/~jnz1568/getInfo.php?workbook=06_02.xlsx&amp;sheet=A0&amp;row=569&amp;col=9&amp;number=&amp;sourceID=34","")</f>
        <v/>
      </c>
      <c r="J569" s="4" t="str">
        <f>HYPERLINK("http://141.218.60.56/~jnz1568/getInfo.php?workbook=06_02.xlsx&amp;sheet=A0&amp;row=569&amp;col=10&amp;number=&amp;sourceID=34","")</f>
        <v/>
      </c>
      <c r="K569" s="4" t="str">
        <f>HYPERLINK("http://141.218.60.56/~jnz1568/getInfo.php?workbook=06_02.xlsx&amp;sheet=A0&amp;row=569&amp;col=11&amp;number=&amp;sourceID=30","")</f>
        <v/>
      </c>
      <c r="L569" s="4" t="str">
        <f>HYPERLINK("http://141.218.60.56/~jnz1568/getInfo.php?workbook=06_02.xlsx&amp;sheet=A0&amp;row=569&amp;col=12&amp;number=51.1&amp;sourceID=30","51.1")</f>
        <v>51.1</v>
      </c>
      <c r="M569" s="4" t="str">
        <f>HYPERLINK("http://141.218.60.56/~jnz1568/getInfo.php?workbook=06_02.xlsx&amp;sheet=A0&amp;row=569&amp;col=13&amp;number=&amp;sourceID=30","")</f>
        <v/>
      </c>
      <c r="N569" s="4" t="str">
        <f>HYPERLINK("http://141.218.60.56/~jnz1568/getInfo.php?workbook=06_02.xlsx&amp;sheet=A0&amp;row=569&amp;col=14&amp;number=&amp;sourceID=30","")</f>
        <v/>
      </c>
      <c r="O569" s="4" t="str">
        <f>HYPERLINK("http://141.218.60.56/~jnz1568/getInfo.php?workbook=06_02.xlsx&amp;sheet=A0&amp;row=569&amp;col=15&amp;number=&amp;sourceID=32","")</f>
        <v/>
      </c>
      <c r="P569" s="4" t="str">
        <f>HYPERLINK("http://141.218.60.56/~jnz1568/getInfo.php?workbook=06_02.xlsx&amp;sheet=A0&amp;row=569&amp;col=16&amp;number=43.85&amp;sourceID=32","43.85")</f>
        <v>43.85</v>
      </c>
      <c r="Q569" s="4" t="str">
        <f>HYPERLINK("http://141.218.60.56/~jnz1568/getInfo.php?workbook=06_02.xlsx&amp;sheet=A0&amp;row=569&amp;col=17&amp;number=&amp;sourceID=32","")</f>
        <v/>
      </c>
      <c r="R569" s="4" t="str">
        <f>HYPERLINK("http://141.218.60.56/~jnz1568/getInfo.php?workbook=06_02.xlsx&amp;sheet=A0&amp;row=569&amp;col=18&amp;number=&amp;sourceID=32","")</f>
        <v/>
      </c>
    </row>
    <row r="570" spans="1:18">
      <c r="A570" s="3">
        <v>6</v>
      </c>
      <c r="B570" s="3">
        <v>2</v>
      </c>
      <c r="C570" s="3">
        <v>38</v>
      </c>
      <c r="D570" s="3">
        <v>10</v>
      </c>
      <c r="E570" s="3">
        <f>((1/(INDEX(E0!J$4:J$52,C570,1)-INDEX(E0!J$4:J$52,D570,1))))*100000000</f>
        <v>0</v>
      </c>
      <c r="F570" s="4" t="str">
        <f>HYPERLINK("http://141.218.60.56/~jnz1568/getInfo.php?workbook=06_02.xlsx&amp;sheet=A0&amp;row=570&amp;col=6&amp;number=&amp;sourceID=27","")</f>
        <v/>
      </c>
      <c r="G570" s="4" t="str">
        <f>HYPERLINK("http://141.218.60.56/~jnz1568/getInfo.php?workbook=06_02.xlsx&amp;sheet=A0&amp;row=570&amp;col=7&amp;number=1624000000&amp;sourceID=34","1624000000")</f>
        <v>1624000000</v>
      </c>
      <c r="H570" s="4" t="str">
        <f>HYPERLINK("http://141.218.60.56/~jnz1568/getInfo.php?workbook=06_02.xlsx&amp;sheet=A0&amp;row=570&amp;col=8&amp;number=&amp;sourceID=34","")</f>
        <v/>
      </c>
      <c r="I570" s="4" t="str">
        <f>HYPERLINK("http://141.218.60.56/~jnz1568/getInfo.php?workbook=06_02.xlsx&amp;sheet=A0&amp;row=570&amp;col=9&amp;number=&amp;sourceID=34","")</f>
        <v/>
      </c>
      <c r="J570" s="4" t="str">
        <f>HYPERLINK("http://141.218.60.56/~jnz1568/getInfo.php?workbook=06_02.xlsx&amp;sheet=A0&amp;row=570&amp;col=10&amp;number=&amp;sourceID=34","")</f>
        <v/>
      </c>
      <c r="K570" s="4" t="str">
        <f>HYPERLINK("http://141.218.60.56/~jnz1568/getInfo.php?workbook=06_02.xlsx&amp;sheet=A0&amp;row=570&amp;col=11&amp;number=1579000000&amp;sourceID=30","1579000000")</f>
        <v>1579000000</v>
      </c>
      <c r="L570" s="4" t="str">
        <f>HYPERLINK("http://141.218.60.56/~jnz1568/getInfo.php?workbook=06_02.xlsx&amp;sheet=A0&amp;row=570&amp;col=12&amp;number=&amp;sourceID=30","")</f>
        <v/>
      </c>
      <c r="M570" s="4" t="str">
        <f>HYPERLINK("http://141.218.60.56/~jnz1568/getInfo.php?workbook=06_02.xlsx&amp;sheet=A0&amp;row=570&amp;col=13&amp;number=&amp;sourceID=30","")</f>
        <v/>
      </c>
      <c r="N570" s="4" t="str">
        <f>HYPERLINK("http://141.218.60.56/~jnz1568/getInfo.php?workbook=06_02.xlsx&amp;sheet=A0&amp;row=570&amp;col=14&amp;number=0.3079&amp;sourceID=30","0.3079")</f>
        <v>0.3079</v>
      </c>
      <c r="O570" s="4" t="str">
        <f>HYPERLINK("http://141.218.60.56/~jnz1568/getInfo.php?workbook=06_02.xlsx&amp;sheet=A0&amp;row=570&amp;col=15&amp;number=1620000000&amp;sourceID=32","1620000000")</f>
        <v>1620000000</v>
      </c>
      <c r="P570" s="4" t="str">
        <f>HYPERLINK("http://141.218.60.56/~jnz1568/getInfo.php?workbook=06_02.xlsx&amp;sheet=A0&amp;row=570&amp;col=16&amp;number=&amp;sourceID=32","")</f>
        <v/>
      </c>
      <c r="Q570" s="4" t="str">
        <f>HYPERLINK("http://141.218.60.56/~jnz1568/getInfo.php?workbook=06_02.xlsx&amp;sheet=A0&amp;row=570&amp;col=17&amp;number=&amp;sourceID=32","")</f>
        <v/>
      </c>
      <c r="R570" s="4" t="str">
        <f>HYPERLINK("http://141.218.60.56/~jnz1568/getInfo.php?workbook=06_02.xlsx&amp;sheet=A0&amp;row=570&amp;col=18&amp;number=0.313&amp;sourceID=32","0.313")</f>
        <v>0.313</v>
      </c>
    </row>
    <row r="571" spans="1:18">
      <c r="A571" s="3">
        <v>6</v>
      </c>
      <c r="B571" s="3">
        <v>2</v>
      </c>
      <c r="C571" s="3">
        <v>38</v>
      </c>
      <c r="D571" s="3">
        <v>11</v>
      </c>
      <c r="E571" s="3">
        <f>((1/(INDEX(E0!J$4:J$52,C571,1)-INDEX(E0!J$4:J$52,D571,1))))*100000000</f>
        <v>0</v>
      </c>
      <c r="F571" s="4" t="str">
        <f>HYPERLINK("http://141.218.60.56/~jnz1568/getInfo.php?workbook=06_02.xlsx&amp;sheet=A0&amp;row=571&amp;col=6&amp;number=&amp;sourceID=27","")</f>
        <v/>
      </c>
      <c r="G571" s="4" t="str">
        <f>HYPERLINK("http://141.218.60.56/~jnz1568/getInfo.php?workbook=06_02.xlsx&amp;sheet=A0&amp;row=571&amp;col=7&amp;number=&amp;sourceID=34","")</f>
        <v/>
      </c>
      <c r="H571" s="4" t="str">
        <f>HYPERLINK("http://141.218.60.56/~jnz1568/getInfo.php?workbook=06_02.xlsx&amp;sheet=A0&amp;row=571&amp;col=8&amp;number=&amp;sourceID=34","")</f>
        <v/>
      </c>
      <c r="I571" s="4" t="str">
        <f>HYPERLINK("http://141.218.60.56/~jnz1568/getInfo.php?workbook=06_02.xlsx&amp;sheet=A0&amp;row=571&amp;col=9&amp;number=&amp;sourceID=34","")</f>
        <v/>
      </c>
      <c r="J571" s="4" t="str">
        <f>HYPERLINK("http://141.218.60.56/~jnz1568/getInfo.php?workbook=06_02.xlsx&amp;sheet=A0&amp;row=571&amp;col=10&amp;number=&amp;sourceID=34","")</f>
        <v/>
      </c>
      <c r="K571" s="4" t="str">
        <f>HYPERLINK("http://141.218.60.56/~jnz1568/getInfo.php?workbook=06_02.xlsx&amp;sheet=A0&amp;row=571&amp;col=11&amp;number=&amp;sourceID=30","")</f>
        <v/>
      </c>
      <c r="L571" s="4" t="str">
        <f>HYPERLINK("http://141.218.60.56/~jnz1568/getInfo.php?workbook=06_02.xlsx&amp;sheet=A0&amp;row=571&amp;col=12&amp;number=&amp;sourceID=30","")</f>
        <v/>
      </c>
      <c r="M571" s="4" t="str">
        <f>HYPERLINK("http://141.218.60.56/~jnz1568/getInfo.php?workbook=06_02.xlsx&amp;sheet=A0&amp;row=571&amp;col=13&amp;number=&amp;sourceID=30","")</f>
        <v/>
      </c>
      <c r="N571" s="4" t="str">
        <f>HYPERLINK("http://141.218.60.56/~jnz1568/getInfo.php?workbook=06_02.xlsx&amp;sheet=A0&amp;row=571&amp;col=14&amp;number=0.01703&amp;sourceID=30","0.01703")</f>
        <v>0.01703</v>
      </c>
      <c r="O571" s="4" t="str">
        <f>HYPERLINK("http://141.218.60.56/~jnz1568/getInfo.php?workbook=06_02.xlsx&amp;sheet=A0&amp;row=571&amp;col=15&amp;number=&amp;sourceID=32","")</f>
        <v/>
      </c>
      <c r="P571" s="4" t="str">
        <f>HYPERLINK("http://141.218.60.56/~jnz1568/getInfo.php?workbook=06_02.xlsx&amp;sheet=A0&amp;row=571&amp;col=16&amp;number=&amp;sourceID=32","")</f>
        <v/>
      </c>
      <c r="Q571" s="4" t="str">
        <f>HYPERLINK("http://141.218.60.56/~jnz1568/getInfo.php?workbook=06_02.xlsx&amp;sheet=A0&amp;row=571&amp;col=17&amp;number=&amp;sourceID=32","")</f>
        <v/>
      </c>
      <c r="R571" s="4" t="str">
        <f>HYPERLINK("http://141.218.60.56/~jnz1568/getInfo.php?workbook=06_02.xlsx&amp;sheet=A0&amp;row=571&amp;col=18&amp;number=0.01689&amp;sourceID=32","0.01689")</f>
        <v>0.01689</v>
      </c>
    </row>
    <row r="572" spans="1:18">
      <c r="A572" s="3">
        <v>6</v>
      </c>
      <c r="B572" s="3">
        <v>2</v>
      </c>
      <c r="C572" s="3">
        <v>38</v>
      </c>
      <c r="D572" s="3">
        <v>12</v>
      </c>
      <c r="E572" s="3">
        <f>((1/(INDEX(E0!J$4:J$52,C572,1)-INDEX(E0!J$4:J$52,D572,1))))*100000000</f>
        <v>0</v>
      </c>
      <c r="F572" s="4" t="str">
        <f>HYPERLINK("http://141.218.60.56/~jnz1568/getInfo.php?workbook=06_02.xlsx&amp;sheet=A0&amp;row=572&amp;col=6&amp;number=&amp;sourceID=27","")</f>
        <v/>
      </c>
      <c r="G572" s="4" t="str">
        <f>HYPERLINK("http://141.218.60.56/~jnz1568/getInfo.php?workbook=06_02.xlsx&amp;sheet=A0&amp;row=572&amp;col=7&amp;number=540800000&amp;sourceID=34","540800000")</f>
        <v>540800000</v>
      </c>
      <c r="H572" s="4" t="str">
        <f>HYPERLINK("http://141.218.60.56/~jnz1568/getInfo.php?workbook=06_02.xlsx&amp;sheet=A0&amp;row=572&amp;col=8&amp;number=&amp;sourceID=34","")</f>
        <v/>
      </c>
      <c r="I572" s="4" t="str">
        <f>HYPERLINK("http://141.218.60.56/~jnz1568/getInfo.php?workbook=06_02.xlsx&amp;sheet=A0&amp;row=572&amp;col=9&amp;number=&amp;sourceID=34","")</f>
        <v/>
      </c>
      <c r="J572" s="4" t="str">
        <f>HYPERLINK("http://141.218.60.56/~jnz1568/getInfo.php?workbook=06_02.xlsx&amp;sheet=A0&amp;row=572&amp;col=10&amp;number=&amp;sourceID=34","")</f>
        <v/>
      </c>
      <c r="K572" s="4" t="str">
        <f>HYPERLINK("http://141.218.60.56/~jnz1568/getInfo.php?workbook=06_02.xlsx&amp;sheet=A0&amp;row=572&amp;col=11&amp;number=525900000&amp;sourceID=30","525900000")</f>
        <v>525900000</v>
      </c>
      <c r="L572" s="4" t="str">
        <f>HYPERLINK("http://141.218.60.56/~jnz1568/getInfo.php?workbook=06_02.xlsx&amp;sheet=A0&amp;row=572&amp;col=12&amp;number=&amp;sourceID=30","")</f>
        <v/>
      </c>
      <c r="M572" s="4" t="str">
        <f>HYPERLINK("http://141.218.60.56/~jnz1568/getInfo.php?workbook=06_02.xlsx&amp;sheet=A0&amp;row=572&amp;col=13&amp;number=&amp;sourceID=30","")</f>
        <v/>
      </c>
      <c r="N572" s="4" t="str">
        <f>HYPERLINK("http://141.218.60.56/~jnz1568/getInfo.php?workbook=06_02.xlsx&amp;sheet=A0&amp;row=572&amp;col=14&amp;number=0.1321&amp;sourceID=30","0.1321")</f>
        <v>0.1321</v>
      </c>
      <c r="O572" s="4" t="str">
        <f>HYPERLINK("http://141.218.60.56/~jnz1568/getInfo.php?workbook=06_02.xlsx&amp;sheet=A0&amp;row=572&amp;col=15&amp;number=539800000&amp;sourceID=32","539800000")</f>
        <v>539800000</v>
      </c>
      <c r="P572" s="4" t="str">
        <f>HYPERLINK("http://141.218.60.56/~jnz1568/getInfo.php?workbook=06_02.xlsx&amp;sheet=A0&amp;row=572&amp;col=16&amp;number=&amp;sourceID=32","")</f>
        <v/>
      </c>
      <c r="Q572" s="4" t="str">
        <f>HYPERLINK("http://141.218.60.56/~jnz1568/getInfo.php?workbook=06_02.xlsx&amp;sheet=A0&amp;row=572&amp;col=17&amp;number=&amp;sourceID=32","")</f>
        <v/>
      </c>
      <c r="R572" s="4" t="str">
        <f>HYPERLINK("http://141.218.60.56/~jnz1568/getInfo.php?workbook=06_02.xlsx&amp;sheet=A0&amp;row=572&amp;col=18&amp;number=0.1337&amp;sourceID=32","0.1337")</f>
        <v>0.1337</v>
      </c>
    </row>
    <row r="573" spans="1:18">
      <c r="A573" s="3">
        <v>6</v>
      </c>
      <c r="B573" s="3">
        <v>2</v>
      </c>
      <c r="C573" s="3">
        <v>38</v>
      </c>
      <c r="D573" s="3">
        <v>13</v>
      </c>
      <c r="E573" s="3">
        <f>((1/(INDEX(E0!J$4:J$52,C573,1)-INDEX(E0!J$4:J$52,D573,1))))*100000000</f>
        <v>0</v>
      </c>
      <c r="F573" s="4" t="str">
        <f>HYPERLINK("http://141.218.60.56/~jnz1568/getInfo.php?workbook=06_02.xlsx&amp;sheet=A0&amp;row=573&amp;col=6&amp;number=&amp;sourceID=27","")</f>
        <v/>
      </c>
      <c r="G573" s="4" t="str">
        <f>HYPERLINK("http://141.218.60.56/~jnz1568/getInfo.php?workbook=06_02.xlsx&amp;sheet=A0&amp;row=573&amp;col=7&amp;number=&amp;sourceID=34","")</f>
        <v/>
      </c>
      <c r="H573" s="4" t="str">
        <f>HYPERLINK("http://141.218.60.56/~jnz1568/getInfo.php?workbook=06_02.xlsx&amp;sheet=A0&amp;row=573&amp;col=8&amp;number=&amp;sourceID=34","")</f>
        <v/>
      </c>
      <c r="I573" s="4" t="str">
        <f>HYPERLINK("http://141.218.60.56/~jnz1568/getInfo.php?workbook=06_02.xlsx&amp;sheet=A0&amp;row=573&amp;col=9&amp;number=&amp;sourceID=34","")</f>
        <v/>
      </c>
      <c r="J573" s="4" t="str">
        <f>HYPERLINK("http://141.218.60.56/~jnz1568/getInfo.php?workbook=06_02.xlsx&amp;sheet=A0&amp;row=573&amp;col=10&amp;number=&amp;sourceID=34","")</f>
        <v/>
      </c>
      <c r="K573" s="4" t="str">
        <f>HYPERLINK("http://141.218.60.56/~jnz1568/getInfo.php?workbook=06_02.xlsx&amp;sheet=A0&amp;row=573&amp;col=11&amp;number=&amp;sourceID=30","")</f>
        <v/>
      </c>
      <c r="L573" s="4" t="str">
        <f>HYPERLINK("http://141.218.60.56/~jnz1568/getInfo.php?workbook=06_02.xlsx&amp;sheet=A0&amp;row=573&amp;col=12&amp;number=3098&amp;sourceID=30","3098")</f>
        <v>3098</v>
      </c>
      <c r="M573" s="4" t="str">
        <f>HYPERLINK("http://141.218.60.56/~jnz1568/getInfo.php?workbook=06_02.xlsx&amp;sheet=A0&amp;row=573&amp;col=13&amp;number=5.744e-06&amp;sourceID=30","5.744e-06")</f>
        <v>5.744e-06</v>
      </c>
      <c r="N573" s="4" t="str">
        <f>HYPERLINK("http://141.218.60.56/~jnz1568/getInfo.php?workbook=06_02.xlsx&amp;sheet=A0&amp;row=573&amp;col=14&amp;number=&amp;sourceID=30","")</f>
        <v/>
      </c>
      <c r="O573" s="4" t="str">
        <f>HYPERLINK("http://141.218.60.56/~jnz1568/getInfo.php?workbook=06_02.xlsx&amp;sheet=A0&amp;row=573&amp;col=15&amp;number=&amp;sourceID=32","")</f>
        <v/>
      </c>
      <c r="P573" s="4" t="str">
        <f>HYPERLINK("http://141.218.60.56/~jnz1568/getInfo.php?workbook=06_02.xlsx&amp;sheet=A0&amp;row=573&amp;col=16&amp;number=3133&amp;sourceID=32","3133")</f>
        <v>3133</v>
      </c>
      <c r="Q573" s="4" t="str">
        <f>HYPERLINK("http://141.218.60.56/~jnz1568/getInfo.php?workbook=06_02.xlsx&amp;sheet=A0&amp;row=573&amp;col=17&amp;number=8.415e-06&amp;sourceID=32","8.415e-06")</f>
        <v>8.415e-06</v>
      </c>
      <c r="R573" s="4" t="str">
        <f>HYPERLINK("http://141.218.60.56/~jnz1568/getInfo.php?workbook=06_02.xlsx&amp;sheet=A0&amp;row=573&amp;col=18&amp;number=&amp;sourceID=32","")</f>
        <v/>
      </c>
    </row>
    <row r="574" spans="1:18">
      <c r="A574" s="3">
        <v>6</v>
      </c>
      <c r="B574" s="3">
        <v>2</v>
      </c>
      <c r="C574" s="3">
        <v>38</v>
      </c>
      <c r="D574" s="3">
        <v>14</v>
      </c>
      <c r="E574" s="3">
        <f>((1/(INDEX(E0!J$4:J$52,C574,1)-INDEX(E0!J$4:J$52,D574,1))))*100000000</f>
        <v>0</v>
      </c>
      <c r="F574" s="4" t="str">
        <f>HYPERLINK("http://141.218.60.56/~jnz1568/getInfo.php?workbook=06_02.xlsx&amp;sheet=A0&amp;row=574&amp;col=6&amp;number=&amp;sourceID=27","")</f>
        <v/>
      </c>
      <c r="G574" s="4" t="str">
        <f>HYPERLINK("http://141.218.60.56/~jnz1568/getInfo.php?workbook=06_02.xlsx&amp;sheet=A0&amp;row=574&amp;col=7&amp;number=&amp;sourceID=34","")</f>
        <v/>
      </c>
      <c r="H574" s="4" t="str">
        <f>HYPERLINK("http://141.218.60.56/~jnz1568/getInfo.php?workbook=06_02.xlsx&amp;sheet=A0&amp;row=574&amp;col=8&amp;number=&amp;sourceID=34","")</f>
        <v/>
      </c>
      <c r="I574" s="4" t="str">
        <f>HYPERLINK("http://141.218.60.56/~jnz1568/getInfo.php?workbook=06_02.xlsx&amp;sheet=A0&amp;row=574&amp;col=9&amp;number=&amp;sourceID=34","")</f>
        <v/>
      </c>
      <c r="J574" s="4" t="str">
        <f>HYPERLINK("http://141.218.60.56/~jnz1568/getInfo.php?workbook=06_02.xlsx&amp;sheet=A0&amp;row=574&amp;col=10&amp;number=&amp;sourceID=34","")</f>
        <v/>
      </c>
      <c r="K574" s="4" t="str">
        <f>HYPERLINK("http://141.218.60.56/~jnz1568/getInfo.php?workbook=06_02.xlsx&amp;sheet=A0&amp;row=574&amp;col=11&amp;number=&amp;sourceID=30","")</f>
        <v/>
      </c>
      <c r="L574" s="4" t="str">
        <f>HYPERLINK("http://141.218.60.56/~jnz1568/getInfo.php?workbook=06_02.xlsx&amp;sheet=A0&amp;row=574&amp;col=12&amp;number=2223&amp;sourceID=30","2223")</f>
        <v>2223</v>
      </c>
      <c r="M574" s="4" t="str">
        <f>HYPERLINK("http://141.218.60.56/~jnz1568/getInfo.php?workbook=06_02.xlsx&amp;sheet=A0&amp;row=574&amp;col=13&amp;number=0.0003177&amp;sourceID=30","0.0003177")</f>
        <v>0.0003177</v>
      </c>
      <c r="N574" s="4" t="str">
        <f>HYPERLINK("http://141.218.60.56/~jnz1568/getInfo.php?workbook=06_02.xlsx&amp;sheet=A0&amp;row=574&amp;col=14&amp;number=&amp;sourceID=30","")</f>
        <v/>
      </c>
      <c r="O574" s="4" t="str">
        <f>HYPERLINK("http://141.218.60.56/~jnz1568/getInfo.php?workbook=06_02.xlsx&amp;sheet=A0&amp;row=574&amp;col=15&amp;number=&amp;sourceID=32","")</f>
        <v/>
      </c>
      <c r="P574" s="4" t="str">
        <f>HYPERLINK("http://141.218.60.56/~jnz1568/getInfo.php?workbook=06_02.xlsx&amp;sheet=A0&amp;row=574&amp;col=16&amp;number=2254&amp;sourceID=32","2254")</f>
        <v>2254</v>
      </c>
      <c r="Q574" s="4" t="str">
        <f>HYPERLINK("http://141.218.60.56/~jnz1568/getInfo.php?workbook=06_02.xlsx&amp;sheet=A0&amp;row=574&amp;col=17&amp;number=0.0003186&amp;sourceID=32","0.0003186")</f>
        <v>0.0003186</v>
      </c>
      <c r="R574" s="4" t="str">
        <f>HYPERLINK("http://141.218.60.56/~jnz1568/getInfo.php?workbook=06_02.xlsx&amp;sheet=A0&amp;row=574&amp;col=18&amp;number=&amp;sourceID=32","")</f>
        <v/>
      </c>
    </row>
    <row r="575" spans="1:18">
      <c r="A575" s="3">
        <v>6</v>
      </c>
      <c r="B575" s="3">
        <v>2</v>
      </c>
      <c r="C575" s="3">
        <v>38</v>
      </c>
      <c r="D575" s="3">
        <v>15</v>
      </c>
      <c r="E575" s="3">
        <f>((1/(INDEX(E0!J$4:J$52,C575,1)-INDEX(E0!J$4:J$52,D575,1))))*100000000</f>
        <v>0</v>
      </c>
      <c r="F575" s="4" t="str">
        <f>HYPERLINK("http://141.218.60.56/~jnz1568/getInfo.php?workbook=06_02.xlsx&amp;sheet=A0&amp;row=575&amp;col=6&amp;number=&amp;sourceID=27","")</f>
        <v/>
      </c>
      <c r="G575" s="4" t="str">
        <f>HYPERLINK("http://141.218.60.56/~jnz1568/getInfo.php?workbook=06_02.xlsx&amp;sheet=A0&amp;row=575&amp;col=7&amp;number=&amp;sourceID=34","")</f>
        <v/>
      </c>
      <c r="H575" s="4" t="str">
        <f>HYPERLINK("http://141.218.60.56/~jnz1568/getInfo.php?workbook=06_02.xlsx&amp;sheet=A0&amp;row=575&amp;col=8&amp;number=&amp;sourceID=34","")</f>
        <v/>
      </c>
      <c r="I575" s="4" t="str">
        <f>HYPERLINK("http://141.218.60.56/~jnz1568/getInfo.php?workbook=06_02.xlsx&amp;sheet=A0&amp;row=575&amp;col=9&amp;number=&amp;sourceID=34","")</f>
        <v/>
      </c>
      <c r="J575" s="4" t="str">
        <f>HYPERLINK("http://141.218.60.56/~jnz1568/getInfo.php?workbook=06_02.xlsx&amp;sheet=A0&amp;row=575&amp;col=10&amp;number=&amp;sourceID=34","")</f>
        <v/>
      </c>
      <c r="K575" s="4" t="str">
        <f>HYPERLINK("http://141.218.60.56/~jnz1568/getInfo.php?workbook=06_02.xlsx&amp;sheet=A0&amp;row=575&amp;col=11&amp;number=&amp;sourceID=30","")</f>
        <v/>
      </c>
      <c r="L575" s="4" t="str">
        <f>HYPERLINK("http://141.218.60.56/~jnz1568/getInfo.php?workbook=06_02.xlsx&amp;sheet=A0&amp;row=575&amp;col=12&amp;number=3534&amp;sourceID=30","3534")</f>
        <v>3534</v>
      </c>
      <c r="M575" s="4" t="str">
        <f>HYPERLINK("http://141.218.60.56/~jnz1568/getInfo.php?workbook=06_02.xlsx&amp;sheet=A0&amp;row=575&amp;col=13&amp;number=7.789e-05&amp;sourceID=30","7.789e-05")</f>
        <v>7.789e-05</v>
      </c>
      <c r="N575" s="4" t="str">
        <f>HYPERLINK("http://141.218.60.56/~jnz1568/getInfo.php?workbook=06_02.xlsx&amp;sheet=A0&amp;row=575&amp;col=14&amp;number=&amp;sourceID=30","")</f>
        <v/>
      </c>
      <c r="O575" s="4" t="str">
        <f>HYPERLINK("http://141.218.60.56/~jnz1568/getInfo.php?workbook=06_02.xlsx&amp;sheet=A0&amp;row=575&amp;col=15&amp;number=&amp;sourceID=32","")</f>
        <v/>
      </c>
      <c r="P575" s="4" t="str">
        <f>HYPERLINK("http://141.218.60.56/~jnz1568/getInfo.php?workbook=06_02.xlsx&amp;sheet=A0&amp;row=575&amp;col=16&amp;number=3578&amp;sourceID=32","3578")</f>
        <v>3578</v>
      </c>
      <c r="Q575" s="4" t="str">
        <f>HYPERLINK("http://141.218.60.56/~jnz1568/getInfo.php?workbook=06_02.xlsx&amp;sheet=A0&amp;row=575&amp;col=17&amp;number=6.892e-05&amp;sourceID=32","6.892e-05")</f>
        <v>6.892e-05</v>
      </c>
      <c r="R575" s="4" t="str">
        <f>HYPERLINK("http://141.218.60.56/~jnz1568/getInfo.php?workbook=06_02.xlsx&amp;sheet=A0&amp;row=575&amp;col=18&amp;number=&amp;sourceID=32","")</f>
        <v/>
      </c>
    </row>
    <row r="576" spans="1:18">
      <c r="A576" s="3">
        <v>6</v>
      </c>
      <c r="B576" s="3">
        <v>2</v>
      </c>
      <c r="C576" s="3">
        <v>38</v>
      </c>
      <c r="D576" s="3">
        <v>16</v>
      </c>
      <c r="E576" s="3">
        <f>((1/(INDEX(E0!J$4:J$52,C576,1)-INDEX(E0!J$4:J$52,D576,1))))*100000000</f>
        <v>0</v>
      </c>
      <c r="F576" s="4" t="str">
        <f>HYPERLINK("http://141.218.60.56/~jnz1568/getInfo.php?workbook=06_02.xlsx&amp;sheet=A0&amp;row=576&amp;col=6&amp;number=&amp;sourceID=27","")</f>
        <v/>
      </c>
      <c r="G576" s="4" t="str">
        <f>HYPERLINK("http://141.218.60.56/~jnz1568/getInfo.php?workbook=06_02.xlsx&amp;sheet=A0&amp;row=576&amp;col=7&amp;number=&amp;sourceID=34","")</f>
        <v/>
      </c>
      <c r="H576" s="4" t="str">
        <f>HYPERLINK("http://141.218.60.56/~jnz1568/getInfo.php?workbook=06_02.xlsx&amp;sheet=A0&amp;row=576&amp;col=8&amp;number=&amp;sourceID=34","")</f>
        <v/>
      </c>
      <c r="I576" s="4" t="str">
        <f>HYPERLINK("http://141.218.60.56/~jnz1568/getInfo.php?workbook=06_02.xlsx&amp;sheet=A0&amp;row=576&amp;col=9&amp;number=&amp;sourceID=34","")</f>
        <v/>
      </c>
      <c r="J576" s="4" t="str">
        <f>HYPERLINK("http://141.218.60.56/~jnz1568/getInfo.php?workbook=06_02.xlsx&amp;sheet=A0&amp;row=576&amp;col=10&amp;number=&amp;sourceID=34","")</f>
        <v/>
      </c>
      <c r="K576" s="4" t="str">
        <f>HYPERLINK("http://141.218.60.56/~jnz1568/getInfo.php?workbook=06_02.xlsx&amp;sheet=A0&amp;row=576&amp;col=11&amp;number=&amp;sourceID=30","")</f>
        <v/>
      </c>
      <c r="L576" s="4" t="str">
        <f>HYPERLINK("http://141.218.60.56/~jnz1568/getInfo.php?workbook=06_02.xlsx&amp;sheet=A0&amp;row=576&amp;col=12&amp;number=1.231&amp;sourceID=30","1.231")</f>
        <v>1.231</v>
      </c>
      <c r="M576" s="4" t="str">
        <f>HYPERLINK("http://141.218.60.56/~jnz1568/getInfo.php?workbook=06_02.xlsx&amp;sheet=A0&amp;row=576&amp;col=13&amp;number=0.0001359&amp;sourceID=30","0.0001359")</f>
        <v>0.0001359</v>
      </c>
      <c r="N576" s="4" t="str">
        <f>HYPERLINK("http://141.218.60.56/~jnz1568/getInfo.php?workbook=06_02.xlsx&amp;sheet=A0&amp;row=576&amp;col=14&amp;number=&amp;sourceID=30","")</f>
        <v/>
      </c>
      <c r="O576" s="4" t="str">
        <f>HYPERLINK("http://141.218.60.56/~jnz1568/getInfo.php?workbook=06_02.xlsx&amp;sheet=A0&amp;row=576&amp;col=15&amp;number=&amp;sourceID=32","")</f>
        <v/>
      </c>
      <c r="P576" s="4" t="str">
        <f>HYPERLINK("http://141.218.60.56/~jnz1568/getInfo.php?workbook=06_02.xlsx&amp;sheet=A0&amp;row=576&amp;col=16&amp;number=1.5&amp;sourceID=32","1.5")</f>
        <v>1.5</v>
      </c>
      <c r="Q576" s="4" t="str">
        <f>HYPERLINK("http://141.218.60.56/~jnz1568/getInfo.php?workbook=06_02.xlsx&amp;sheet=A0&amp;row=576&amp;col=17&amp;number=0.0001159&amp;sourceID=32","0.0001159")</f>
        <v>0.0001159</v>
      </c>
      <c r="R576" s="4" t="str">
        <f>HYPERLINK("http://141.218.60.56/~jnz1568/getInfo.php?workbook=06_02.xlsx&amp;sheet=A0&amp;row=576&amp;col=18&amp;number=&amp;sourceID=32","")</f>
        <v/>
      </c>
    </row>
    <row r="577" spans="1:18">
      <c r="A577" s="3">
        <v>6</v>
      </c>
      <c r="B577" s="3">
        <v>2</v>
      </c>
      <c r="C577" s="3">
        <v>38</v>
      </c>
      <c r="D577" s="3">
        <v>17</v>
      </c>
      <c r="E577" s="3">
        <f>((1/(INDEX(E0!J$4:J$52,C577,1)-INDEX(E0!J$4:J$52,D577,1))))*100000000</f>
        <v>0</v>
      </c>
      <c r="F577" s="4" t="str">
        <f>HYPERLINK("http://141.218.60.56/~jnz1568/getInfo.php?workbook=06_02.xlsx&amp;sheet=A0&amp;row=577&amp;col=6&amp;number=&amp;sourceID=27","")</f>
        <v/>
      </c>
      <c r="G577" s="4" t="str">
        <f>HYPERLINK("http://141.218.60.56/~jnz1568/getInfo.php?workbook=06_02.xlsx&amp;sheet=A0&amp;row=577&amp;col=7&amp;number=&amp;sourceID=34","")</f>
        <v/>
      </c>
      <c r="H577" s="4" t="str">
        <f>HYPERLINK("http://141.218.60.56/~jnz1568/getInfo.php?workbook=06_02.xlsx&amp;sheet=A0&amp;row=577&amp;col=8&amp;number=&amp;sourceID=34","")</f>
        <v/>
      </c>
      <c r="I577" s="4" t="str">
        <f>HYPERLINK("http://141.218.60.56/~jnz1568/getInfo.php?workbook=06_02.xlsx&amp;sheet=A0&amp;row=577&amp;col=9&amp;number=&amp;sourceID=34","")</f>
        <v/>
      </c>
      <c r="J577" s="4" t="str">
        <f>HYPERLINK("http://141.218.60.56/~jnz1568/getInfo.php?workbook=06_02.xlsx&amp;sheet=A0&amp;row=577&amp;col=10&amp;number=&amp;sourceID=34","")</f>
        <v/>
      </c>
      <c r="K577" s="4" t="str">
        <f>HYPERLINK("http://141.218.60.56/~jnz1568/getInfo.php?workbook=06_02.xlsx&amp;sheet=A0&amp;row=577&amp;col=11&amp;number=2708000&amp;sourceID=30","2708000")</f>
        <v>2708000</v>
      </c>
      <c r="L577" s="4" t="str">
        <f>HYPERLINK("http://141.218.60.56/~jnz1568/getInfo.php?workbook=06_02.xlsx&amp;sheet=A0&amp;row=577&amp;col=12&amp;number=&amp;sourceID=30","")</f>
        <v/>
      </c>
      <c r="M577" s="4" t="str">
        <f>HYPERLINK("http://141.218.60.56/~jnz1568/getInfo.php?workbook=06_02.xlsx&amp;sheet=A0&amp;row=577&amp;col=13&amp;number=&amp;sourceID=30","")</f>
        <v/>
      </c>
      <c r="N577" s="4" t="str">
        <f>HYPERLINK("http://141.218.60.56/~jnz1568/getInfo.php?workbook=06_02.xlsx&amp;sheet=A0&amp;row=577&amp;col=14&amp;number=0.08201&amp;sourceID=30","0.08201")</f>
        <v>0.08201</v>
      </c>
      <c r="O577" s="4" t="str">
        <f>HYPERLINK("http://141.218.60.56/~jnz1568/getInfo.php?workbook=06_02.xlsx&amp;sheet=A0&amp;row=577&amp;col=15&amp;number=3517000&amp;sourceID=32","3517000")</f>
        <v>3517000</v>
      </c>
      <c r="P577" s="4" t="str">
        <f>HYPERLINK("http://141.218.60.56/~jnz1568/getInfo.php?workbook=06_02.xlsx&amp;sheet=A0&amp;row=577&amp;col=16&amp;number=&amp;sourceID=32","")</f>
        <v/>
      </c>
      <c r="Q577" s="4" t="str">
        <f>HYPERLINK("http://141.218.60.56/~jnz1568/getInfo.php?workbook=06_02.xlsx&amp;sheet=A0&amp;row=577&amp;col=17&amp;number=&amp;sourceID=32","")</f>
        <v/>
      </c>
      <c r="R577" s="4" t="str">
        <f>HYPERLINK("http://141.218.60.56/~jnz1568/getInfo.php?workbook=06_02.xlsx&amp;sheet=A0&amp;row=577&amp;col=18&amp;number=0.07581&amp;sourceID=32","0.07581")</f>
        <v>0.07581</v>
      </c>
    </row>
    <row r="578" spans="1:18">
      <c r="A578" s="3">
        <v>6</v>
      </c>
      <c r="B578" s="3">
        <v>2</v>
      </c>
      <c r="C578" s="3">
        <v>38</v>
      </c>
      <c r="D578" s="3">
        <v>18</v>
      </c>
      <c r="E578" s="3">
        <f>((1/(INDEX(E0!J$4:J$52,C578,1)-INDEX(E0!J$4:J$52,D578,1))))*100000000</f>
        <v>0</v>
      </c>
      <c r="F578" s="4" t="str">
        <f>HYPERLINK("http://141.218.60.56/~jnz1568/getInfo.php?workbook=06_02.xlsx&amp;sheet=A0&amp;row=578&amp;col=6&amp;number=&amp;sourceID=27","")</f>
        <v/>
      </c>
      <c r="G578" s="4" t="str">
        <f>HYPERLINK("http://141.218.60.56/~jnz1568/getInfo.php?workbook=06_02.xlsx&amp;sheet=A0&amp;row=578&amp;col=7&amp;number=&amp;sourceID=34","")</f>
        <v/>
      </c>
      <c r="H578" s="4" t="str">
        <f>HYPERLINK("http://141.218.60.56/~jnz1568/getInfo.php?workbook=06_02.xlsx&amp;sheet=A0&amp;row=578&amp;col=8&amp;number=&amp;sourceID=34","")</f>
        <v/>
      </c>
      <c r="I578" s="4" t="str">
        <f>HYPERLINK("http://141.218.60.56/~jnz1568/getInfo.php?workbook=06_02.xlsx&amp;sheet=A0&amp;row=578&amp;col=9&amp;number=&amp;sourceID=34","")</f>
        <v/>
      </c>
      <c r="J578" s="4" t="str">
        <f>HYPERLINK("http://141.218.60.56/~jnz1568/getInfo.php?workbook=06_02.xlsx&amp;sheet=A0&amp;row=578&amp;col=10&amp;number=&amp;sourceID=34","")</f>
        <v/>
      </c>
      <c r="K578" s="4" t="str">
        <f>HYPERLINK("http://141.218.60.56/~jnz1568/getInfo.php?workbook=06_02.xlsx&amp;sheet=A0&amp;row=578&amp;col=11&amp;number=&amp;sourceID=30","")</f>
        <v/>
      </c>
      <c r="L578" s="4" t="str">
        <f>HYPERLINK("http://141.218.60.56/~jnz1568/getInfo.php?workbook=06_02.xlsx&amp;sheet=A0&amp;row=578&amp;col=12&amp;number=9868&amp;sourceID=30","9868")</f>
        <v>9868</v>
      </c>
      <c r="M578" s="4" t="str">
        <f>HYPERLINK("http://141.218.60.56/~jnz1568/getInfo.php?workbook=06_02.xlsx&amp;sheet=A0&amp;row=578&amp;col=13&amp;number=2.43e-07&amp;sourceID=30","2.43e-07")</f>
        <v>2.43e-07</v>
      </c>
      <c r="N578" s="4" t="str">
        <f>HYPERLINK("http://141.218.60.56/~jnz1568/getInfo.php?workbook=06_02.xlsx&amp;sheet=A0&amp;row=578&amp;col=14&amp;number=&amp;sourceID=30","")</f>
        <v/>
      </c>
      <c r="O578" s="4" t="str">
        <f>HYPERLINK("http://141.218.60.56/~jnz1568/getInfo.php?workbook=06_02.xlsx&amp;sheet=A0&amp;row=578&amp;col=15&amp;number=&amp;sourceID=32","")</f>
        <v/>
      </c>
      <c r="P578" s="4" t="str">
        <f>HYPERLINK("http://141.218.60.56/~jnz1568/getInfo.php?workbook=06_02.xlsx&amp;sheet=A0&amp;row=578&amp;col=16&amp;number=10090&amp;sourceID=32","10090")</f>
        <v>10090</v>
      </c>
      <c r="Q578" s="4" t="str">
        <f>HYPERLINK("http://141.218.60.56/~jnz1568/getInfo.php?workbook=06_02.xlsx&amp;sheet=A0&amp;row=578&amp;col=17&amp;number=1.66e-07&amp;sourceID=32","1.66e-07")</f>
        <v>1.66e-07</v>
      </c>
      <c r="R578" s="4" t="str">
        <f>HYPERLINK("http://141.218.60.56/~jnz1568/getInfo.php?workbook=06_02.xlsx&amp;sheet=A0&amp;row=578&amp;col=18&amp;number=&amp;sourceID=32","")</f>
        <v/>
      </c>
    </row>
    <row r="579" spans="1:18">
      <c r="A579" s="3">
        <v>6</v>
      </c>
      <c r="B579" s="3">
        <v>2</v>
      </c>
      <c r="C579" s="3">
        <v>38</v>
      </c>
      <c r="D579" s="3">
        <v>19</v>
      </c>
      <c r="E579" s="3">
        <f>((1/(INDEX(E0!J$4:J$52,C579,1)-INDEX(E0!J$4:J$52,D579,1))))*100000000</f>
        <v>0</v>
      </c>
      <c r="F579" s="4" t="str">
        <f>HYPERLINK("http://141.218.60.56/~jnz1568/getInfo.php?workbook=06_02.xlsx&amp;sheet=A0&amp;row=579&amp;col=6&amp;number=&amp;sourceID=27","")</f>
        <v/>
      </c>
      <c r="G579" s="4" t="str">
        <f>HYPERLINK("http://141.218.60.56/~jnz1568/getInfo.php?workbook=06_02.xlsx&amp;sheet=A0&amp;row=579&amp;col=7&amp;number=&amp;sourceID=34","")</f>
        <v/>
      </c>
      <c r="H579" s="4" t="str">
        <f>HYPERLINK("http://141.218.60.56/~jnz1568/getInfo.php?workbook=06_02.xlsx&amp;sheet=A0&amp;row=579&amp;col=8&amp;number=&amp;sourceID=34","")</f>
        <v/>
      </c>
      <c r="I579" s="4" t="str">
        <f>HYPERLINK("http://141.218.60.56/~jnz1568/getInfo.php?workbook=06_02.xlsx&amp;sheet=A0&amp;row=579&amp;col=9&amp;number=&amp;sourceID=34","")</f>
        <v/>
      </c>
      <c r="J579" s="4" t="str">
        <f>HYPERLINK("http://141.218.60.56/~jnz1568/getInfo.php?workbook=06_02.xlsx&amp;sheet=A0&amp;row=579&amp;col=10&amp;number=&amp;sourceID=34","")</f>
        <v/>
      </c>
      <c r="K579" s="4" t="str">
        <f>HYPERLINK("http://141.218.60.56/~jnz1568/getInfo.php?workbook=06_02.xlsx&amp;sheet=A0&amp;row=579&amp;col=11&amp;number=&amp;sourceID=30","")</f>
        <v/>
      </c>
      <c r="L579" s="4" t="str">
        <f>HYPERLINK("http://141.218.60.56/~jnz1568/getInfo.php?workbook=06_02.xlsx&amp;sheet=A0&amp;row=579&amp;col=12&amp;number=14.62&amp;sourceID=30","14.62")</f>
        <v>14.62</v>
      </c>
      <c r="M579" s="4" t="str">
        <f>HYPERLINK("http://141.218.60.56/~jnz1568/getInfo.php?workbook=06_02.xlsx&amp;sheet=A0&amp;row=579&amp;col=13&amp;number=&amp;sourceID=30","")</f>
        <v/>
      </c>
      <c r="N579" s="4" t="str">
        <f>HYPERLINK("http://141.218.60.56/~jnz1568/getInfo.php?workbook=06_02.xlsx&amp;sheet=A0&amp;row=579&amp;col=14&amp;number=&amp;sourceID=30","")</f>
        <v/>
      </c>
      <c r="O579" s="4" t="str">
        <f>HYPERLINK("http://141.218.60.56/~jnz1568/getInfo.php?workbook=06_02.xlsx&amp;sheet=A0&amp;row=579&amp;col=15&amp;number=&amp;sourceID=32","")</f>
        <v/>
      </c>
      <c r="P579" s="4" t="str">
        <f>HYPERLINK("http://141.218.60.56/~jnz1568/getInfo.php?workbook=06_02.xlsx&amp;sheet=A0&amp;row=579&amp;col=16&amp;number=18.98&amp;sourceID=32","18.98")</f>
        <v>18.98</v>
      </c>
      <c r="Q579" s="4" t="str">
        <f>HYPERLINK("http://141.218.60.56/~jnz1568/getInfo.php?workbook=06_02.xlsx&amp;sheet=A0&amp;row=579&amp;col=17&amp;number=&amp;sourceID=32","")</f>
        <v/>
      </c>
      <c r="R579" s="4" t="str">
        <f>HYPERLINK("http://141.218.60.56/~jnz1568/getInfo.php?workbook=06_02.xlsx&amp;sheet=A0&amp;row=579&amp;col=18&amp;number=&amp;sourceID=32","")</f>
        <v/>
      </c>
    </row>
    <row r="580" spans="1:18">
      <c r="A580" s="3">
        <v>6</v>
      </c>
      <c r="B580" s="3">
        <v>2</v>
      </c>
      <c r="C580" s="3">
        <v>38</v>
      </c>
      <c r="D580" s="3">
        <v>20</v>
      </c>
      <c r="E580" s="3">
        <f>((1/(INDEX(E0!J$4:J$52,C580,1)-INDEX(E0!J$4:J$52,D580,1))))*100000000</f>
        <v>0</v>
      </c>
      <c r="F580" s="4" t="str">
        <f>HYPERLINK("http://141.218.60.56/~jnz1568/getInfo.php?workbook=06_02.xlsx&amp;sheet=A0&amp;row=580&amp;col=6&amp;number=&amp;sourceID=27","")</f>
        <v/>
      </c>
      <c r="G580" s="4" t="str">
        <f>HYPERLINK("http://141.218.60.56/~jnz1568/getInfo.php?workbook=06_02.xlsx&amp;sheet=A0&amp;row=580&amp;col=7&amp;number=&amp;sourceID=34","")</f>
        <v/>
      </c>
      <c r="H580" s="4" t="str">
        <f>HYPERLINK("http://141.218.60.56/~jnz1568/getInfo.php?workbook=06_02.xlsx&amp;sheet=A0&amp;row=580&amp;col=8&amp;number=&amp;sourceID=34","")</f>
        <v/>
      </c>
      <c r="I580" s="4" t="str">
        <f>HYPERLINK("http://141.218.60.56/~jnz1568/getInfo.php?workbook=06_02.xlsx&amp;sheet=A0&amp;row=580&amp;col=9&amp;number=&amp;sourceID=34","")</f>
        <v/>
      </c>
      <c r="J580" s="4" t="str">
        <f>HYPERLINK("http://141.218.60.56/~jnz1568/getInfo.php?workbook=06_02.xlsx&amp;sheet=A0&amp;row=580&amp;col=10&amp;number=&amp;sourceID=34","")</f>
        <v/>
      </c>
      <c r="K580" s="4" t="str">
        <f>HYPERLINK("http://141.218.60.56/~jnz1568/getInfo.php?workbook=06_02.xlsx&amp;sheet=A0&amp;row=580&amp;col=11&amp;number=&amp;sourceID=30","")</f>
        <v/>
      </c>
      <c r="L580" s="4" t="str">
        <f>HYPERLINK("http://141.218.60.56/~jnz1568/getInfo.php?workbook=06_02.xlsx&amp;sheet=A0&amp;row=580&amp;col=12&amp;number=&amp;sourceID=30","")</f>
        <v/>
      </c>
      <c r="M580" s="4" t="str">
        <f>HYPERLINK("http://141.218.60.56/~jnz1568/getInfo.php?workbook=06_02.xlsx&amp;sheet=A0&amp;row=580&amp;col=13&amp;number=&amp;sourceID=30","")</f>
        <v/>
      </c>
      <c r="N580" s="4" t="str">
        <f>HYPERLINK("http://141.218.60.56/~jnz1568/getInfo.php?workbook=06_02.xlsx&amp;sheet=A0&amp;row=580&amp;col=14&amp;number=0.0007183&amp;sourceID=30","0.0007183")</f>
        <v>0.0007183</v>
      </c>
      <c r="O580" s="4" t="str">
        <f>HYPERLINK("http://141.218.60.56/~jnz1568/getInfo.php?workbook=06_02.xlsx&amp;sheet=A0&amp;row=580&amp;col=15&amp;number=&amp;sourceID=32","")</f>
        <v/>
      </c>
      <c r="P580" s="4" t="str">
        <f>HYPERLINK("http://141.218.60.56/~jnz1568/getInfo.php?workbook=06_02.xlsx&amp;sheet=A0&amp;row=580&amp;col=16&amp;number=&amp;sourceID=32","")</f>
        <v/>
      </c>
      <c r="Q580" s="4" t="str">
        <f>HYPERLINK("http://141.218.60.56/~jnz1568/getInfo.php?workbook=06_02.xlsx&amp;sheet=A0&amp;row=580&amp;col=17&amp;number=&amp;sourceID=32","")</f>
        <v/>
      </c>
      <c r="R580" s="4" t="str">
        <f>HYPERLINK("http://141.218.60.56/~jnz1568/getInfo.php?workbook=06_02.xlsx&amp;sheet=A0&amp;row=580&amp;col=18&amp;number=0.0007008&amp;sourceID=32","0.0007008")</f>
        <v>0.0007008</v>
      </c>
    </row>
    <row r="581" spans="1:18">
      <c r="A581" s="3">
        <v>6</v>
      </c>
      <c r="B581" s="3">
        <v>2</v>
      </c>
      <c r="C581" s="3">
        <v>38</v>
      </c>
      <c r="D581" s="3">
        <v>21</v>
      </c>
      <c r="E581" s="3">
        <f>((1/(INDEX(E0!J$4:J$52,C581,1)-INDEX(E0!J$4:J$52,D581,1))))*100000000</f>
        <v>0</v>
      </c>
      <c r="F581" s="4" t="str">
        <f>HYPERLINK("http://141.218.60.56/~jnz1568/getInfo.php?workbook=06_02.xlsx&amp;sheet=A0&amp;row=581&amp;col=6&amp;number=&amp;sourceID=27","")</f>
        <v/>
      </c>
      <c r="G581" s="4" t="str">
        <f>HYPERLINK("http://141.218.60.56/~jnz1568/getInfo.php?workbook=06_02.xlsx&amp;sheet=A0&amp;row=581&amp;col=7&amp;number=&amp;sourceID=34","")</f>
        <v/>
      </c>
      <c r="H581" s="4" t="str">
        <f>HYPERLINK("http://141.218.60.56/~jnz1568/getInfo.php?workbook=06_02.xlsx&amp;sheet=A0&amp;row=581&amp;col=8&amp;number=&amp;sourceID=34","")</f>
        <v/>
      </c>
      <c r="I581" s="4" t="str">
        <f>HYPERLINK("http://141.218.60.56/~jnz1568/getInfo.php?workbook=06_02.xlsx&amp;sheet=A0&amp;row=581&amp;col=9&amp;number=&amp;sourceID=34","")</f>
        <v/>
      </c>
      <c r="J581" s="4" t="str">
        <f>HYPERLINK("http://141.218.60.56/~jnz1568/getInfo.php?workbook=06_02.xlsx&amp;sheet=A0&amp;row=581&amp;col=10&amp;number=&amp;sourceID=34","")</f>
        <v/>
      </c>
      <c r="K581" s="4" t="str">
        <f>HYPERLINK("http://141.218.60.56/~jnz1568/getInfo.php?workbook=06_02.xlsx&amp;sheet=A0&amp;row=581&amp;col=11&amp;number=653800000&amp;sourceID=30","653800000")</f>
        <v>653800000</v>
      </c>
      <c r="L581" s="4" t="str">
        <f>HYPERLINK("http://141.218.60.56/~jnz1568/getInfo.php?workbook=06_02.xlsx&amp;sheet=A0&amp;row=581&amp;col=12&amp;number=&amp;sourceID=30","")</f>
        <v/>
      </c>
      <c r="M581" s="4" t="str">
        <f>HYPERLINK("http://141.218.60.56/~jnz1568/getInfo.php?workbook=06_02.xlsx&amp;sheet=A0&amp;row=581&amp;col=13&amp;number=&amp;sourceID=30","")</f>
        <v/>
      </c>
      <c r="N581" s="4" t="str">
        <f>HYPERLINK("http://141.218.60.56/~jnz1568/getInfo.php?workbook=06_02.xlsx&amp;sheet=A0&amp;row=581&amp;col=14&amp;number=0.01299&amp;sourceID=30","0.01299")</f>
        <v>0.01299</v>
      </c>
      <c r="O581" s="4" t="str">
        <f>HYPERLINK("http://141.218.60.56/~jnz1568/getInfo.php?workbook=06_02.xlsx&amp;sheet=A0&amp;row=581&amp;col=15&amp;number=659000000&amp;sourceID=32","659000000")</f>
        <v>659000000</v>
      </c>
      <c r="P581" s="4" t="str">
        <f>HYPERLINK("http://141.218.60.56/~jnz1568/getInfo.php?workbook=06_02.xlsx&amp;sheet=A0&amp;row=581&amp;col=16&amp;number=&amp;sourceID=32","")</f>
        <v/>
      </c>
      <c r="Q581" s="4" t="str">
        <f>HYPERLINK("http://141.218.60.56/~jnz1568/getInfo.php?workbook=06_02.xlsx&amp;sheet=A0&amp;row=581&amp;col=17&amp;number=&amp;sourceID=32","")</f>
        <v/>
      </c>
      <c r="R581" s="4" t="str">
        <f>HYPERLINK("http://141.218.60.56/~jnz1568/getInfo.php?workbook=06_02.xlsx&amp;sheet=A0&amp;row=581&amp;col=18&amp;number=0.01297&amp;sourceID=32","0.01297")</f>
        <v>0.01297</v>
      </c>
    </row>
    <row r="582" spans="1:18">
      <c r="A582" s="3">
        <v>6</v>
      </c>
      <c r="B582" s="3">
        <v>2</v>
      </c>
      <c r="C582" s="3">
        <v>38</v>
      </c>
      <c r="D582" s="3">
        <v>22</v>
      </c>
      <c r="E582" s="3">
        <f>((1/(INDEX(E0!J$4:J$52,C582,1)-INDEX(E0!J$4:J$52,D582,1))))*100000000</f>
        <v>0</v>
      </c>
      <c r="F582" s="4" t="str">
        <f>HYPERLINK("http://141.218.60.56/~jnz1568/getInfo.php?workbook=06_02.xlsx&amp;sheet=A0&amp;row=582&amp;col=6&amp;number=&amp;sourceID=27","")</f>
        <v/>
      </c>
      <c r="G582" s="4" t="str">
        <f>HYPERLINK("http://141.218.60.56/~jnz1568/getInfo.php?workbook=06_02.xlsx&amp;sheet=A0&amp;row=582&amp;col=7&amp;number=&amp;sourceID=34","")</f>
        <v/>
      </c>
      <c r="H582" s="4" t="str">
        <f>HYPERLINK("http://141.218.60.56/~jnz1568/getInfo.php?workbook=06_02.xlsx&amp;sheet=A0&amp;row=582&amp;col=8&amp;number=&amp;sourceID=34","")</f>
        <v/>
      </c>
      <c r="I582" s="4" t="str">
        <f>HYPERLINK("http://141.218.60.56/~jnz1568/getInfo.php?workbook=06_02.xlsx&amp;sheet=A0&amp;row=582&amp;col=9&amp;number=&amp;sourceID=34","")</f>
        <v/>
      </c>
      <c r="J582" s="4" t="str">
        <f>HYPERLINK("http://141.218.60.56/~jnz1568/getInfo.php?workbook=06_02.xlsx&amp;sheet=A0&amp;row=582&amp;col=10&amp;number=&amp;sourceID=34","")</f>
        <v/>
      </c>
      <c r="K582" s="4" t="str">
        <f>HYPERLINK("http://141.218.60.56/~jnz1568/getInfo.php?workbook=06_02.xlsx&amp;sheet=A0&amp;row=582&amp;col=11&amp;number=217900000&amp;sourceID=30","217900000")</f>
        <v>217900000</v>
      </c>
      <c r="L582" s="4" t="str">
        <f>HYPERLINK("http://141.218.60.56/~jnz1568/getInfo.php?workbook=06_02.xlsx&amp;sheet=A0&amp;row=582&amp;col=12&amp;number=&amp;sourceID=30","")</f>
        <v/>
      </c>
      <c r="M582" s="4" t="str">
        <f>HYPERLINK("http://141.218.60.56/~jnz1568/getInfo.php?workbook=06_02.xlsx&amp;sheet=A0&amp;row=582&amp;col=13&amp;number=&amp;sourceID=30","")</f>
        <v/>
      </c>
      <c r="N582" s="4" t="str">
        <f>HYPERLINK("http://141.218.60.56/~jnz1568/getInfo.php?workbook=06_02.xlsx&amp;sheet=A0&amp;row=582&amp;col=14&amp;number=0.005573&amp;sourceID=30","0.005573")</f>
        <v>0.005573</v>
      </c>
      <c r="O582" s="4" t="str">
        <f>HYPERLINK("http://141.218.60.56/~jnz1568/getInfo.php?workbook=06_02.xlsx&amp;sheet=A0&amp;row=582&amp;col=15&amp;number=219600000&amp;sourceID=32","219600000")</f>
        <v>219600000</v>
      </c>
      <c r="P582" s="4" t="str">
        <f>HYPERLINK("http://141.218.60.56/~jnz1568/getInfo.php?workbook=06_02.xlsx&amp;sheet=A0&amp;row=582&amp;col=16&amp;number=&amp;sourceID=32","")</f>
        <v/>
      </c>
      <c r="Q582" s="4" t="str">
        <f>HYPERLINK("http://141.218.60.56/~jnz1568/getInfo.php?workbook=06_02.xlsx&amp;sheet=A0&amp;row=582&amp;col=17&amp;number=&amp;sourceID=32","")</f>
        <v/>
      </c>
      <c r="R582" s="4" t="str">
        <f>HYPERLINK("http://141.218.60.56/~jnz1568/getInfo.php?workbook=06_02.xlsx&amp;sheet=A0&amp;row=582&amp;col=18&amp;number=0.005542&amp;sourceID=32","0.005542")</f>
        <v>0.005542</v>
      </c>
    </row>
    <row r="583" spans="1:18">
      <c r="A583" s="3">
        <v>6</v>
      </c>
      <c r="B583" s="3">
        <v>2</v>
      </c>
      <c r="C583" s="3">
        <v>38</v>
      </c>
      <c r="D583" s="3">
        <v>23</v>
      </c>
      <c r="E583" s="3">
        <f>((1/(INDEX(E0!J$4:J$52,C583,1)-INDEX(E0!J$4:J$52,D583,1))))*100000000</f>
        <v>0</v>
      </c>
      <c r="F583" s="4" t="str">
        <f>HYPERLINK("http://141.218.60.56/~jnz1568/getInfo.php?workbook=06_02.xlsx&amp;sheet=A0&amp;row=583&amp;col=6&amp;number=&amp;sourceID=27","")</f>
        <v/>
      </c>
      <c r="G583" s="4" t="str">
        <f>HYPERLINK("http://141.218.60.56/~jnz1568/getInfo.php?workbook=06_02.xlsx&amp;sheet=A0&amp;row=583&amp;col=7&amp;number=&amp;sourceID=34","")</f>
        <v/>
      </c>
      <c r="H583" s="4" t="str">
        <f>HYPERLINK("http://141.218.60.56/~jnz1568/getInfo.php?workbook=06_02.xlsx&amp;sheet=A0&amp;row=583&amp;col=8&amp;number=&amp;sourceID=34","")</f>
        <v/>
      </c>
      <c r="I583" s="4" t="str">
        <f>HYPERLINK("http://141.218.60.56/~jnz1568/getInfo.php?workbook=06_02.xlsx&amp;sheet=A0&amp;row=583&amp;col=9&amp;number=&amp;sourceID=34","")</f>
        <v/>
      </c>
      <c r="J583" s="4" t="str">
        <f>HYPERLINK("http://141.218.60.56/~jnz1568/getInfo.php?workbook=06_02.xlsx&amp;sheet=A0&amp;row=583&amp;col=10&amp;number=&amp;sourceID=34","")</f>
        <v/>
      </c>
      <c r="K583" s="4" t="str">
        <f>HYPERLINK("http://141.218.60.56/~jnz1568/getInfo.php?workbook=06_02.xlsx&amp;sheet=A0&amp;row=583&amp;col=11&amp;number=&amp;sourceID=30","")</f>
        <v/>
      </c>
      <c r="L583" s="4" t="str">
        <f>HYPERLINK("http://141.218.60.56/~jnz1568/getInfo.php?workbook=06_02.xlsx&amp;sheet=A0&amp;row=583&amp;col=12&amp;number=1451&amp;sourceID=30","1451")</f>
        <v>1451</v>
      </c>
      <c r="M583" s="4" t="str">
        <f>HYPERLINK("http://141.218.60.56/~jnz1568/getInfo.php?workbook=06_02.xlsx&amp;sheet=A0&amp;row=583&amp;col=13&amp;number=5.239e-07&amp;sourceID=30","5.239e-07")</f>
        <v>5.239e-07</v>
      </c>
      <c r="N583" s="4" t="str">
        <f>HYPERLINK("http://141.218.60.56/~jnz1568/getInfo.php?workbook=06_02.xlsx&amp;sheet=A0&amp;row=583&amp;col=14&amp;number=&amp;sourceID=30","")</f>
        <v/>
      </c>
      <c r="O583" s="4" t="str">
        <f>HYPERLINK("http://141.218.60.56/~jnz1568/getInfo.php?workbook=06_02.xlsx&amp;sheet=A0&amp;row=583&amp;col=15&amp;number=&amp;sourceID=32","")</f>
        <v/>
      </c>
      <c r="P583" s="4" t="str">
        <f>HYPERLINK("http://141.218.60.56/~jnz1568/getInfo.php?workbook=06_02.xlsx&amp;sheet=A0&amp;row=583&amp;col=16&amp;number=1454&amp;sourceID=32","1454")</f>
        <v>1454</v>
      </c>
      <c r="Q583" s="4" t="str">
        <f>HYPERLINK("http://141.218.60.56/~jnz1568/getInfo.php?workbook=06_02.xlsx&amp;sheet=A0&amp;row=583&amp;col=17&amp;number=6.24e-07&amp;sourceID=32","6.24e-07")</f>
        <v>6.24e-07</v>
      </c>
      <c r="R583" s="4" t="str">
        <f>HYPERLINK("http://141.218.60.56/~jnz1568/getInfo.php?workbook=06_02.xlsx&amp;sheet=A0&amp;row=583&amp;col=18&amp;number=&amp;sourceID=32","")</f>
        <v/>
      </c>
    </row>
    <row r="584" spans="1:18">
      <c r="A584" s="3">
        <v>6</v>
      </c>
      <c r="B584" s="3">
        <v>2</v>
      </c>
      <c r="C584" s="3">
        <v>38</v>
      </c>
      <c r="D584" s="3">
        <v>24</v>
      </c>
      <c r="E584" s="3">
        <f>((1/(INDEX(E0!J$4:J$52,C584,1)-INDEX(E0!J$4:J$52,D584,1))))*100000000</f>
        <v>0</v>
      </c>
      <c r="F584" s="4" t="str">
        <f>HYPERLINK("http://141.218.60.56/~jnz1568/getInfo.php?workbook=06_02.xlsx&amp;sheet=A0&amp;row=584&amp;col=6&amp;number=&amp;sourceID=27","")</f>
        <v/>
      </c>
      <c r="G584" s="4" t="str">
        <f>HYPERLINK("http://141.218.60.56/~jnz1568/getInfo.php?workbook=06_02.xlsx&amp;sheet=A0&amp;row=584&amp;col=7&amp;number=&amp;sourceID=34","")</f>
        <v/>
      </c>
      <c r="H584" s="4" t="str">
        <f>HYPERLINK("http://141.218.60.56/~jnz1568/getInfo.php?workbook=06_02.xlsx&amp;sheet=A0&amp;row=584&amp;col=8&amp;number=&amp;sourceID=34","")</f>
        <v/>
      </c>
      <c r="I584" s="4" t="str">
        <f>HYPERLINK("http://141.218.60.56/~jnz1568/getInfo.php?workbook=06_02.xlsx&amp;sheet=A0&amp;row=584&amp;col=9&amp;number=&amp;sourceID=34","")</f>
        <v/>
      </c>
      <c r="J584" s="4" t="str">
        <f>HYPERLINK("http://141.218.60.56/~jnz1568/getInfo.php?workbook=06_02.xlsx&amp;sheet=A0&amp;row=584&amp;col=10&amp;number=&amp;sourceID=34","")</f>
        <v/>
      </c>
      <c r="K584" s="4" t="str">
        <f>HYPERLINK("http://141.218.60.56/~jnz1568/getInfo.php?workbook=06_02.xlsx&amp;sheet=A0&amp;row=584&amp;col=11&amp;number=&amp;sourceID=30","")</f>
        <v/>
      </c>
      <c r="L584" s="4" t="str">
        <f>HYPERLINK("http://141.218.60.56/~jnz1568/getInfo.php?workbook=06_02.xlsx&amp;sheet=A0&amp;row=584&amp;col=12&amp;number=1041&amp;sourceID=30","1041")</f>
        <v>1041</v>
      </c>
      <c r="M584" s="4" t="str">
        <f>HYPERLINK("http://141.218.60.56/~jnz1568/getInfo.php?workbook=06_02.xlsx&amp;sheet=A0&amp;row=584&amp;col=13&amp;number=1.488e-05&amp;sourceID=30","1.488e-05")</f>
        <v>1.488e-05</v>
      </c>
      <c r="N584" s="4" t="str">
        <f>HYPERLINK("http://141.218.60.56/~jnz1568/getInfo.php?workbook=06_02.xlsx&amp;sheet=A0&amp;row=584&amp;col=14&amp;number=&amp;sourceID=30","")</f>
        <v/>
      </c>
      <c r="O584" s="4" t="str">
        <f>HYPERLINK("http://141.218.60.56/~jnz1568/getInfo.php?workbook=06_02.xlsx&amp;sheet=A0&amp;row=584&amp;col=15&amp;number=&amp;sourceID=32","")</f>
        <v/>
      </c>
      <c r="P584" s="4" t="str">
        <f>HYPERLINK("http://141.218.60.56/~jnz1568/getInfo.php?workbook=06_02.xlsx&amp;sheet=A0&amp;row=584&amp;col=16&amp;number=1045&amp;sourceID=32","1045")</f>
        <v>1045</v>
      </c>
      <c r="Q584" s="4" t="str">
        <f>HYPERLINK("http://141.218.60.56/~jnz1568/getInfo.php?workbook=06_02.xlsx&amp;sheet=A0&amp;row=584&amp;col=17&amp;number=1.497e-05&amp;sourceID=32","1.497e-05")</f>
        <v>1.497e-05</v>
      </c>
      <c r="R584" s="4" t="str">
        <f>HYPERLINK("http://141.218.60.56/~jnz1568/getInfo.php?workbook=06_02.xlsx&amp;sheet=A0&amp;row=584&amp;col=18&amp;number=&amp;sourceID=32","")</f>
        <v/>
      </c>
    </row>
    <row r="585" spans="1:18">
      <c r="A585" s="3">
        <v>6</v>
      </c>
      <c r="B585" s="3">
        <v>2</v>
      </c>
      <c r="C585" s="3">
        <v>38</v>
      </c>
      <c r="D585" s="3">
        <v>25</v>
      </c>
      <c r="E585" s="3">
        <f>((1/(INDEX(E0!J$4:J$52,C585,1)-INDEX(E0!J$4:J$52,D585,1))))*100000000</f>
        <v>0</v>
      </c>
      <c r="F585" s="4" t="str">
        <f>HYPERLINK("http://141.218.60.56/~jnz1568/getInfo.php?workbook=06_02.xlsx&amp;sheet=A0&amp;row=585&amp;col=6&amp;number=&amp;sourceID=27","")</f>
        <v/>
      </c>
      <c r="G585" s="4" t="str">
        <f>HYPERLINK("http://141.218.60.56/~jnz1568/getInfo.php?workbook=06_02.xlsx&amp;sheet=A0&amp;row=585&amp;col=7&amp;number=&amp;sourceID=34","")</f>
        <v/>
      </c>
      <c r="H585" s="4" t="str">
        <f>HYPERLINK("http://141.218.60.56/~jnz1568/getInfo.php?workbook=06_02.xlsx&amp;sheet=A0&amp;row=585&amp;col=8&amp;number=&amp;sourceID=34","")</f>
        <v/>
      </c>
      <c r="I585" s="4" t="str">
        <f>HYPERLINK("http://141.218.60.56/~jnz1568/getInfo.php?workbook=06_02.xlsx&amp;sheet=A0&amp;row=585&amp;col=9&amp;number=&amp;sourceID=34","")</f>
        <v/>
      </c>
      <c r="J585" s="4" t="str">
        <f>HYPERLINK("http://141.218.60.56/~jnz1568/getInfo.php?workbook=06_02.xlsx&amp;sheet=A0&amp;row=585&amp;col=10&amp;number=&amp;sourceID=34","")</f>
        <v/>
      </c>
      <c r="K585" s="4" t="str">
        <f>HYPERLINK("http://141.218.60.56/~jnz1568/getInfo.php?workbook=06_02.xlsx&amp;sheet=A0&amp;row=585&amp;col=11&amp;number=&amp;sourceID=30","")</f>
        <v/>
      </c>
      <c r="L585" s="4" t="str">
        <f>HYPERLINK("http://141.218.60.56/~jnz1568/getInfo.php?workbook=06_02.xlsx&amp;sheet=A0&amp;row=585&amp;col=12&amp;number=1658&amp;sourceID=30","1658")</f>
        <v>1658</v>
      </c>
      <c r="M585" s="4" t="str">
        <f>HYPERLINK("http://141.218.60.56/~jnz1568/getInfo.php?workbook=06_02.xlsx&amp;sheet=A0&amp;row=585&amp;col=13&amp;number=1.421e-05&amp;sourceID=30","1.421e-05")</f>
        <v>1.421e-05</v>
      </c>
      <c r="N585" s="4" t="str">
        <f>HYPERLINK("http://141.218.60.56/~jnz1568/getInfo.php?workbook=06_02.xlsx&amp;sheet=A0&amp;row=585&amp;col=14&amp;number=&amp;sourceID=30","")</f>
        <v/>
      </c>
      <c r="O585" s="4" t="str">
        <f>HYPERLINK("http://141.218.60.56/~jnz1568/getInfo.php?workbook=06_02.xlsx&amp;sheet=A0&amp;row=585&amp;col=15&amp;number=&amp;sourceID=32","")</f>
        <v/>
      </c>
      <c r="P585" s="4" t="str">
        <f>HYPERLINK("http://141.218.60.56/~jnz1568/getInfo.php?workbook=06_02.xlsx&amp;sheet=A0&amp;row=585&amp;col=16&amp;number=1661&amp;sourceID=32","1661")</f>
        <v>1661</v>
      </c>
      <c r="Q585" s="4" t="str">
        <f>HYPERLINK("http://141.218.60.56/~jnz1568/getInfo.php?workbook=06_02.xlsx&amp;sheet=A0&amp;row=585&amp;col=17&amp;number=1.324e-05&amp;sourceID=32","1.324e-05")</f>
        <v>1.324e-05</v>
      </c>
      <c r="R585" s="4" t="str">
        <f>HYPERLINK("http://141.218.60.56/~jnz1568/getInfo.php?workbook=06_02.xlsx&amp;sheet=A0&amp;row=585&amp;col=18&amp;number=&amp;sourceID=32","")</f>
        <v/>
      </c>
    </row>
    <row r="586" spans="1:18">
      <c r="A586" s="3">
        <v>6</v>
      </c>
      <c r="B586" s="3">
        <v>2</v>
      </c>
      <c r="C586" s="3">
        <v>38</v>
      </c>
      <c r="D586" s="3">
        <v>26</v>
      </c>
      <c r="E586" s="3">
        <f>((1/(INDEX(E0!J$4:J$52,C586,1)-INDEX(E0!J$4:J$52,D586,1))))*100000000</f>
        <v>0</v>
      </c>
      <c r="F586" s="4" t="str">
        <f>HYPERLINK("http://141.218.60.56/~jnz1568/getInfo.php?workbook=06_02.xlsx&amp;sheet=A0&amp;row=586&amp;col=6&amp;number=&amp;sourceID=27","")</f>
        <v/>
      </c>
      <c r="G586" s="4" t="str">
        <f>HYPERLINK("http://141.218.60.56/~jnz1568/getInfo.php?workbook=06_02.xlsx&amp;sheet=A0&amp;row=586&amp;col=7&amp;number=&amp;sourceID=34","")</f>
        <v/>
      </c>
      <c r="H586" s="4" t="str">
        <f>HYPERLINK("http://141.218.60.56/~jnz1568/getInfo.php?workbook=06_02.xlsx&amp;sheet=A0&amp;row=586&amp;col=8&amp;number=&amp;sourceID=34","")</f>
        <v/>
      </c>
      <c r="I586" s="4" t="str">
        <f>HYPERLINK("http://141.218.60.56/~jnz1568/getInfo.php?workbook=06_02.xlsx&amp;sheet=A0&amp;row=586&amp;col=9&amp;number=&amp;sourceID=34","")</f>
        <v/>
      </c>
      <c r="J586" s="4" t="str">
        <f>HYPERLINK("http://141.218.60.56/~jnz1568/getInfo.php?workbook=06_02.xlsx&amp;sheet=A0&amp;row=586&amp;col=10&amp;number=&amp;sourceID=34","")</f>
        <v/>
      </c>
      <c r="K586" s="4" t="str">
        <f>HYPERLINK("http://141.218.60.56/~jnz1568/getInfo.php?workbook=06_02.xlsx&amp;sheet=A0&amp;row=586&amp;col=11&amp;number=8627000&amp;sourceID=30","8627000")</f>
        <v>8627000</v>
      </c>
      <c r="L586" s="4" t="str">
        <f>HYPERLINK("http://141.218.60.56/~jnz1568/getInfo.php?workbook=06_02.xlsx&amp;sheet=A0&amp;row=586&amp;col=12&amp;number=&amp;sourceID=30","")</f>
        <v/>
      </c>
      <c r="M586" s="4" t="str">
        <f>HYPERLINK("http://141.218.60.56/~jnz1568/getInfo.php?workbook=06_02.xlsx&amp;sheet=A0&amp;row=586&amp;col=13&amp;number=&amp;sourceID=30","")</f>
        <v/>
      </c>
      <c r="N586" s="4" t="str">
        <f>HYPERLINK("http://141.218.60.56/~jnz1568/getInfo.php?workbook=06_02.xlsx&amp;sheet=A0&amp;row=586&amp;col=14&amp;number=0.001106&amp;sourceID=30","0.001106")</f>
        <v>0.001106</v>
      </c>
      <c r="O586" s="4" t="str">
        <f>HYPERLINK("http://141.218.60.56/~jnz1568/getInfo.php?workbook=06_02.xlsx&amp;sheet=A0&amp;row=586&amp;col=15&amp;number=19620000&amp;sourceID=32","19620000")</f>
        <v>19620000</v>
      </c>
      <c r="P586" s="4" t="str">
        <f>HYPERLINK("http://141.218.60.56/~jnz1568/getInfo.php?workbook=06_02.xlsx&amp;sheet=A0&amp;row=586&amp;col=16&amp;number=&amp;sourceID=32","")</f>
        <v/>
      </c>
      <c r="Q586" s="4" t="str">
        <f>HYPERLINK("http://141.218.60.56/~jnz1568/getInfo.php?workbook=06_02.xlsx&amp;sheet=A0&amp;row=586&amp;col=17&amp;number=&amp;sourceID=32","")</f>
        <v/>
      </c>
      <c r="R586" s="4" t="str">
        <f>HYPERLINK("http://141.218.60.56/~jnz1568/getInfo.php?workbook=06_02.xlsx&amp;sheet=A0&amp;row=586&amp;col=18&amp;number=0.0002323&amp;sourceID=32","0.0002323")</f>
        <v>0.0002323</v>
      </c>
    </row>
    <row r="587" spans="1:18">
      <c r="A587" s="3">
        <v>6</v>
      </c>
      <c r="B587" s="3">
        <v>2</v>
      </c>
      <c r="C587" s="3">
        <v>38</v>
      </c>
      <c r="D587" s="3">
        <v>27</v>
      </c>
      <c r="E587" s="3">
        <f>((1/(INDEX(E0!J$4:J$52,C587,1)-INDEX(E0!J$4:J$52,D587,1))))*100000000</f>
        <v>0</v>
      </c>
      <c r="F587" s="4" t="str">
        <f>HYPERLINK("http://141.218.60.56/~jnz1568/getInfo.php?workbook=06_02.xlsx&amp;sheet=A0&amp;row=587&amp;col=6&amp;number=&amp;sourceID=27","")</f>
        <v/>
      </c>
      <c r="G587" s="4" t="str">
        <f>HYPERLINK("http://141.218.60.56/~jnz1568/getInfo.php?workbook=06_02.xlsx&amp;sheet=A0&amp;row=587&amp;col=7&amp;number=&amp;sourceID=34","")</f>
        <v/>
      </c>
      <c r="H587" s="4" t="str">
        <f>HYPERLINK("http://141.218.60.56/~jnz1568/getInfo.php?workbook=06_02.xlsx&amp;sheet=A0&amp;row=587&amp;col=8&amp;number=&amp;sourceID=34","")</f>
        <v/>
      </c>
      <c r="I587" s="4" t="str">
        <f>HYPERLINK("http://141.218.60.56/~jnz1568/getInfo.php?workbook=06_02.xlsx&amp;sheet=A0&amp;row=587&amp;col=9&amp;number=&amp;sourceID=34","")</f>
        <v/>
      </c>
      <c r="J587" s="4" t="str">
        <f>HYPERLINK("http://141.218.60.56/~jnz1568/getInfo.php?workbook=06_02.xlsx&amp;sheet=A0&amp;row=587&amp;col=10&amp;number=&amp;sourceID=34","")</f>
        <v/>
      </c>
      <c r="K587" s="4" t="str">
        <f>HYPERLINK("http://141.218.60.56/~jnz1568/getInfo.php?workbook=06_02.xlsx&amp;sheet=A0&amp;row=587&amp;col=11&amp;number=3560000&amp;sourceID=30","3560000")</f>
        <v>3560000</v>
      </c>
      <c r="L587" s="4" t="str">
        <f>HYPERLINK("http://141.218.60.56/~jnz1568/getInfo.php?workbook=06_02.xlsx&amp;sheet=A0&amp;row=587&amp;col=12&amp;number=&amp;sourceID=30","")</f>
        <v/>
      </c>
      <c r="M587" s="4" t="str">
        <f>HYPERLINK("http://141.218.60.56/~jnz1568/getInfo.php?workbook=06_02.xlsx&amp;sheet=A0&amp;row=587&amp;col=13&amp;number=&amp;sourceID=30","")</f>
        <v/>
      </c>
      <c r="N587" s="4" t="str">
        <f>HYPERLINK("http://141.218.60.56/~jnz1568/getInfo.php?workbook=06_02.xlsx&amp;sheet=A0&amp;row=587&amp;col=14&amp;number=4.093e-05&amp;sourceID=30","4.093e-05")</f>
        <v>4.093e-05</v>
      </c>
      <c r="O587" s="4" t="str">
        <f>HYPERLINK("http://141.218.60.56/~jnz1568/getInfo.php?workbook=06_02.xlsx&amp;sheet=A0&amp;row=587&amp;col=15&amp;number=3573000&amp;sourceID=32","3573000")</f>
        <v>3573000</v>
      </c>
      <c r="P587" s="4" t="str">
        <f>HYPERLINK("http://141.218.60.56/~jnz1568/getInfo.php?workbook=06_02.xlsx&amp;sheet=A0&amp;row=587&amp;col=16&amp;number=&amp;sourceID=32","")</f>
        <v/>
      </c>
      <c r="Q587" s="4" t="str">
        <f>HYPERLINK("http://141.218.60.56/~jnz1568/getInfo.php?workbook=06_02.xlsx&amp;sheet=A0&amp;row=587&amp;col=17&amp;number=&amp;sourceID=32","")</f>
        <v/>
      </c>
      <c r="R587" s="4" t="str">
        <f>HYPERLINK("http://141.218.60.56/~jnz1568/getInfo.php?workbook=06_02.xlsx&amp;sheet=A0&amp;row=587&amp;col=18&amp;number=4.15e-05&amp;sourceID=32","4.15e-05")</f>
        <v>4.15e-05</v>
      </c>
    </row>
    <row r="588" spans="1:18">
      <c r="A588" s="3">
        <v>6</v>
      </c>
      <c r="B588" s="3">
        <v>2</v>
      </c>
      <c r="C588" s="3">
        <v>38</v>
      </c>
      <c r="D588" s="3">
        <v>28</v>
      </c>
      <c r="E588" s="3">
        <f>((1/(INDEX(E0!J$4:J$52,C588,1)-INDEX(E0!J$4:J$52,D588,1))))*100000000</f>
        <v>0</v>
      </c>
      <c r="F588" s="4" t="str">
        <f>HYPERLINK("http://141.218.60.56/~jnz1568/getInfo.php?workbook=06_02.xlsx&amp;sheet=A0&amp;row=588&amp;col=6&amp;number=&amp;sourceID=27","")</f>
        <v/>
      </c>
      <c r="G588" s="4" t="str">
        <f>HYPERLINK("http://141.218.60.56/~jnz1568/getInfo.php?workbook=06_02.xlsx&amp;sheet=A0&amp;row=588&amp;col=7&amp;number=&amp;sourceID=34","")</f>
        <v/>
      </c>
      <c r="H588" s="4" t="str">
        <f>HYPERLINK("http://141.218.60.56/~jnz1568/getInfo.php?workbook=06_02.xlsx&amp;sheet=A0&amp;row=588&amp;col=8&amp;number=&amp;sourceID=34","")</f>
        <v/>
      </c>
      <c r="I588" s="4" t="str">
        <f>HYPERLINK("http://141.218.60.56/~jnz1568/getInfo.php?workbook=06_02.xlsx&amp;sheet=A0&amp;row=588&amp;col=9&amp;number=&amp;sourceID=34","")</f>
        <v/>
      </c>
      <c r="J588" s="4" t="str">
        <f>HYPERLINK("http://141.218.60.56/~jnz1568/getInfo.php?workbook=06_02.xlsx&amp;sheet=A0&amp;row=588&amp;col=10&amp;number=&amp;sourceID=34","")</f>
        <v/>
      </c>
      <c r="K588" s="4" t="str">
        <f>HYPERLINK("http://141.218.60.56/~jnz1568/getInfo.php?workbook=06_02.xlsx&amp;sheet=A0&amp;row=588&amp;col=11&amp;number=19890000&amp;sourceID=30","19890000")</f>
        <v>19890000</v>
      </c>
      <c r="L588" s="4" t="str">
        <f>HYPERLINK("http://141.218.60.56/~jnz1568/getInfo.php?workbook=06_02.xlsx&amp;sheet=A0&amp;row=588&amp;col=12&amp;number=&amp;sourceID=30","")</f>
        <v/>
      </c>
      <c r="M588" s="4" t="str">
        <f>HYPERLINK("http://141.218.60.56/~jnz1568/getInfo.php?workbook=06_02.xlsx&amp;sheet=A0&amp;row=588&amp;col=13&amp;number=&amp;sourceID=30","")</f>
        <v/>
      </c>
      <c r="N588" s="4" t="str">
        <f>HYPERLINK("http://141.218.60.56/~jnz1568/getInfo.php?workbook=06_02.xlsx&amp;sheet=A0&amp;row=588&amp;col=14&amp;number=0.000251&amp;sourceID=30","0.000251")</f>
        <v>0.000251</v>
      </c>
      <c r="O588" s="4" t="str">
        <f>HYPERLINK("http://141.218.60.56/~jnz1568/getInfo.php?workbook=06_02.xlsx&amp;sheet=A0&amp;row=588&amp;col=15&amp;number=9020000&amp;sourceID=32","9020000")</f>
        <v>9020000</v>
      </c>
      <c r="P588" s="4" t="str">
        <f>HYPERLINK("http://141.218.60.56/~jnz1568/getInfo.php?workbook=06_02.xlsx&amp;sheet=A0&amp;row=588&amp;col=16&amp;number=&amp;sourceID=32","")</f>
        <v/>
      </c>
      <c r="Q588" s="4" t="str">
        <f>HYPERLINK("http://141.218.60.56/~jnz1568/getInfo.php?workbook=06_02.xlsx&amp;sheet=A0&amp;row=588&amp;col=17&amp;number=&amp;sourceID=32","")</f>
        <v/>
      </c>
      <c r="R588" s="4" t="str">
        <f>HYPERLINK("http://141.218.60.56/~jnz1568/getInfo.php?workbook=06_02.xlsx&amp;sheet=A0&amp;row=588&amp;col=18&amp;number=0.001116&amp;sourceID=32","0.001116")</f>
        <v>0.001116</v>
      </c>
    </row>
    <row r="589" spans="1:18">
      <c r="A589" s="3">
        <v>6</v>
      </c>
      <c r="B589" s="3">
        <v>2</v>
      </c>
      <c r="C589" s="3">
        <v>38</v>
      </c>
      <c r="D589" s="3">
        <v>29</v>
      </c>
      <c r="E589" s="3">
        <f>((1/(INDEX(E0!J$4:J$52,C589,1)-INDEX(E0!J$4:J$52,D589,1))))*100000000</f>
        <v>0</v>
      </c>
      <c r="F589" s="4" t="str">
        <f>HYPERLINK("http://141.218.60.56/~jnz1568/getInfo.php?workbook=06_02.xlsx&amp;sheet=A0&amp;row=589&amp;col=6&amp;number=&amp;sourceID=27","")</f>
        <v/>
      </c>
      <c r="G589" s="4" t="str">
        <f>HYPERLINK("http://141.218.60.56/~jnz1568/getInfo.php?workbook=06_02.xlsx&amp;sheet=A0&amp;row=589&amp;col=7&amp;number=&amp;sourceID=34","")</f>
        <v/>
      </c>
      <c r="H589" s="4" t="str">
        <f>HYPERLINK("http://141.218.60.56/~jnz1568/getInfo.php?workbook=06_02.xlsx&amp;sheet=A0&amp;row=589&amp;col=8&amp;number=&amp;sourceID=34","")</f>
        <v/>
      </c>
      <c r="I589" s="4" t="str">
        <f>HYPERLINK("http://141.218.60.56/~jnz1568/getInfo.php?workbook=06_02.xlsx&amp;sheet=A0&amp;row=589&amp;col=9&amp;number=&amp;sourceID=34","")</f>
        <v/>
      </c>
      <c r="J589" s="4" t="str">
        <f>HYPERLINK("http://141.218.60.56/~jnz1568/getInfo.php?workbook=06_02.xlsx&amp;sheet=A0&amp;row=589&amp;col=10&amp;number=&amp;sourceID=34","")</f>
        <v/>
      </c>
      <c r="K589" s="4" t="str">
        <f>HYPERLINK("http://141.218.60.56/~jnz1568/getInfo.php?workbook=06_02.xlsx&amp;sheet=A0&amp;row=589&amp;col=11&amp;number=&amp;sourceID=30","")</f>
        <v/>
      </c>
      <c r="L589" s="4" t="str">
        <f>HYPERLINK("http://141.218.60.56/~jnz1568/getInfo.php?workbook=06_02.xlsx&amp;sheet=A0&amp;row=589&amp;col=12&amp;number=&amp;sourceID=30","")</f>
        <v/>
      </c>
      <c r="M589" s="4" t="str">
        <f>HYPERLINK("http://141.218.60.56/~jnz1568/getInfo.php?workbook=06_02.xlsx&amp;sheet=A0&amp;row=589&amp;col=13&amp;number=&amp;sourceID=30","")</f>
        <v/>
      </c>
      <c r="N589" s="4" t="str">
        <f>HYPERLINK("http://141.218.60.56/~jnz1568/getInfo.php?workbook=06_02.xlsx&amp;sheet=A0&amp;row=589&amp;col=14&amp;number=6.7e-05&amp;sourceID=30","6.7e-05")</f>
        <v>6.7e-05</v>
      </c>
      <c r="O589" s="4" t="str">
        <f>HYPERLINK("http://141.218.60.56/~jnz1568/getInfo.php?workbook=06_02.xlsx&amp;sheet=A0&amp;row=589&amp;col=15&amp;number=&amp;sourceID=32","")</f>
        <v/>
      </c>
      <c r="P589" s="4" t="str">
        <f>HYPERLINK("http://141.218.60.56/~jnz1568/getInfo.php?workbook=06_02.xlsx&amp;sheet=A0&amp;row=589&amp;col=16&amp;number=&amp;sourceID=32","")</f>
        <v/>
      </c>
      <c r="Q589" s="4" t="str">
        <f>HYPERLINK("http://141.218.60.56/~jnz1568/getInfo.php?workbook=06_02.xlsx&amp;sheet=A0&amp;row=589&amp;col=17&amp;number=&amp;sourceID=32","")</f>
        <v/>
      </c>
      <c r="R589" s="4" t="str">
        <f>HYPERLINK("http://141.218.60.56/~jnz1568/getInfo.php?workbook=06_02.xlsx&amp;sheet=A0&amp;row=589&amp;col=18&amp;number=&amp;sourceID=32","")</f>
        <v/>
      </c>
    </row>
    <row r="590" spans="1:18">
      <c r="A590" s="3">
        <v>6</v>
      </c>
      <c r="B590" s="3">
        <v>2</v>
      </c>
      <c r="C590" s="3">
        <v>38</v>
      </c>
      <c r="D590" s="3">
        <v>30</v>
      </c>
      <c r="E590" s="3">
        <f>((1/(INDEX(E0!J$4:J$52,C590,1)-INDEX(E0!J$4:J$52,D590,1))))*100000000</f>
        <v>0</v>
      </c>
      <c r="F590" s="4" t="str">
        <f>HYPERLINK("http://141.218.60.56/~jnz1568/getInfo.php?workbook=06_02.xlsx&amp;sheet=A0&amp;row=590&amp;col=6&amp;number=&amp;sourceID=27","")</f>
        <v/>
      </c>
      <c r="G590" s="4" t="str">
        <f>HYPERLINK("http://141.218.60.56/~jnz1568/getInfo.php?workbook=06_02.xlsx&amp;sheet=A0&amp;row=590&amp;col=7&amp;number=&amp;sourceID=34","")</f>
        <v/>
      </c>
      <c r="H590" s="4" t="str">
        <f>HYPERLINK("http://141.218.60.56/~jnz1568/getInfo.php?workbook=06_02.xlsx&amp;sheet=A0&amp;row=590&amp;col=8&amp;number=&amp;sourceID=34","")</f>
        <v/>
      </c>
      <c r="I590" s="4" t="str">
        <f>HYPERLINK("http://141.218.60.56/~jnz1568/getInfo.php?workbook=06_02.xlsx&amp;sheet=A0&amp;row=590&amp;col=9&amp;number=&amp;sourceID=34","")</f>
        <v/>
      </c>
      <c r="J590" s="4" t="str">
        <f>HYPERLINK("http://141.218.60.56/~jnz1568/getInfo.php?workbook=06_02.xlsx&amp;sheet=A0&amp;row=590&amp;col=10&amp;number=&amp;sourceID=34","")</f>
        <v/>
      </c>
      <c r="K590" s="4" t="str">
        <f>HYPERLINK("http://141.218.60.56/~jnz1568/getInfo.php?workbook=06_02.xlsx&amp;sheet=A0&amp;row=590&amp;col=11&amp;number=&amp;sourceID=30","")</f>
        <v/>
      </c>
      <c r="L590" s="4" t="str">
        <f>HYPERLINK("http://141.218.60.56/~jnz1568/getInfo.php?workbook=06_02.xlsx&amp;sheet=A0&amp;row=590&amp;col=12&amp;number=1.286&amp;sourceID=30","1.286")</f>
        <v>1.286</v>
      </c>
      <c r="M590" s="4" t="str">
        <f>HYPERLINK("http://141.218.60.56/~jnz1568/getInfo.php?workbook=06_02.xlsx&amp;sheet=A0&amp;row=590&amp;col=13&amp;number=1.329e-05&amp;sourceID=30","1.329e-05")</f>
        <v>1.329e-05</v>
      </c>
      <c r="N590" s="4" t="str">
        <f>HYPERLINK("http://141.218.60.56/~jnz1568/getInfo.php?workbook=06_02.xlsx&amp;sheet=A0&amp;row=590&amp;col=14&amp;number=&amp;sourceID=30","")</f>
        <v/>
      </c>
      <c r="O590" s="4" t="str">
        <f>HYPERLINK("http://141.218.60.56/~jnz1568/getInfo.php?workbook=06_02.xlsx&amp;sheet=A0&amp;row=590&amp;col=15&amp;number=&amp;sourceID=32","")</f>
        <v/>
      </c>
      <c r="P590" s="4" t="str">
        <f>HYPERLINK("http://141.218.60.56/~jnz1568/getInfo.php?workbook=06_02.xlsx&amp;sheet=A0&amp;row=590&amp;col=16&amp;number=1.745&amp;sourceID=32","1.745")</f>
        <v>1.745</v>
      </c>
      <c r="Q590" s="4" t="str">
        <f>HYPERLINK("http://141.218.60.56/~jnz1568/getInfo.php?workbook=06_02.xlsx&amp;sheet=A0&amp;row=590&amp;col=17&amp;number=1.159e-05&amp;sourceID=32","1.159e-05")</f>
        <v>1.159e-05</v>
      </c>
      <c r="R590" s="4" t="str">
        <f>HYPERLINK("http://141.218.60.56/~jnz1568/getInfo.php?workbook=06_02.xlsx&amp;sheet=A0&amp;row=590&amp;col=18&amp;number=&amp;sourceID=32","")</f>
        <v/>
      </c>
    </row>
    <row r="591" spans="1:18">
      <c r="A591" s="3">
        <v>6</v>
      </c>
      <c r="B591" s="3">
        <v>2</v>
      </c>
      <c r="C591" s="3">
        <v>38</v>
      </c>
      <c r="D591" s="3">
        <v>31</v>
      </c>
      <c r="E591" s="3">
        <f>((1/(INDEX(E0!J$4:J$52,C591,1)-INDEX(E0!J$4:J$52,D591,1))))*100000000</f>
        <v>0</v>
      </c>
      <c r="F591" s="4" t="str">
        <f>HYPERLINK("http://141.218.60.56/~jnz1568/getInfo.php?workbook=06_02.xlsx&amp;sheet=A0&amp;row=591&amp;col=6&amp;number=&amp;sourceID=27","")</f>
        <v/>
      </c>
      <c r="G591" s="4" t="str">
        <f>HYPERLINK("http://141.218.60.56/~jnz1568/getInfo.php?workbook=06_02.xlsx&amp;sheet=A0&amp;row=591&amp;col=7&amp;number=&amp;sourceID=34","")</f>
        <v/>
      </c>
      <c r="H591" s="4" t="str">
        <f>HYPERLINK("http://141.218.60.56/~jnz1568/getInfo.php?workbook=06_02.xlsx&amp;sheet=A0&amp;row=591&amp;col=8&amp;number=&amp;sourceID=34","")</f>
        <v/>
      </c>
      <c r="I591" s="4" t="str">
        <f>HYPERLINK("http://141.218.60.56/~jnz1568/getInfo.php?workbook=06_02.xlsx&amp;sheet=A0&amp;row=591&amp;col=9&amp;number=&amp;sourceID=34","")</f>
        <v/>
      </c>
      <c r="J591" s="4" t="str">
        <f>HYPERLINK("http://141.218.60.56/~jnz1568/getInfo.php?workbook=06_02.xlsx&amp;sheet=A0&amp;row=591&amp;col=10&amp;number=&amp;sourceID=34","")</f>
        <v/>
      </c>
      <c r="K591" s="4" t="str">
        <f>HYPERLINK("http://141.218.60.56/~jnz1568/getInfo.php?workbook=06_02.xlsx&amp;sheet=A0&amp;row=591&amp;col=11&amp;number=1171000&amp;sourceID=30","1171000")</f>
        <v>1171000</v>
      </c>
      <c r="L591" s="4" t="str">
        <f>HYPERLINK("http://141.218.60.56/~jnz1568/getInfo.php?workbook=06_02.xlsx&amp;sheet=A0&amp;row=591&amp;col=12&amp;number=&amp;sourceID=30","")</f>
        <v/>
      </c>
      <c r="M591" s="4" t="str">
        <f>HYPERLINK("http://141.218.60.56/~jnz1568/getInfo.php?workbook=06_02.xlsx&amp;sheet=A0&amp;row=591&amp;col=13&amp;number=&amp;sourceID=30","")</f>
        <v/>
      </c>
      <c r="N591" s="4" t="str">
        <f>HYPERLINK("http://141.218.60.56/~jnz1568/getInfo.php?workbook=06_02.xlsx&amp;sheet=A0&amp;row=591&amp;col=14&amp;number=0.003541&amp;sourceID=30","0.003541")</f>
        <v>0.003541</v>
      </c>
      <c r="O591" s="4" t="str">
        <f>HYPERLINK("http://141.218.60.56/~jnz1568/getInfo.php?workbook=06_02.xlsx&amp;sheet=A0&amp;row=591&amp;col=15&amp;number=1583000&amp;sourceID=32","1583000")</f>
        <v>1583000</v>
      </c>
      <c r="P591" s="4" t="str">
        <f>HYPERLINK("http://141.218.60.56/~jnz1568/getInfo.php?workbook=06_02.xlsx&amp;sheet=A0&amp;row=591&amp;col=16&amp;number=&amp;sourceID=32","")</f>
        <v/>
      </c>
      <c r="Q591" s="4" t="str">
        <f>HYPERLINK("http://141.218.60.56/~jnz1568/getInfo.php?workbook=06_02.xlsx&amp;sheet=A0&amp;row=591&amp;col=17&amp;number=&amp;sourceID=32","")</f>
        <v/>
      </c>
      <c r="R591" s="4" t="str">
        <f>HYPERLINK("http://141.218.60.56/~jnz1568/getInfo.php?workbook=06_02.xlsx&amp;sheet=A0&amp;row=591&amp;col=18&amp;number=0.003397&amp;sourceID=32","0.003397")</f>
        <v>0.003397</v>
      </c>
    </row>
    <row r="592" spans="1:18">
      <c r="A592" s="3">
        <v>6</v>
      </c>
      <c r="B592" s="3">
        <v>2</v>
      </c>
      <c r="C592" s="3">
        <v>38</v>
      </c>
      <c r="D592" s="3">
        <v>32</v>
      </c>
      <c r="E592" s="3">
        <f>((1/(INDEX(E0!J$4:J$52,C592,1)-INDEX(E0!J$4:J$52,D592,1))))*100000000</f>
        <v>0</v>
      </c>
      <c r="F592" s="4" t="str">
        <f>HYPERLINK("http://141.218.60.56/~jnz1568/getInfo.php?workbook=06_02.xlsx&amp;sheet=A0&amp;row=592&amp;col=6&amp;number=&amp;sourceID=27","")</f>
        <v/>
      </c>
      <c r="G592" s="4" t="str">
        <f>HYPERLINK("http://141.218.60.56/~jnz1568/getInfo.php?workbook=06_02.xlsx&amp;sheet=A0&amp;row=592&amp;col=7&amp;number=&amp;sourceID=34","")</f>
        <v/>
      </c>
      <c r="H592" s="4" t="str">
        <f>HYPERLINK("http://141.218.60.56/~jnz1568/getInfo.php?workbook=06_02.xlsx&amp;sheet=A0&amp;row=592&amp;col=8&amp;number=&amp;sourceID=34","")</f>
        <v/>
      </c>
      <c r="I592" s="4" t="str">
        <f>HYPERLINK("http://141.218.60.56/~jnz1568/getInfo.php?workbook=06_02.xlsx&amp;sheet=A0&amp;row=592&amp;col=9&amp;number=&amp;sourceID=34","")</f>
        <v/>
      </c>
      <c r="J592" s="4" t="str">
        <f>HYPERLINK("http://141.218.60.56/~jnz1568/getInfo.php?workbook=06_02.xlsx&amp;sheet=A0&amp;row=592&amp;col=10&amp;number=&amp;sourceID=34","")</f>
        <v/>
      </c>
      <c r="K592" s="4" t="str">
        <f>HYPERLINK("http://141.218.60.56/~jnz1568/getInfo.php?workbook=06_02.xlsx&amp;sheet=A0&amp;row=592&amp;col=11&amp;number=&amp;sourceID=30","")</f>
        <v/>
      </c>
      <c r="L592" s="4" t="str">
        <f>HYPERLINK("http://141.218.60.56/~jnz1568/getInfo.php?workbook=06_02.xlsx&amp;sheet=A0&amp;row=592&amp;col=12&amp;number=0.04397&amp;sourceID=30","0.04397")</f>
        <v>0.04397</v>
      </c>
      <c r="M592" s="4" t="str">
        <f>HYPERLINK("http://141.218.60.56/~jnz1568/getInfo.php?workbook=06_02.xlsx&amp;sheet=A0&amp;row=592&amp;col=13&amp;number=1.076e-08&amp;sourceID=30","1.076e-08")</f>
        <v>1.076e-08</v>
      </c>
      <c r="N592" s="4" t="str">
        <f>HYPERLINK("http://141.218.60.56/~jnz1568/getInfo.php?workbook=06_02.xlsx&amp;sheet=A0&amp;row=592&amp;col=14&amp;number=&amp;sourceID=30","")</f>
        <v/>
      </c>
      <c r="O592" s="4" t="str">
        <f>HYPERLINK("http://141.218.60.56/~jnz1568/getInfo.php?workbook=06_02.xlsx&amp;sheet=A0&amp;row=592&amp;col=15&amp;number=&amp;sourceID=32","")</f>
        <v/>
      </c>
      <c r="P592" s="4" t="str">
        <f>HYPERLINK("http://141.218.60.56/~jnz1568/getInfo.php?workbook=06_02.xlsx&amp;sheet=A0&amp;row=592&amp;col=16&amp;number=0.04522&amp;sourceID=32","0.04522")</f>
        <v>0.04522</v>
      </c>
      <c r="Q592" s="4" t="str">
        <f>HYPERLINK("http://141.218.60.56/~jnz1568/getInfo.php?workbook=06_02.xlsx&amp;sheet=A0&amp;row=592&amp;col=17&amp;number=1.15e-08&amp;sourceID=32","1.15e-08")</f>
        <v>1.15e-08</v>
      </c>
      <c r="R592" s="4" t="str">
        <f>HYPERLINK("http://141.218.60.56/~jnz1568/getInfo.php?workbook=06_02.xlsx&amp;sheet=A0&amp;row=592&amp;col=18&amp;number=&amp;sourceID=32","")</f>
        <v/>
      </c>
    </row>
    <row r="593" spans="1:18">
      <c r="A593" s="3">
        <v>6</v>
      </c>
      <c r="B593" s="3">
        <v>2</v>
      </c>
      <c r="C593" s="3">
        <v>38</v>
      </c>
      <c r="D593" s="3">
        <v>33</v>
      </c>
      <c r="E593" s="3">
        <f>((1/(INDEX(E0!J$4:J$52,C593,1)-INDEX(E0!J$4:J$52,D593,1))))*100000000</f>
        <v>0</v>
      </c>
      <c r="F593" s="4" t="str">
        <f>HYPERLINK("http://141.218.60.56/~jnz1568/getInfo.php?workbook=06_02.xlsx&amp;sheet=A0&amp;row=593&amp;col=6&amp;number=&amp;sourceID=27","")</f>
        <v/>
      </c>
      <c r="G593" s="4" t="str">
        <f>HYPERLINK("http://141.218.60.56/~jnz1568/getInfo.php?workbook=06_02.xlsx&amp;sheet=A0&amp;row=593&amp;col=7&amp;number=&amp;sourceID=34","")</f>
        <v/>
      </c>
      <c r="H593" s="4" t="str">
        <f>HYPERLINK("http://141.218.60.56/~jnz1568/getInfo.php?workbook=06_02.xlsx&amp;sheet=A0&amp;row=593&amp;col=8&amp;number=&amp;sourceID=34","")</f>
        <v/>
      </c>
      <c r="I593" s="4" t="str">
        <f>HYPERLINK("http://141.218.60.56/~jnz1568/getInfo.php?workbook=06_02.xlsx&amp;sheet=A0&amp;row=593&amp;col=9&amp;number=&amp;sourceID=34","")</f>
        <v/>
      </c>
      <c r="J593" s="4" t="str">
        <f>HYPERLINK("http://141.218.60.56/~jnz1568/getInfo.php?workbook=06_02.xlsx&amp;sheet=A0&amp;row=593&amp;col=10&amp;number=&amp;sourceID=34","")</f>
        <v/>
      </c>
      <c r="K593" s="4" t="str">
        <f>HYPERLINK("http://141.218.60.56/~jnz1568/getInfo.php?workbook=06_02.xlsx&amp;sheet=A0&amp;row=593&amp;col=11&amp;number=&amp;sourceID=30","")</f>
        <v/>
      </c>
      <c r="L593" s="4" t="str">
        <f>HYPERLINK("http://141.218.60.56/~jnz1568/getInfo.php?workbook=06_02.xlsx&amp;sheet=A0&amp;row=593&amp;col=12&amp;number=2.104e-08&amp;sourceID=30","2.104e-08")</f>
        <v>2.104e-08</v>
      </c>
      <c r="M593" s="4" t="str">
        <f>HYPERLINK("http://141.218.60.56/~jnz1568/getInfo.php?workbook=06_02.xlsx&amp;sheet=A0&amp;row=593&amp;col=13&amp;number=&amp;sourceID=30","")</f>
        <v/>
      </c>
      <c r="N593" s="4" t="str">
        <f>HYPERLINK("http://141.218.60.56/~jnz1568/getInfo.php?workbook=06_02.xlsx&amp;sheet=A0&amp;row=593&amp;col=14&amp;number=&amp;sourceID=30","")</f>
        <v/>
      </c>
      <c r="O593" s="4" t="str">
        <f>HYPERLINK("http://141.218.60.56/~jnz1568/getInfo.php?workbook=06_02.xlsx&amp;sheet=A0&amp;row=593&amp;col=15&amp;number=&amp;sourceID=32","")</f>
        <v/>
      </c>
      <c r="P593" s="4" t="str">
        <f>HYPERLINK("http://141.218.60.56/~jnz1568/getInfo.php?workbook=06_02.xlsx&amp;sheet=A0&amp;row=593&amp;col=16&amp;number=5.601e-07&amp;sourceID=32","5.601e-07")</f>
        <v>5.601e-07</v>
      </c>
      <c r="Q593" s="4" t="str">
        <f>HYPERLINK("http://141.218.60.56/~jnz1568/getInfo.php?workbook=06_02.xlsx&amp;sheet=A0&amp;row=593&amp;col=17&amp;number=&amp;sourceID=32","")</f>
        <v/>
      </c>
      <c r="R593" s="4" t="str">
        <f>HYPERLINK("http://141.218.60.56/~jnz1568/getInfo.php?workbook=06_02.xlsx&amp;sheet=A0&amp;row=593&amp;col=18&amp;number=&amp;sourceID=32","")</f>
        <v/>
      </c>
    </row>
    <row r="594" spans="1:18">
      <c r="A594" s="3">
        <v>6</v>
      </c>
      <c r="B594" s="3">
        <v>2</v>
      </c>
      <c r="C594" s="3">
        <v>38</v>
      </c>
      <c r="D594" s="3">
        <v>34</v>
      </c>
      <c r="E594" s="3">
        <f>((1/(INDEX(E0!J$4:J$52,C594,1)-INDEX(E0!J$4:J$52,D594,1))))*100000000</f>
        <v>0</v>
      </c>
      <c r="F594" s="4" t="str">
        <f>HYPERLINK("http://141.218.60.56/~jnz1568/getInfo.php?workbook=06_02.xlsx&amp;sheet=A0&amp;row=594&amp;col=6&amp;number=&amp;sourceID=27","")</f>
        <v/>
      </c>
      <c r="G594" s="4" t="str">
        <f>HYPERLINK("http://141.218.60.56/~jnz1568/getInfo.php?workbook=06_02.xlsx&amp;sheet=A0&amp;row=594&amp;col=7&amp;number=&amp;sourceID=34","")</f>
        <v/>
      </c>
      <c r="H594" s="4" t="str">
        <f>HYPERLINK("http://141.218.60.56/~jnz1568/getInfo.php?workbook=06_02.xlsx&amp;sheet=A0&amp;row=594&amp;col=8&amp;number=&amp;sourceID=34","")</f>
        <v/>
      </c>
      <c r="I594" s="4" t="str">
        <f>HYPERLINK("http://141.218.60.56/~jnz1568/getInfo.php?workbook=06_02.xlsx&amp;sheet=A0&amp;row=594&amp;col=9&amp;number=&amp;sourceID=34","")</f>
        <v/>
      </c>
      <c r="J594" s="4" t="str">
        <f>HYPERLINK("http://141.218.60.56/~jnz1568/getInfo.php?workbook=06_02.xlsx&amp;sheet=A0&amp;row=594&amp;col=10&amp;number=&amp;sourceID=34","")</f>
        <v/>
      </c>
      <c r="K594" s="4" t="str">
        <f>HYPERLINK("http://141.218.60.56/~jnz1568/getInfo.php?workbook=06_02.xlsx&amp;sheet=A0&amp;row=594&amp;col=11&amp;number=&amp;sourceID=30","")</f>
        <v/>
      </c>
      <c r="L594" s="4" t="str">
        <f>HYPERLINK("http://141.218.60.56/~jnz1568/getInfo.php?workbook=06_02.xlsx&amp;sheet=A0&amp;row=594&amp;col=12&amp;number=&amp;sourceID=30","")</f>
        <v/>
      </c>
      <c r="M594" s="4" t="str">
        <f>HYPERLINK("http://141.218.60.56/~jnz1568/getInfo.php?workbook=06_02.xlsx&amp;sheet=A0&amp;row=594&amp;col=13&amp;number=&amp;sourceID=30","")</f>
        <v/>
      </c>
      <c r="N594" s="4" t="str">
        <f>HYPERLINK("http://141.218.60.56/~jnz1568/getInfo.php?workbook=06_02.xlsx&amp;sheet=A0&amp;row=594&amp;col=14&amp;number=1.76e-11&amp;sourceID=30","1.76e-11")</f>
        <v>1.76e-11</v>
      </c>
      <c r="O594" s="4" t="str">
        <f>HYPERLINK("http://141.218.60.56/~jnz1568/getInfo.php?workbook=06_02.xlsx&amp;sheet=A0&amp;row=594&amp;col=15&amp;number=&amp;sourceID=32","")</f>
        <v/>
      </c>
      <c r="P594" s="4" t="str">
        <f>HYPERLINK("http://141.218.60.56/~jnz1568/getInfo.php?workbook=06_02.xlsx&amp;sheet=A0&amp;row=594&amp;col=16&amp;number=&amp;sourceID=32","")</f>
        <v/>
      </c>
      <c r="Q594" s="4" t="str">
        <f>HYPERLINK("http://141.218.60.56/~jnz1568/getInfo.php?workbook=06_02.xlsx&amp;sheet=A0&amp;row=594&amp;col=17&amp;number=&amp;sourceID=32","")</f>
        <v/>
      </c>
      <c r="R594" s="4" t="str">
        <f>HYPERLINK("http://141.218.60.56/~jnz1568/getInfo.php?workbook=06_02.xlsx&amp;sheet=A0&amp;row=594&amp;col=18&amp;number=2.127e-11&amp;sourceID=32","2.127e-11")</f>
        <v>2.127e-11</v>
      </c>
    </row>
    <row r="595" spans="1:18">
      <c r="A595" s="3">
        <v>6</v>
      </c>
      <c r="B595" s="3">
        <v>2</v>
      </c>
      <c r="C595" s="3">
        <v>38</v>
      </c>
      <c r="D595" s="3">
        <v>35</v>
      </c>
      <c r="E595" s="3">
        <f>((1/(INDEX(E0!J$4:J$52,C595,1)-INDEX(E0!J$4:J$52,D595,1))))*100000000</f>
        <v>0</v>
      </c>
      <c r="F595" s="4" t="str">
        <f>HYPERLINK("http://141.218.60.56/~jnz1568/getInfo.php?workbook=06_02.xlsx&amp;sheet=A0&amp;row=595&amp;col=6&amp;number=&amp;sourceID=27","")</f>
        <v/>
      </c>
      <c r="G595" s="4" t="str">
        <f>HYPERLINK("http://141.218.60.56/~jnz1568/getInfo.php?workbook=06_02.xlsx&amp;sheet=A0&amp;row=595&amp;col=7&amp;number=&amp;sourceID=34","")</f>
        <v/>
      </c>
      <c r="H595" s="4" t="str">
        <f>HYPERLINK("http://141.218.60.56/~jnz1568/getInfo.php?workbook=06_02.xlsx&amp;sheet=A0&amp;row=595&amp;col=8&amp;number=&amp;sourceID=34","")</f>
        <v/>
      </c>
      <c r="I595" s="4" t="str">
        <f>HYPERLINK("http://141.218.60.56/~jnz1568/getInfo.php?workbook=06_02.xlsx&amp;sheet=A0&amp;row=595&amp;col=9&amp;number=&amp;sourceID=34","")</f>
        <v/>
      </c>
      <c r="J595" s="4" t="str">
        <f>HYPERLINK("http://141.218.60.56/~jnz1568/getInfo.php?workbook=06_02.xlsx&amp;sheet=A0&amp;row=595&amp;col=10&amp;number=&amp;sourceID=34","")</f>
        <v/>
      </c>
      <c r="K595" s="4" t="str">
        <f>HYPERLINK("http://141.218.60.56/~jnz1568/getInfo.php?workbook=06_02.xlsx&amp;sheet=A0&amp;row=595&amp;col=11&amp;number=47390&amp;sourceID=30","47390")</f>
        <v>47390</v>
      </c>
      <c r="L595" s="4" t="str">
        <f>HYPERLINK("http://141.218.60.56/~jnz1568/getInfo.php?workbook=06_02.xlsx&amp;sheet=A0&amp;row=595&amp;col=12&amp;number=&amp;sourceID=30","")</f>
        <v/>
      </c>
      <c r="M595" s="4" t="str">
        <f>HYPERLINK("http://141.218.60.56/~jnz1568/getInfo.php?workbook=06_02.xlsx&amp;sheet=A0&amp;row=595&amp;col=13&amp;number=&amp;sourceID=30","")</f>
        <v/>
      </c>
      <c r="N595" s="4" t="str">
        <f>HYPERLINK("http://141.218.60.56/~jnz1568/getInfo.php?workbook=06_02.xlsx&amp;sheet=A0&amp;row=595&amp;col=14&amp;number=3.182e-10&amp;sourceID=30","3.182e-10")</f>
        <v>3.182e-10</v>
      </c>
      <c r="O595" s="4" t="str">
        <f>HYPERLINK("http://141.218.60.56/~jnz1568/getInfo.php?workbook=06_02.xlsx&amp;sheet=A0&amp;row=595&amp;col=15&amp;number=53940&amp;sourceID=32","53940")</f>
        <v>53940</v>
      </c>
      <c r="P595" s="4" t="str">
        <f>HYPERLINK("http://141.218.60.56/~jnz1568/getInfo.php?workbook=06_02.xlsx&amp;sheet=A0&amp;row=595&amp;col=16&amp;number=&amp;sourceID=32","")</f>
        <v/>
      </c>
      <c r="Q595" s="4" t="str">
        <f>HYPERLINK("http://141.218.60.56/~jnz1568/getInfo.php?workbook=06_02.xlsx&amp;sheet=A0&amp;row=595&amp;col=17&amp;number=&amp;sourceID=32","")</f>
        <v/>
      </c>
      <c r="R595" s="4" t="str">
        <f>HYPERLINK("http://141.218.60.56/~jnz1568/getInfo.php?workbook=06_02.xlsx&amp;sheet=A0&amp;row=595&amp;col=18&amp;number=3.91e-10&amp;sourceID=32","3.91e-10")</f>
        <v>3.91e-10</v>
      </c>
    </row>
    <row r="596" spans="1:18">
      <c r="A596" s="3">
        <v>6</v>
      </c>
      <c r="B596" s="3">
        <v>2</v>
      </c>
      <c r="C596" s="3">
        <v>38</v>
      </c>
      <c r="D596" s="3">
        <v>36</v>
      </c>
      <c r="E596" s="3">
        <f>((1/(INDEX(E0!J$4:J$52,C596,1)-INDEX(E0!J$4:J$52,D596,1))))*100000000</f>
        <v>0</v>
      </c>
      <c r="F596" s="4" t="str">
        <f>HYPERLINK("http://141.218.60.56/~jnz1568/getInfo.php?workbook=06_02.xlsx&amp;sheet=A0&amp;row=596&amp;col=6&amp;number=&amp;sourceID=27","")</f>
        <v/>
      </c>
      <c r="G596" s="4" t="str">
        <f>HYPERLINK("http://141.218.60.56/~jnz1568/getInfo.php?workbook=06_02.xlsx&amp;sheet=A0&amp;row=596&amp;col=7&amp;number=&amp;sourceID=34","")</f>
        <v/>
      </c>
      <c r="H596" s="4" t="str">
        <f>HYPERLINK("http://141.218.60.56/~jnz1568/getInfo.php?workbook=06_02.xlsx&amp;sheet=A0&amp;row=596&amp;col=8&amp;number=&amp;sourceID=34","")</f>
        <v/>
      </c>
      <c r="I596" s="4" t="str">
        <f>HYPERLINK("http://141.218.60.56/~jnz1568/getInfo.php?workbook=06_02.xlsx&amp;sheet=A0&amp;row=596&amp;col=9&amp;number=&amp;sourceID=34","")</f>
        <v/>
      </c>
      <c r="J596" s="4" t="str">
        <f>HYPERLINK("http://141.218.60.56/~jnz1568/getInfo.php?workbook=06_02.xlsx&amp;sheet=A0&amp;row=596&amp;col=10&amp;number=&amp;sourceID=34","")</f>
        <v/>
      </c>
      <c r="K596" s="4" t="str">
        <f>HYPERLINK("http://141.218.60.56/~jnz1568/getInfo.php?workbook=06_02.xlsx&amp;sheet=A0&amp;row=596&amp;col=11&amp;number=15440&amp;sourceID=30","15440")</f>
        <v>15440</v>
      </c>
      <c r="L596" s="4" t="str">
        <f>HYPERLINK("http://141.218.60.56/~jnz1568/getInfo.php?workbook=06_02.xlsx&amp;sheet=A0&amp;row=596&amp;col=12&amp;number=&amp;sourceID=30","")</f>
        <v/>
      </c>
      <c r="M596" s="4" t="str">
        <f>HYPERLINK("http://141.218.60.56/~jnz1568/getInfo.php?workbook=06_02.xlsx&amp;sheet=A0&amp;row=596&amp;col=13&amp;number=&amp;sourceID=30","")</f>
        <v/>
      </c>
      <c r="N596" s="4" t="str">
        <f>HYPERLINK("http://141.218.60.56/~jnz1568/getInfo.php?workbook=06_02.xlsx&amp;sheet=A0&amp;row=596&amp;col=14&amp;number=1.316e-10&amp;sourceID=30","1.316e-10")</f>
        <v>1.316e-10</v>
      </c>
      <c r="O596" s="4" t="str">
        <f>HYPERLINK("http://141.218.60.56/~jnz1568/getInfo.php?workbook=06_02.xlsx&amp;sheet=A0&amp;row=596&amp;col=15&amp;number=17440&amp;sourceID=32","17440")</f>
        <v>17440</v>
      </c>
      <c r="P596" s="4" t="str">
        <f>HYPERLINK("http://141.218.60.56/~jnz1568/getInfo.php?workbook=06_02.xlsx&amp;sheet=A0&amp;row=596&amp;col=16&amp;number=&amp;sourceID=32","")</f>
        <v/>
      </c>
      <c r="Q596" s="4" t="str">
        <f>HYPERLINK("http://141.218.60.56/~jnz1568/getInfo.php?workbook=06_02.xlsx&amp;sheet=A0&amp;row=596&amp;col=17&amp;number=&amp;sourceID=32","")</f>
        <v/>
      </c>
      <c r="R596" s="4" t="str">
        <f>HYPERLINK("http://141.218.60.56/~jnz1568/getInfo.php?workbook=06_02.xlsx&amp;sheet=A0&amp;row=596&amp;col=18&amp;number=1.589e-10&amp;sourceID=32","1.589e-10")</f>
        <v>1.589e-10</v>
      </c>
    </row>
    <row r="597" spans="1:18">
      <c r="A597" s="3">
        <v>6</v>
      </c>
      <c r="B597" s="3">
        <v>2</v>
      </c>
      <c r="C597" s="3">
        <v>38</v>
      </c>
      <c r="D597" s="3">
        <v>37</v>
      </c>
      <c r="E597" s="3"/>
      <c r="F597" s="4" t="str">
        <f>HYPERLINK("http://141.218.60.56/~jnz1568/getInfo.php?workbook=06_02.xlsx&amp;sheet=A0&amp;row=597&amp;col=6&amp;number=&amp;sourceID=27","")</f>
        <v/>
      </c>
      <c r="G597" s="4" t="str">
        <f>HYPERLINK("http://141.218.60.56/~jnz1568/getInfo.php?workbook=06_02.xlsx&amp;sheet=A0&amp;row=597&amp;col=7&amp;number=&amp;sourceID=34","")</f>
        <v/>
      </c>
      <c r="H597" s="4" t="str">
        <f>HYPERLINK("http://141.218.60.56/~jnz1568/getInfo.php?workbook=06_02.xlsx&amp;sheet=A0&amp;row=597&amp;col=8&amp;number=&amp;sourceID=34","")</f>
        <v/>
      </c>
      <c r="I597" s="4" t="str">
        <f>HYPERLINK("http://141.218.60.56/~jnz1568/getInfo.php?workbook=06_02.xlsx&amp;sheet=A0&amp;row=597&amp;col=9&amp;number=&amp;sourceID=34","")</f>
        <v/>
      </c>
      <c r="J597" s="4" t="str">
        <f>HYPERLINK("http://141.218.60.56/~jnz1568/getInfo.php?workbook=06_02.xlsx&amp;sheet=A0&amp;row=597&amp;col=10&amp;number=&amp;sourceID=34","")</f>
        <v/>
      </c>
      <c r="K597" s="4" t="str">
        <f>HYPERLINK("http://141.218.60.56/~jnz1568/getInfo.php?workbook=06_02.xlsx&amp;sheet=A0&amp;row=597&amp;col=11&amp;number=&amp;sourceID=30","")</f>
        <v/>
      </c>
      <c r="L597" s="4" t="str">
        <f>HYPERLINK("http://141.218.60.56/~jnz1568/getInfo.php?workbook=06_02.xlsx&amp;sheet=A0&amp;row=597&amp;col=12&amp;number=0&amp;sourceID=30","0")</f>
        <v>0</v>
      </c>
      <c r="M597" s="4" t="str">
        <f>HYPERLINK("http://141.218.60.56/~jnz1568/getInfo.php?workbook=06_02.xlsx&amp;sheet=A0&amp;row=597&amp;col=13&amp;number=4.36e-13&amp;sourceID=30","4.36e-13")</f>
        <v>4.36e-13</v>
      </c>
      <c r="N597" s="4" t="str">
        <f>HYPERLINK("http://141.218.60.56/~jnz1568/getInfo.php?workbook=06_02.xlsx&amp;sheet=A0&amp;row=597&amp;col=14&amp;number=&amp;sourceID=30","")</f>
        <v/>
      </c>
      <c r="O597" s="4" t="str">
        <f>HYPERLINK("http://141.218.60.56/~jnz1568/getInfo.php?workbook=06_02.xlsx&amp;sheet=A0&amp;row=597&amp;col=15&amp;number=&amp;sourceID=32","")</f>
        <v/>
      </c>
      <c r="P597" s="4" t="str">
        <f>HYPERLINK("http://141.218.60.56/~jnz1568/getInfo.php?workbook=06_02.xlsx&amp;sheet=A0&amp;row=597&amp;col=16&amp;number=&amp;sourceID=32","")</f>
        <v/>
      </c>
      <c r="Q597" s="4" t="str">
        <f>HYPERLINK("http://141.218.60.56/~jnz1568/getInfo.php?workbook=06_02.xlsx&amp;sheet=A0&amp;row=597&amp;col=17&amp;number=&amp;sourceID=32","")</f>
        <v/>
      </c>
      <c r="R597" s="4" t="str">
        <f>HYPERLINK("http://141.218.60.56/~jnz1568/getInfo.php?workbook=06_02.xlsx&amp;sheet=A0&amp;row=597&amp;col=18&amp;number=&amp;sourceID=32","")</f>
        <v/>
      </c>
    </row>
    <row r="598" spans="1:18">
      <c r="A598" s="3">
        <v>6</v>
      </c>
      <c r="B598" s="3">
        <v>2</v>
      </c>
      <c r="C598" s="3">
        <v>39</v>
      </c>
      <c r="D598" s="3">
        <v>2</v>
      </c>
      <c r="E598" s="3">
        <f>((1/(INDEX(E0!J$4:J$52,C598,1)-INDEX(E0!J$4:J$52,D598,1))))*100000000</f>
        <v>0</v>
      </c>
      <c r="F598" s="4" t="str">
        <f>HYPERLINK("http://141.218.60.56/~jnz1568/getInfo.php?workbook=06_02.xlsx&amp;sheet=A0&amp;row=598&amp;col=6&amp;number=&amp;sourceID=27","")</f>
        <v/>
      </c>
      <c r="G598" s="4" t="str">
        <f>HYPERLINK("http://141.218.60.56/~jnz1568/getInfo.php?workbook=06_02.xlsx&amp;sheet=A0&amp;row=598&amp;col=7&amp;number=&amp;sourceID=34","")</f>
        <v/>
      </c>
      <c r="H598" s="4" t="str">
        <f>HYPERLINK("http://141.218.60.56/~jnz1568/getInfo.php?workbook=06_02.xlsx&amp;sheet=A0&amp;row=598&amp;col=8&amp;number=&amp;sourceID=34","")</f>
        <v/>
      </c>
      <c r="I598" s="4" t="str">
        <f>HYPERLINK("http://141.218.60.56/~jnz1568/getInfo.php?workbook=06_02.xlsx&amp;sheet=A0&amp;row=598&amp;col=9&amp;number=&amp;sourceID=34","")</f>
        <v/>
      </c>
      <c r="J598" s="4" t="str">
        <f>HYPERLINK("http://141.218.60.56/~jnz1568/getInfo.php?workbook=06_02.xlsx&amp;sheet=A0&amp;row=598&amp;col=10&amp;number=&amp;sourceID=34","")</f>
        <v/>
      </c>
      <c r="K598" s="4" t="str">
        <f>HYPERLINK("http://141.218.60.56/~jnz1568/getInfo.php?workbook=06_02.xlsx&amp;sheet=A0&amp;row=598&amp;col=11&amp;number=&amp;sourceID=30","")</f>
        <v/>
      </c>
      <c r="L598" s="4" t="str">
        <f>HYPERLINK("http://141.218.60.56/~jnz1568/getInfo.php?workbook=06_02.xlsx&amp;sheet=A0&amp;row=598&amp;col=12&amp;number=13180&amp;sourceID=30","13180")</f>
        <v>13180</v>
      </c>
      <c r="M598" s="4" t="str">
        <f>HYPERLINK("http://141.218.60.56/~jnz1568/getInfo.php?workbook=06_02.xlsx&amp;sheet=A0&amp;row=598&amp;col=13&amp;number=&amp;sourceID=30","")</f>
        <v/>
      </c>
      <c r="N598" s="4" t="str">
        <f>HYPERLINK("http://141.218.60.56/~jnz1568/getInfo.php?workbook=06_02.xlsx&amp;sheet=A0&amp;row=598&amp;col=14&amp;number=&amp;sourceID=30","")</f>
        <v/>
      </c>
      <c r="O598" s="4" t="str">
        <f>HYPERLINK("http://141.218.60.56/~jnz1568/getInfo.php?workbook=06_02.xlsx&amp;sheet=A0&amp;row=598&amp;col=15&amp;number=&amp;sourceID=32","")</f>
        <v/>
      </c>
      <c r="P598" s="4" t="str">
        <f>HYPERLINK("http://141.218.60.56/~jnz1568/getInfo.php?workbook=06_02.xlsx&amp;sheet=A0&amp;row=598&amp;col=16&amp;number=66340&amp;sourceID=32","66340")</f>
        <v>66340</v>
      </c>
      <c r="Q598" s="4" t="str">
        <f>HYPERLINK("http://141.218.60.56/~jnz1568/getInfo.php?workbook=06_02.xlsx&amp;sheet=A0&amp;row=598&amp;col=17&amp;number=&amp;sourceID=32","")</f>
        <v/>
      </c>
      <c r="R598" s="4" t="str">
        <f>HYPERLINK("http://141.218.60.56/~jnz1568/getInfo.php?workbook=06_02.xlsx&amp;sheet=A0&amp;row=598&amp;col=18&amp;number=&amp;sourceID=32","")</f>
        <v/>
      </c>
    </row>
    <row r="599" spans="1:18">
      <c r="A599" s="3">
        <v>6</v>
      </c>
      <c r="B599" s="3">
        <v>2</v>
      </c>
      <c r="C599" s="3">
        <v>39</v>
      </c>
      <c r="D599" s="3">
        <v>4</v>
      </c>
      <c r="E599" s="3">
        <f>((1/(INDEX(E0!J$4:J$52,C599,1)-INDEX(E0!J$4:J$52,D599,1))))*100000000</f>
        <v>0</v>
      </c>
      <c r="F599" s="4" t="str">
        <f>HYPERLINK("http://141.218.60.56/~jnz1568/getInfo.php?workbook=06_02.xlsx&amp;sheet=A0&amp;row=599&amp;col=6&amp;number=&amp;sourceID=27","")</f>
        <v/>
      </c>
      <c r="G599" s="4" t="str">
        <f>HYPERLINK("http://141.218.60.56/~jnz1568/getInfo.php?workbook=06_02.xlsx&amp;sheet=A0&amp;row=599&amp;col=7&amp;number=&amp;sourceID=34","")</f>
        <v/>
      </c>
      <c r="H599" s="4" t="str">
        <f>HYPERLINK("http://141.218.60.56/~jnz1568/getInfo.php?workbook=06_02.xlsx&amp;sheet=A0&amp;row=599&amp;col=8&amp;number=&amp;sourceID=34","")</f>
        <v/>
      </c>
      <c r="I599" s="4" t="str">
        <f>HYPERLINK("http://141.218.60.56/~jnz1568/getInfo.php?workbook=06_02.xlsx&amp;sheet=A0&amp;row=599&amp;col=9&amp;number=&amp;sourceID=34","")</f>
        <v/>
      </c>
      <c r="J599" s="4" t="str">
        <f>HYPERLINK("http://141.218.60.56/~jnz1568/getInfo.php?workbook=06_02.xlsx&amp;sheet=A0&amp;row=599&amp;col=10&amp;number=&amp;sourceID=34","")</f>
        <v/>
      </c>
      <c r="K599" s="4" t="str">
        <f>HYPERLINK("http://141.218.60.56/~jnz1568/getInfo.php?workbook=06_02.xlsx&amp;sheet=A0&amp;row=599&amp;col=11&amp;number=&amp;sourceID=30","")</f>
        <v/>
      </c>
      <c r="L599" s="4" t="str">
        <f>HYPERLINK("http://141.218.60.56/~jnz1568/getInfo.php?workbook=06_02.xlsx&amp;sheet=A0&amp;row=599&amp;col=12&amp;number=&amp;sourceID=30","")</f>
        <v/>
      </c>
      <c r="M599" s="4" t="str">
        <f>HYPERLINK("http://141.218.60.56/~jnz1568/getInfo.php?workbook=06_02.xlsx&amp;sheet=A0&amp;row=599&amp;col=13&amp;number=&amp;sourceID=30","")</f>
        <v/>
      </c>
      <c r="N599" s="4" t="str">
        <f>HYPERLINK("http://141.218.60.56/~jnz1568/getInfo.php?workbook=06_02.xlsx&amp;sheet=A0&amp;row=599&amp;col=14&amp;number=0.5664&amp;sourceID=30","0.5664")</f>
        <v>0.5664</v>
      </c>
      <c r="O599" s="4" t="str">
        <f>HYPERLINK("http://141.218.60.56/~jnz1568/getInfo.php?workbook=06_02.xlsx&amp;sheet=A0&amp;row=599&amp;col=15&amp;number=&amp;sourceID=32","")</f>
        <v/>
      </c>
      <c r="P599" s="4" t="str">
        <f>HYPERLINK("http://141.218.60.56/~jnz1568/getInfo.php?workbook=06_02.xlsx&amp;sheet=A0&amp;row=599&amp;col=16&amp;number=&amp;sourceID=32","")</f>
        <v/>
      </c>
      <c r="Q599" s="4" t="str">
        <f>HYPERLINK("http://141.218.60.56/~jnz1568/getInfo.php?workbook=06_02.xlsx&amp;sheet=A0&amp;row=599&amp;col=17&amp;number=&amp;sourceID=32","")</f>
        <v/>
      </c>
      <c r="R599" s="4" t="str">
        <f>HYPERLINK("http://141.218.60.56/~jnz1568/getInfo.php?workbook=06_02.xlsx&amp;sheet=A0&amp;row=599&amp;col=18&amp;number=0.5943&amp;sourceID=32","0.5943")</f>
        <v>0.5943</v>
      </c>
    </row>
    <row r="600" spans="1:18">
      <c r="A600" s="3">
        <v>6</v>
      </c>
      <c r="B600" s="3">
        <v>2</v>
      </c>
      <c r="C600" s="3">
        <v>39</v>
      </c>
      <c r="D600" s="3">
        <v>6</v>
      </c>
      <c r="E600" s="3">
        <f>((1/(INDEX(E0!J$4:J$52,C600,1)-INDEX(E0!J$4:J$52,D600,1))))*100000000</f>
        <v>0</v>
      </c>
      <c r="F600" s="4" t="str">
        <f>HYPERLINK("http://141.218.60.56/~jnz1568/getInfo.php?workbook=06_02.xlsx&amp;sheet=A0&amp;row=600&amp;col=6&amp;number=&amp;sourceID=27","")</f>
        <v/>
      </c>
      <c r="G600" s="4" t="str">
        <f>HYPERLINK("http://141.218.60.56/~jnz1568/getInfo.php?workbook=06_02.xlsx&amp;sheet=A0&amp;row=600&amp;col=7&amp;number=6557000000&amp;sourceID=34","6557000000")</f>
        <v>6557000000</v>
      </c>
      <c r="H600" s="4" t="str">
        <f>HYPERLINK("http://141.218.60.56/~jnz1568/getInfo.php?workbook=06_02.xlsx&amp;sheet=A0&amp;row=600&amp;col=8&amp;number=&amp;sourceID=34","")</f>
        <v/>
      </c>
      <c r="I600" s="4" t="str">
        <f>HYPERLINK("http://141.218.60.56/~jnz1568/getInfo.php?workbook=06_02.xlsx&amp;sheet=A0&amp;row=600&amp;col=9&amp;number=&amp;sourceID=34","")</f>
        <v/>
      </c>
      <c r="J600" s="4" t="str">
        <f>HYPERLINK("http://141.218.60.56/~jnz1568/getInfo.php?workbook=06_02.xlsx&amp;sheet=A0&amp;row=600&amp;col=10&amp;number=&amp;sourceID=34","")</f>
        <v/>
      </c>
      <c r="K600" s="4" t="str">
        <f>HYPERLINK("http://141.218.60.56/~jnz1568/getInfo.php?workbook=06_02.xlsx&amp;sheet=A0&amp;row=600&amp;col=11&amp;number=6190000000&amp;sourceID=30","6190000000")</f>
        <v>6190000000</v>
      </c>
      <c r="L600" s="4" t="str">
        <f>HYPERLINK("http://141.218.60.56/~jnz1568/getInfo.php?workbook=06_02.xlsx&amp;sheet=A0&amp;row=600&amp;col=12&amp;number=&amp;sourceID=30","")</f>
        <v/>
      </c>
      <c r="M600" s="4" t="str">
        <f>HYPERLINK("http://141.218.60.56/~jnz1568/getInfo.php?workbook=06_02.xlsx&amp;sheet=A0&amp;row=600&amp;col=13&amp;number=&amp;sourceID=30","")</f>
        <v/>
      </c>
      <c r="N600" s="4" t="str">
        <f>HYPERLINK("http://141.218.60.56/~jnz1568/getInfo.php?workbook=06_02.xlsx&amp;sheet=A0&amp;row=600&amp;col=14&amp;number=26.97&amp;sourceID=30","26.97")</f>
        <v>26.97</v>
      </c>
      <c r="O600" s="4" t="str">
        <f>HYPERLINK("http://141.218.60.56/~jnz1568/getInfo.php?workbook=06_02.xlsx&amp;sheet=A0&amp;row=600&amp;col=15&amp;number=6556000000&amp;sourceID=32","6556000000")</f>
        <v>6556000000</v>
      </c>
      <c r="P600" s="4" t="str">
        <f>HYPERLINK("http://141.218.60.56/~jnz1568/getInfo.php?workbook=06_02.xlsx&amp;sheet=A0&amp;row=600&amp;col=16&amp;number=&amp;sourceID=32","")</f>
        <v/>
      </c>
      <c r="Q600" s="4" t="str">
        <f>HYPERLINK("http://141.218.60.56/~jnz1568/getInfo.php?workbook=06_02.xlsx&amp;sheet=A0&amp;row=600&amp;col=17&amp;number=&amp;sourceID=32","")</f>
        <v/>
      </c>
      <c r="R600" s="4" t="str">
        <f>HYPERLINK("http://141.218.60.56/~jnz1568/getInfo.php?workbook=06_02.xlsx&amp;sheet=A0&amp;row=600&amp;col=18&amp;number=28.74&amp;sourceID=32","28.74")</f>
        <v>28.74</v>
      </c>
    </row>
    <row r="601" spans="1:18">
      <c r="A601" s="3">
        <v>6</v>
      </c>
      <c r="B601" s="3">
        <v>2</v>
      </c>
      <c r="C601" s="3">
        <v>39</v>
      </c>
      <c r="D601" s="3">
        <v>7</v>
      </c>
      <c r="E601" s="3">
        <f>((1/(INDEX(E0!J$4:J$52,C601,1)-INDEX(E0!J$4:J$52,D601,1))))*100000000</f>
        <v>0</v>
      </c>
      <c r="F601" s="4" t="str">
        <f>HYPERLINK("http://141.218.60.56/~jnz1568/getInfo.php?workbook=06_02.xlsx&amp;sheet=A0&amp;row=601&amp;col=6&amp;number=&amp;sourceID=27","")</f>
        <v/>
      </c>
      <c r="G601" s="4" t="str">
        <f>HYPERLINK("http://141.218.60.56/~jnz1568/getInfo.php?workbook=06_02.xlsx&amp;sheet=A0&amp;row=601&amp;col=7&amp;number=&amp;sourceID=34","")</f>
        <v/>
      </c>
      <c r="H601" s="4" t="str">
        <f>HYPERLINK("http://141.218.60.56/~jnz1568/getInfo.php?workbook=06_02.xlsx&amp;sheet=A0&amp;row=601&amp;col=8&amp;number=&amp;sourceID=34","")</f>
        <v/>
      </c>
      <c r="I601" s="4" t="str">
        <f>HYPERLINK("http://141.218.60.56/~jnz1568/getInfo.php?workbook=06_02.xlsx&amp;sheet=A0&amp;row=601&amp;col=9&amp;number=&amp;sourceID=34","")</f>
        <v/>
      </c>
      <c r="J601" s="4" t="str">
        <f>HYPERLINK("http://141.218.60.56/~jnz1568/getInfo.php?workbook=06_02.xlsx&amp;sheet=A0&amp;row=601&amp;col=10&amp;number=&amp;sourceID=34","")</f>
        <v/>
      </c>
      <c r="K601" s="4" t="str">
        <f>HYPERLINK("http://141.218.60.56/~jnz1568/getInfo.php?workbook=06_02.xlsx&amp;sheet=A0&amp;row=601&amp;col=11&amp;number=&amp;sourceID=30","")</f>
        <v/>
      </c>
      <c r="L601" s="4" t="str">
        <f>HYPERLINK("http://141.218.60.56/~jnz1568/getInfo.php?workbook=06_02.xlsx&amp;sheet=A0&amp;row=601&amp;col=12&amp;number=&amp;sourceID=30","")</f>
        <v/>
      </c>
      <c r="M601" s="4" t="str">
        <f>HYPERLINK("http://141.218.60.56/~jnz1568/getInfo.php?workbook=06_02.xlsx&amp;sheet=A0&amp;row=601&amp;col=13&amp;number=&amp;sourceID=30","")</f>
        <v/>
      </c>
      <c r="N601" s="4" t="str">
        <f>HYPERLINK("http://141.218.60.56/~jnz1568/getInfo.php?workbook=06_02.xlsx&amp;sheet=A0&amp;row=601&amp;col=14&amp;number=9.182&amp;sourceID=30","9.182")</f>
        <v>9.182</v>
      </c>
      <c r="O601" s="4" t="str">
        <f>HYPERLINK("http://141.218.60.56/~jnz1568/getInfo.php?workbook=06_02.xlsx&amp;sheet=A0&amp;row=601&amp;col=15&amp;number=&amp;sourceID=32","")</f>
        <v/>
      </c>
      <c r="P601" s="4" t="str">
        <f>HYPERLINK("http://141.218.60.56/~jnz1568/getInfo.php?workbook=06_02.xlsx&amp;sheet=A0&amp;row=601&amp;col=16&amp;number=&amp;sourceID=32","")</f>
        <v/>
      </c>
      <c r="Q601" s="4" t="str">
        <f>HYPERLINK("http://141.218.60.56/~jnz1568/getInfo.php?workbook=06_02.xlsx&amp;sheet=A0&amp;row=601&amp;col=17&amp;number=&amp;sourceID=32","")</f>
        <v/>
      </c>
      <c r="R601" s="4" t="str">
        <f>HYPERLINK("http://141.218.60.56/~jnz1568/getInfo.php?workbook=06_02.xlsx&amp;sheet=A0&amp;row=601&amp;col=18&amp;number=8.072&amp;sourceID=32","8.072")</f>
        <v>8.072</v>
      </c>
    </row>
    <row r="602" spans="1:18">
      <c r="A602" s="3">
        <v>6</v>
      </c>
      <c r="B602" s="3">
        <v>2</v>
      </c>
      <c r="C602" s="3">
        <v>39</v>
      </c>
      <c r="D602" s="3">
        <v>8</v>
      </c>
      <c r="E602" s="3">
        <f>((1/(INDEX(E0!J$4:J$52,C602,1)-INDEX(E0!J$4:J$52,D602,1))))*100000000</f>
        <v>0</v>
      </c>
      <c r="F602" s="4" t="str">
        <f>HYPERLINK("http://141.218.60.56/~jnz1568/getInfo.php?workbook=06_02.xlsx&amp;sheet=A0&amp;row=602&amp;col=6&amp;number=&amp;sourceID=27","")</f>
        <v/>
      </c>
      <c r="G602" s="4" t="str">
        <f>HYPERLINK("http://141.218.60.56/~jnz1568/getInfo.php?workbook=06_02.xlsx&amp;sheet=A0&amp;row=602&amp;col=7&amp;number=&amp;sourceID=34","")</f>
        <v/>
      </c>
      <c r="H602" s="4" t="str">
        <f>HYPERLINK("http://141.218.60.56/~jnz1568/getInfo.php?workbook=06_02.xlsx&amp;sheet=A0&amp;row=602&amp;col=8&amp;number=&amp;sourceID=34","")</f>
        <v/>
      </c>
      <c r="I602" s="4" t="str">
        <f>HYPERLINK("http://141.218.60.56/~jnz1568/getInfo.php?workbook=06_02.xlsx&amp;sheet=A0&amp;row=602&amp;col=9&amp;number=&amp;sourceID=34","")</f>
        <v/>
      </c>
      <c r="J602" s="4" t="str">
        <f>HYPERLINK("http://141.218.60.56/~jnz1568/getInfo.php?workbook=06_02.xlsx&amp;sheet=A0&amp;row=602&amp;col=10&amp;number=&amp;sourceID=34","")</f>
        <v/>
      </c>
      <c r="K602" s="4" t="str">
        <f>HYPERLINK("http://141.218.60.56/~jnz1568/getInfo.php?workbook=06_02.xlsx&amp;sheet=A0&amp;row=602&amp;col=11&amp;number=&amp;sourceID=30","")</f>
        <v/>
      </c>
      <c r="L602" s="4" t="str">
        <f>HYPERLINK("http://141.218.60.56/~jnz1568/getInfo.php?workbook=06_02.xlsx&amp;sheet=A0&amp;row=602&amp;col=12&amp;number=25250&amp;sourceID=30","25250")</f>
        <v>25250</v>
      </c>
      <c r="M602" s="4" t="str">
        <f>HYPERLINK("http://141.218.60.56/~jnz1568/getInfo.php?workbook=06_02.xlsx&amp;sheet=A0&amp;row=602&amp;col=13&amp;number=&amp;sourceID=30","")</f>
        <v/>
      </c>
      <c r="N602" s="4" t="str">
        <f>HYPERLINK("http://141.218.60.56/~jnz1568/getInfo.php?workbook=06_02.xlsx&amp;sheet=A0&amp;row=602&amp;col=14&amp;number=&amp;sourceID=30","")</f>
        <v/>
      </c>
      <c r="O602" s="4" t="str">
        <f>HYPERLINK("http://141.218.60.56/~jnz1568/getInfo.php?workbook=06_02.xlsx&amp;sheet=A0&amp;row=602&amp;col=15&amp;number=&amp;sourceID=32","")</f>
        <v/>
      </c>
      <c r="P602" s="4" t="str">
        <f>HYPERLINK("http://141.218.60.56/~jnz1568/getInfo.php?workbook=06_02.xlsx&amp;sheet=A0&amp;row=602&amp;col=16&amp;number=29360&amp;sourceID=32","29360")</f>
        <v>29360</v>
      </c>
      <c r="Q602" s="4" t="str">
        <f>HYPERLINK("http://141.218.60.56/~jnz1568/getInfo.php?workbook=06_02.xlsx&amp;sheet=A0&amp;row=602&amp;col=17&amp;number=&amp;sourceID=32","")</f>
        <v/>
      </c>
      <c r="R602" s="4" t="str">
        <f>HYPERLINK("http://141.218.60.56/~jnz1568/getInfo.php?workbook=06_02.xlsx&amp;sheet=A0&amp;row=602&amp;col=18&amp;number=&amp;sourceID=32","")</f>
        <v/>
      </c>
    </row>
    <row r="603" spans="1:18">
      <c r="A603" s="3">
        <v>6</v>
      </c>
      <c r="B603" s="3">
        <v>2</v>
      </c>
      <c r="C603" s="3">
        <v>39</v>
      </c>
      <c r="D603" s="3">
        <v>10</v>
      </c>
      <c r="E603" s="3">
        <f>((1/(INDEX(E0!J$4:J$52,C603,1)-INDEX(E0!J$4:J$52,D603,1))))*100000000</f>
        <v>0</v>
      </c>
      <c r="F603" s="4" t="str">
        <f>HYPERLINK("http://141.218.60.56/~jnz1568/getInfo.php?workbook=06_02.xlsx&amp;sheet=A0&amp;row=603&amp;col=6&amp;number=&amp;sourceID=27","")</f>
        <v/>
      </c>
      <c r="G603" s="4" t="str">
        <f>HYPERLINK("http://141.218.60.56/~jnz1568/getInfo.php?workbook=06_02.xlsx&amp;sheet=A0&amp;row=603&amp;col=7&amp;number=&amp;sourceID=34","")</f>
        <v/>
      </c>
      <c r="H603" s="4" t="str">
        <f>HYPERLINK("http://141.218.60.56/~jnz1568/getInfo.php?workbook=06_02.xlsx&amp;sheet=A0&amp;row=603&amp;col=8&amp;number=&amp;sourceID=34","")</f>
        <v/>
      </c>
      <c r="I603" s="4" t="str">
        <f>HYPERLINK("http://141.218.60.56/~jnz1568/getInfo.php?workbook=06_02.xlsx&amp;sheet=A0&amp;row=603&amp;col=9&amp;number=&amp;sourceID=34","")</f>
        <v/>
      </c>
      <c r="J603" s="4" t="str">
        <f>HYPERLINK("http://141.218.60.56/~jnz1568/getInfo.php?workbook=06_02.xlsx&amp;sheet=A0&amp;row=603&amp;col=10&amp;number=&amp;sourceID=34","")</f>
        <v/>
      </c>
      <c r="K603" s="4" t="str">
        <f>HYPERLINK("http://141.218.60.56/~jnz1568/getInfo.php?workbook=06_02.xlsx&amp;sheet=A0&amp;row=603&amp;col=11&amp;number=&amp;sourceID=30","")</f>
        <v/>
      </c>
      <c r="L603" s="4" t="str">
        <f>HYPERLINK("http://141.218.60.56/~jnz1568/getInfo.php?workbook=06_02.xlsx&amp;sheet=A0&amp;row=603&amp;col=12&amp;number=&amp;sourceID=30","")</f>
        <v/>
      </c>
      <c r="M603" s="4" t="str">
        <f>HYPERLINK("http://141.218.60.56/~jnz1568/getInfo.php?workbook=06_02.xlsx&amp;sheet=A0&amp;row=603&amp;col=13&amp;number=&amp;sourceID=30","")</f>
        <v/>
      </c>
      <c r="N603" s="4" t="str">
        <f>HYPERLINK("http://141.218.60.56/~jnz1568/getInfo.php?workbook=06_02.xlsx&amp;sheet=A0&amp;row=603&amp;col=14&amp;number=0.02185&amp;sourceID=30","0.02185")</f>
        <v>0.02185</v>
      </c>
      <c r="O603" s="4" t="str">
        <f>HYPERLINK("http://141.218.60.56/~jnz1568/getInfo.php?workbook=06_02.xlsx&amp;sheet=A0&amp;row=603&amp;col=15&amp;number=&amp;sourceID=32","")</f>
        <v/>
      </c>
      <c r="P603" s="4" t="str">
        <f>HYPERLINK("http://141.218.60.56/~jnz1568/getInfo.php?workbook=06_02.xlsx&amp;sheet=A0&amp;row=603&amp;col=16&amp;number=&amp;sourceID=32","")</f>
        <v/>
      </c>
      <c r="Q603" s="4" t="str">
        <f>HYPERLINK("http://141.218.60.56/~jnz1568/getInfo.php?workbook=06_02.xlsx&amp;sheet=A0&amp;row=603&amp;col=17&amp;number=&amp;sourceID=32","")</f>
        <v/>
      </c>
      <c r="R603" s="4" t="str">
        <f>HYPERLINK("http://141.218.60.56/~jnz1568/getInfo.php?workbook=06_02.xlsx&amp;sheet=A0&amp;row=603&amp;col=18&amp;number=0.02248&amp;sourceID=32","0.02248")</f>
        <v>0.02248</v>
      </c>
    </row>
    <row r="604" spans="1:18">
      <c r="A604" s="3">
        <v>6</v>
      </c>
      <c r="B604" s="3">
        <v>2</v>
      </c>
      <c r="C604" s="3">
        <v>39</v>
      </c>
      <c r="D604" s="3">
        <v>12</v>
      </c>
      <c r="E604" s="3">
        <f>((1/(INDEX(E0!J$4:J$52,C604,1)-INDEX(E0!J$4:J$52,D604,1))))*100000000</f>
        <v>0</v>
      </c>
      <c r="F604" s="4" t="str">
        <f>HYPERLINK("http://141.218.60.56/~jnz1568/getInfo.php?workbook=06_02.xlsx&amp;sheet=A0&amp;row=604&amp;col=6&amp;number=&amp;sourceID=27","")</f>
        <v/>
      </c>
      <c r="G604" s="4" t="str">
        <f>HYPERLINK("http://141.218.60.56/~jnz1568/getInfo.php?workbook=06_02.xlsx&amp;sheet=A0&amp;row=604&amp;col=7&amp;number=2164000000&amp;sourceID=34","2164000000")</f>
        <v>2164000000</v>
      </c>
      <c r="H604" s="4" t="str">
        <f>HYPERLINK("http://141.218.60.56/~jnz1568/getInfo.php?workbook=06_02.xlsx&amp;sheet=A0&amp;row=604&amp;col=8&amp;number=&amp;sourceID=34","")</f>
        <v/>
      </c>
      <c r="I604" s="4" t="str">
        <f>HYPERLINK("http://141.218.60.56/~jnz1568/getInfo.php?workbook=06_02.xlsx&amp;sheet=A0&amp;row=604&amp;col=9&amp;number=&amp;sourceID=34","")</f>
        <v/>
      </c>
      <c r="J604" s="4" t="str">
        <f>HYPERLINK("http://141.218.60.56/~jnz1568/getInfo.php?workbook=06_02.xlsx&amp;sheet=A0&amp;row=604&amp;col=10&amp;number=&amp;sourceID=34","")</f>
        <v/>
      </c>
      <c r="K604" s="4" t="str">
        <f>HYPERLINK("http://141.218.60.56/~jnz1568/getInfo.php?workbook=06_02.xlsx&amp;sheet=A0&amp;row=604&amp;col=11&amp;number=2107000000&amp;sourceID=30","2107000000")</f>
        <v>2107000000</v>
      </c>
      <c r="L604" s="4" t="str">
        <f>HYPERLINK("http://141.218.60.56/~jnz1568/getInfo.php?workbook=06_02.xlsx&amp;sheet=A0&amp;row=604&amp;col=12&amp;number=&amp;sourceID=30","")</f>
        <v/>
      </c>
      <c r="M604" s="4" t="str">
        <f>HYPERLINK("http://141.218.60.56/~jnz1568/getInfo.php?workbook=06_02.xlsx&amp;sheet=A0&amp;row=604&amp;col=13&amp;number=&amp;sourceID=30","")</f>
        <v/>
      </c>
      <c r="N604" s="4" t="str">
        <f>HYPERLINK("http://141.218.60.56/~jnz1568/getInfo.php?workbook=06_02.xlsx&amp;sheet=A0&amp;row=604&amp;col=14&amp;number=1.042&amp;sourceID=30","1.042")</f>
        <v>1.042</v>
      </c>
      <c r="O604" s="4" t="str">
        <f>HYPERLINK("http://141.218.60.56/~jnz1568/getInfo.php?workbook=06_02.xlsx&amp;sheet=A0&amp;row=604&amp;col=15&amp;number=2164000000&amp;sourceID=32","2164000000")</f>
        <v>2164000000</v>
      </c>
      <c r="P604" s="4" t="str">
        <f>HYPERLINK("http://141.218.60.56/~jnz1568/getInfo.php?workbook=06_02.xlsx&amp;sheet=A0&amp;row=604&amp;col=16&amp;number=&amp;sourceID=32","")</f>
        <v/>
      </c>
      <c r="Q604" s="4" t="str">
        <f>HYPERLINK("http://141.218.60.56/~jnz1568/getInfo.php?workbook=06_02.xlsx&amp;sheet=A0&amp;row=604&amp;col=17&amp;number=&amp;sourceID=32","")</f>
        <v/>
      </c>
      <c r="R604" s="4" t="str">
        <f>HYPERLINK("http://141.218.60.56/~jnz1568/getInfo.php?workbook=06_02.xlsx&amp;sheet=A0&amp;row=604&amp;col=18&amp;number=1.074&amp;sourceID=32","1.074")</f>
        <v>1.074</v>
      </c>
    </row>
    <row r="605" spans="1:18">
      <c r="A605" s="3">
        <v>6</v>
      </c>
      <c r="B605" s="3">
        <v>2</v>
      </c>
      <c r="C605" s="3">
        <v>39</v>
      </c>
      <c r="D605" s="3">
        <v>13</v>
      </c>
      <c r="E605" s="3">
        <f>((1/(INDEX(E0!J$4:J$52,C605,1)-INDEX(E0!J$4:J$52,D605,1))))*100000000</f>
        <v>0</v>
      </c>
      <c r="F605" s="4" t="str">
        <f>HYPERLINK("http://141.218.60.56/~jnz1568/getInfo.php?workbook=06_02.xlsx&amp;sheet=A0&amp;row=605&amp;col=6&amp;number=&amp;sourceID=27","")</f>
        <v/>
      </c>
      <c r="G605" s="4" t="str">
        <f>HYPERLINK("http://141.218.60.56/~jnz1568/getInfo.php?workbook=06_02.xlsx&amp;sheet=A0&amp;row=605&amp;col=7&amp;number=&amp;sourceID=34","")</f>
        <v/>
      </c>
      <c r="H605" s="4" t="str">
        <f>HYPERLINK("http://141.218.60.56/~jnz1568/getInfo.php?workbook=06_02.xlsx&amp;sheet=A0&amp;row=605&amp;col=8&amp;number=&amp;sourceID=34","")</f>
        <v/>
      </c>
      <c r="I605" s="4" t="str">
        <f>HYPERLINK("http://141.218.60.56/~jnz1568/getInfo.php?workbook=06_02.xlsx&amp;sheet=A0&amp;row=605&amp;col=9&amp;number=&amp;sourceID=34","")</f>
        <v/>
      </c>
      <c r="J605" s="4" t="str">
        <f>HYPERLINK("http://141.218.60.56/~jnz1568/getInfo.php?workbook=06_02.xlsx&amp;sheet=A0&amp;row=605&amp;col=10&amp;number=&amp;sourceID=34","")</f>
        <v/>
      </c>
      <c r="K605" s="4" t="str">
        <f>HYPERLINK("http://141.218.60.56/~jnz1568/getInfo.php?workbook=06_02.xlsx&amp;sheet=A0&amp;row=605&amp;col=11&amp;number=&amp;sourceID=30","")</f>
        <v/>
      </c>
      <c r="L605" s="4" t="str">
        <f>HYPERLINK("http://141.218.60.56/~jnz1568/getInfo.php?workbook=06_02.xlsx&amp;sheet=A0&amp;row=605&amp;col=12&amp;number=252.7&amp;sourceID=30","252.7")</f>
        <v>252.7</v>
      </c>
      <c r="M605" s="4" t="str">
        <f>HYPERLINK("http://141.218.60.56/~jnz1568/getInfo.php?workbook=06_02.xlsx&amp;sheet=A0&amp;row=605&amp;col=13&amp;number=&amp;sourceID=30","")</f>
        <v/>
      </c>
      <c r="N605" s="4" t="str">
        <f>HYPERLINK("http://141.218.60.56/~jnz1568/getInfo.php?workbook=06_02.xlsx&amp;sheet=A0&amp;row=605&amp;col=14&amp;number=&amp;sourceID=30","")</f>
        <v/>
      </c>
      <c r="O605" s="4" t="str">
        <f>HYPERLINK("http://141.218.60.56/~jnz1568/getInfo.php?workbook=06_02.xlsx&amp;sheet=A0&amp;row=605&amp;col=15&amp;number=&amp;sourceID=32","")</f>
        <v/>
      </c>
      <c r="P605" s="4" t="str">
        <f>HYPERLINK("http://141.218.60.56/~jnz1568/getInfo.php?workbook=06_02.xlsx&amp;sheet=A0&amp;row=605&amp;col=16&amp;number=255.8&amp;sourceID=32","255.8")</f>
        <v>255.8</v>
      </c>
      <c r="Q605" s="4" t="str">
        <f>HYPERLINK("http://141.218.60.56/~jnz1568/getInfo.php?workbook=06_02.xlsx&amp;sheet=A0&amp;row=605&amp;col=17&amp;number=&amp;sourceID=32","")</f>
        <v/>
      </c>
      <c r="R605" s="4" t="str">
        <f>HYPERLINK("http://141.218.60.56/~jnz1568/getInfo.php?workbook=06_02.xlsx&amp;sheet=A0&amp;row=605&amp;col=18&amp;number=&amp;sourceID=32","")</f>
        <v/>
      </c>
    </row>
    <row r="606" spans="1:18">
      <c r="A606" s="3">
        <v>6</v>
      </c>
      <c r="B606" s="3">
        <v>2</v>
      </c>
      <c r="C606" s="3">
        <v>39</v>
      </c>
      <c r="D606" s="3">
        <v>14</v>
      </c>
      <c r="E606" s="3">
        <f>((1/(INDEX(E0!J$4:J$52,C606,1)-INDEX(E0!J$4:J$52,D606,1))))*100000000</f>
        <v>0</v>
      </c>
      <c r="F606" s="4" t="str">
        <f>HYPERLINK("http://141.218.60.56/~jnz1568/getInfo.php?workbook=06_02.xlsx&amp;sheet=A0&amp;row=606&amp;col=6&amp;number=&amp;sourceID=27","")</f>
        <v/>
      </c>
      <c r="G606" s="4" t="str">
        <f>HYPERLINK("http://141.218.60.56/~jnz1568/getInfo.php?workbook=06_02.xlsx&amp;sheet=A0&amp;row=606&amp;col=7&amp;number=&amp;sourceID=34","")</f>
        <v/>
      </c>
      <c r="H606" s="4" t="str">
        <f>HYPERLINK("http://141.218.60.56/~jnz1568/getInfo.php?workbook=06_02.xlsx&amp;sheet=A0&amp;row=606&amp;col=8&amp;number=&amp;sourceID=34","")</f>
        <v/>
      </c>
      <c r="I606" s="4" t="str">
        <f>HYPERLINK("http://141.218.60.56/~jnz1568/getInfo.php?workbook=06_02.xlsx&amp;sheet=A0&amp;row=606&amp;col=9&amp;number=&amp;sourceID=34","")</f>
        <v/>
      </c>
      <c r="J606" s="4" t="str">
        <f>HYPERLINK("http://141.218.60.56/~jnz1568/getInfo.php?workbook=06_02.xlsx&amp;sheet=A0&amp;row=606&amp;col=10&amp;number=&amp;sourceID=34","")</f>
        <v/>
      </c>
      <c r="K606" s="4" t="str">
        <f>HYPERLINK("http://141.218.60.56/~jnz1568/getInfo.php?workbook=06_02.xlsx&amp;sheet=A0&amp;row=606&amp;col=11&amp;number=&amp;sourceID=30","")</f>
        <v/>
      </c>
      <c r="L606" s="4" t="str">
        <f>HYPERLINK("http://141.218.60.56/~jnz1568/getInfo.php?workbook=06_02.xlsx&amp;sheet=A0&amp;row=606&amp;col=12&amp;number=2522&amp;sourceID=30","2522")</f>
        <v>2522</v>
      </c>
      <c r="M606" s="4" t="str">
        <f>HYPERLINK("http://141.218.60.56/~jnz1568/getInfo.php?workbook=06_02.xlsx&amp;sheet=A0&amp;row=606&amp;col=13&amp;number=6.935e-05&amp;sourceID=30","6.935e-05")</f>
        <v>6.935e-05</v>
      </c>
      <c r="N606" s="4" t="str">
        <f>HYPERLINK("http://141.218.60.56/~jnz1568/getInfo.php?workbook=06_02.xlsx&amp;sheet=A0&amp;row=606&amp;col=14&amp;number=&amp;sourceID=30","")</f>
        <v/>
      </c>
      <c r="O606" s="4" t="str">
        <f>HYPERLINK("http://141.218.60.56/~jnz1568/getInfo.php?workbook=06_02.xlsx&amp;sheet=A0&amp;row=606&amp;col=15&amp;number=&amp;sourceID=32","")</f>
        <v/>
      </c>
      <c r="P606" s="4" t="str">
        <f>HYPERLINK("http://141.218.60.56/~jnz1568/getInfo.php?workbook=06_02.xlsx&amp;sheet=A0&amp;row=606&amp;col=16&amp;number=2551&amp;sourceID=32","2551")</f>
        <v>2551</v>
      </c>
      <c r="Q606" s="4" t="str">
        <f>HYPERLINK("http://141.218.60.56/~jnz1568/getInfo.php?workbook=06_02.xlsx&amp;sheet=A0&amp;row=606&amp;col=17&amp;number=7.429e-05&amp;sourceID=32","7.429e-05")</f>
        <v>7.429e-05</v>
      </c>
      <c r="R606" s="4" t="str">
        <f>HYPERLINK("http://141.218.60.56/~jnz1568/getInfo.php?workbook=06_02.xlsx&amp;sheet=A0&amp;row=606&amp;col=18&amp;number=&amp;sourceID=32","")</f>
        <v/>
      </c>
    </row>
    <row r="607" spans="1:18">
      <c r="A607" s="3">
        <v>6</v>
      </c>
      <c r="B607" s="3">
        <v>2</v>
      </c>
      <c r="C607" s="3">
        <v>39</v>
      </c>
      <c r="D607" s="3">
        <v>15</v>
      </c>
      <c r="E607" s="3">
        <f>((1/(INDEX(E0!J$4:J$52,C607,1)-INDEX(E0!J$4:J$52,D607,1))))*100000000</f>
        <v>0</v>
      </c>
      <c r="F607" s="4" t="str">
        <f>HYPERLINK("http://141.218.60.56/~jnz1568/getInfo.php?workbook=06_02.xlsx&amp;sheet=A0&amp;row=607&amp;col=6&amp;number=&amp;sourceID=27","")</f>
        <v/>
      </c>
      <c r="G607" s="4" t="str">
        <f>HYPERLINK("http://141.218.60.56/~jnz1568/getInfo.php?workbook=06_02.xlsx&amp;sheet=A0&amp;row=607&amp;col=7&amp;number=&amp;sourceID=34","")</f>
        <v/>
      </c>
      <c r="H607" s="4" t="str">
        <f>HYPERLINK("http://141.218.60.56/~jnz1568/getInfo.php?workbook=06_02.xlsx&amp;sheet=A0&amp;row=607&amp;col=8&amp;number=&amp;sourceID=34","")</f>
        <v/>
      </c>
      <c r="I607" s="4" t="str">
        <f>HYPERLINK("http://141.218.60.56/~jnz1568/getInfo.php?workbook=06_02.xlsx&amp;sheet=A0&amp;row=607&amp;col=9&amp;number=&amp;sourceID=34","")</f>
        <v/>
      </c>
      <c r="J607" s="4" t="str">
        <f>HYPERLINK("http://141.218.60.56/~jnz1568/getInfo.php?workbook=06_02.xlsx&amp;sheet=A0&amp;row=607&amp;col=10&amp;number=&amp;sourceID=34","")</f>
        <v/>
      </c>
      <c r="K607" s="4" t="str">
        <f>HYPERLINK("http://141.218.60.56/~jnz1568/getInfo.php?workbook=06_02.xlsx&amp;sheet=A0&amp;row=607&amp;col=11&amp;number=&amp;sourceID=30","")</f>
        <v/>
      </c>
      <c r="L607" s="4" t="str">
        <f>HYPERLINK("http://141.218.60.56/~jnz1568/getInfo.php?workbook=06_02.xlsx&amp;sheet=A0&amp;row=607&amp;col=12&amp;number=6068&amp;sourceID=30","6068")</f>
        <v>6068</v>
      </c>
      <c r="M607" s="4" t="str">
        <f>HYPERLINK("http://141.218.60.56/~jnz1568/getInfo.php?workbook=06_02.xlsx&amp;sheet=A0&amp;row=607&amp;col=13&amp;number=0.0005884&amp;sourceID=30","0.0005884")</f>
        <v>0.0005884</v>
      </c>
      <c r="N607" s="4" t="str">
        <f>HYPERLINK("http://141.218.60.56/~jnz1568/getInfo.php?workbook=06_02.xlsx&amp;sheet=A0&amp;row=607&amp;col=14&amp;number=&amp;sourceID=30","")</f>
        <v/>
      </c>
      <c r="O607" s="4" t="str">
        <f>HYPERLINK("http://141.218.60.56/~jnz1568/getInfo.php?workbook=06_02.xlsx&amp;sheet=A0&amp;row=607&amp;col=15&amp;number=&amp;sourceID=32","")</f>
        <v/>
      </c>
      <c r="P607" s="4" t="str">
        <f>HYPERLINK("http://141.218.60.56/~jnz1568/getInfo.php?workbook=06_02.xlsx&amp;sheet=A0&amp;row=607&amp;col=16&amp;number=6147&amp;sourceID=32","6147")</f>
        <v>6147</v>
      </c>
      <c r="Q607" s="4" t="str">
        <f>HYPERLINK("http://141.218.60.56/~jnz1568/getInfo.php?workbook=06_02.xlsx&amp;sheet=A0&amp;row=607&amp;col=17&amp;number=0.0005459&amp;sourceID=32","0.0005459")</f>
        <v>0.0005459</v>
      </c>
      <c r="R607" s="4" t="str">
        <f>HYPERLINK("http://141.218.60.56/~jnz1568/getInfo.php?workbook=06_02.xlsx&amp;sheet=A0&amp;row=607&amp;col=18&amp;number=&amp;sourceID=32","")</f>
        <v/>
      </c>
    </row>
    <row r="608" spans="1:18">
      <c r="A608" s="3">
        <v>6</v>
      </c>
      <c r="B608" s="3">
        <v>2</v>
      </c>
      <c r="C608" s="3">
        <v>39</v>
      </c>
      <c r="D608" s="3">
        <v>16</v>
      </c>
      <c r="E608" s="3">
        <f>((1/(INDEX(E0!J$4:J$52,C608,1)-INDEX(E0!J$4:J$52,D608,1))))*100000000</f>
        <v>0</v>
      </c>
      <c r="F608" s="4" t="str">
        <f>HYPERLINK("http://141.218.60.56/~jnz1568/getInfo.php?workbook=06_02.xlsx&amp;sheet=A0&amp;row=608&amp;col=6&amp;number=&amp;sourceID=27","")</f>
        <v/>
      </c>
      <c r="G608" s="4" t="str">
        <f>HYPERLINK("http://141.218.60.56/~jnz1568/getInfo.php?workbook=06_02.xlsx&amp;sheet=A0&amp;row=608&amp;col=7&amp;number=&amp;sourceID=34","")</f>
        <v/>
      </c>
      <c r="H608" s="4" t="str">
        <f>HYPERLINK("http://141.218.60.56/~jnz1568/getInfo.php?workbook=06_02.xlsx&amp;sheet=A0&amp;row=608&amp;col=8&amp;number=&amp;sourceID=34","")</f>
        <v/>
      </c>
      <c r="I608" s="4" t="str">
        <f>HYPERLINK("http://141.218.60.56/~jnz1568/getInfo.php?workbook=06_02.xlsx&amp;sheet=A0&amp;row=608&amp;col=9&amp;number=&amp;sourceID=34","")</f>
        <v/>
      </c>
      <c r="J608" s="4" t="str">
        <f>HYPERLINK("http://141.218.60.56/~jnz1568/getInfo.php?workbook=06_02.xlsx&amp;sheet=A0&amp;row=608&amp;col=10&amp;number=&amp;sourceID=34","")</f>
        <v/>
      </c>
      <c r="K608" s="4" t="str">
        <f>HYPERLINK("http://141.218.60.56/~jnz1568/getInfo.php?workbook=06_02.xlsx&amp;sheet=A0&amp;row=608&amp;col=11&amp;number=&amp;sourceID=30","")</f>
        <v/>
      </c>
      <c r="L608" s="4" t="str">
        <f>HYPERLINK("http://141.218.60.56/~jnz1568/getInfo.php?workbook=06_02.xlsx&amp;sheet=A0&amp;row=608&amp;col=12&amp;number=7.953&amp;sourceID=30","7.953")</f>
        <v>7.953</v>
      </c>
      <c r="M608" s="4" t="str">
        <f>HYPERLINK("http://141.218.60.56/~jnz1568/getInfo.php?workbook=06_02.xlsx&amp;sheet=A0&amp;row=608&amp;col=13&amp;number=1.707e-05&amp;sourceID=30","1.707e-05")</f>
        <v>1.707e-05</v>
      </c>
      <c r="N608" s="4" t="str">
        <f>HYPERLINK("http://141.218.60.56/~jnz1568/getInfo.php?workbook=06_02.xlsx&amp;sheet=A0&amp;row=608&amp;col=14&amp;number=&amp;sourceID=30","")</f>
        <v/>
      </c>
      <c r="O608" s="4" t="str">
        <f>HYPERLINK("http://141.218.60.56/~jnz1568/getInfo.php?workbook=06_02.xlsx&amp;sheet=A0&amp;row=608&amp;col=15&amp;number=&amp;sourceID=32","")</f>
        <v/>
      </c>
      <c r="P608" s="4" t="str">
        <f>HYPERLINK("http://141.218.60.56/~jnz1568/getInfo.php?workbook=06_02.xlsx&amp;sheet=A0&amp;row=608&amp;col=16&amp;number=10.89&amp;sourceID=32","10.89")</f>
        <v>10.89</v>
      </c>
      <c r="Q608" s="4" t="str">
        <f>HYPERLINK("http://141.218.60.56/~jnz1568/getInfo.php?workbook=06_02.xlsx&amp;sheet=A0&amp;row=608&amp;col=17&amp;number=1.913e-05&amp;sourceID=32","1.913e-05")</f>
        <v>1.913e-05</v>
      </c>
      <c r="R608" s="4" t="str">
        <f>HYPERLINK("http://141.218.60.56/~jnz1568/getInfo.php?workbook=06_02.xlsx&amp;sheet=A0&amp;row=608&amp;col=18&amp;number=&amp;sourceID=32","")</f>
        <v/>
      </c>
    </row>
    <row r="609" spans="1:18">
      <c r="A609" s="3">
        <v>6</v>
      </c>
      <c r="B609" s="3">
        <v>2</v>
      </c>
      <c r="C609" s="3">
        <v>39</v>
      </c>
      <c r="D609" s="3">
        <v>17</v>
      </c>
      <c r="E609" s="3">
        <f>((1/(INDEX(E0!J$4:J$52,C609,1)-INDEX(E0!J$4:J$52,D609,1))))*100000000</f>
        <v>0</v>
      </c>
      <c r="F609" s="4" t="str">
        <f>HYPERLINK("http://141.218.60.56/~jnz1568/getInfo.php?workbook=06_02.xlsx&amp;sheet=A0&amp;row=609&amp;col=6&amp;number=&amp;sourceID=27","")</f>
        <v/>
      </c>
      <c r="G609" s="4" t="str">
        <f>HYPERLINK("http://141.218.60.56/~jnz1568/getInfo.php?workbook=06_02.xlsx&amp;sheet=A0&amp;row=609&amp;col=7&amp;number=&amp;sourceID=34","")</f>
        <v/>
      </c>
      <c r="H609" s="4" t="str">
        <f>HYPERLINK("http://141.218.60.56/~jnz1568/getInfo.php?workbook=06_02.xlsx&amp;sheet=A0&amp;row=609&amp;col=8&amp;number=&amp;sourceID=34","")</f>
        <v/>
      </c>
      <c r="I609" s="4" t="str">
        <f>HYPERLINK("http://141.218.60.56/~jnz1568/getInfo.php?workbook=06_02.xlsx&amp;sheet=A0&amp;row=609&amp;col=9&amp;number=&amp;sourceID=34","")</f>
        <v/>
      </c>
      <c r="J609" s="4" t="str">
        <f>HYPERLINK("http://141.218.60.56/~jnz1568/getInfo.php?workbook=06_02.xlsx&amp;sheet=A0&amp;row=609&amp;col=10&amp;number=&amp;sourceID=34","")</f>
        <v/>
      </c>
      <c r="K609" s="4" t="str">
        <f>HYPERLINK("http://141.218.60.56/~jnz1568/getInfo.php?workbook=06_02.xlsx&amp;sheet=A0&amp;row=609&amp;col=11&amp;number=&amp;sourceID=30","")</f>
        <v/>
      </c>
      <c r="L609" s="4" t="str">
        <f>HYPERLINK("http://141.218.60.56/~jnz1568/getInfo.php?workbook=06_02.xlsx&amp;sheet=A0&amp;row=609&amp;col=12&amp;number=&amp;sourceID=30","")</f>
        <v/>
      </c>
      <c r="M609" s="4" t="str">
        <f>HYPERLINK("http://141.218.60.56/~jnz1568/getInfo.php?workbook=06_02.xlsx&amp;sheet=A0&amp;row=609&amp;col=13&amp;number=&amp;sourceID=30","")</f>
        <v/>
      </c>
      <c r="N609" s="4" t="str">
        <f>HYPERLINK("http://141.218.60.56/~jnz1568/getInfo.php?workbook=06_02.xlsx&amp;sheet=A0&amp;row=609&amp;col=14&amp;number=0.3667&amp;sourceID=30","0.3667")</f>
        <v>0.3667</v>
      </c>
      <c r="O609" s="4" t="str">
        <f>HYPERLINK("http://141.218.60.56/~jnz1568/getInfo.php?workbook=06_02.xlsx&amp;sheet=A0&amp;row=609&amp;col=15&amp;number=&amp;sourceID=32","")</f>
        <v/>
      </c>
      <c r="P609" s="4" t="str">
        <f>HYPERLINK("http://141.218.60.56/~jnz1568/getInfo.php?workbook=06_02.xlsx&amp;sheet=A0&amp;row=609&amp;col=16&amp;number=&amp;sourceID=32","")</f>
        <v/>
      </c>
      <c r="Q609" s="4" t="str">
        <f>HYPERLINK("http://141.218.60.56/~jnz1568/getInfo.php?workbook=06_02.xlsx&amp;sheet=A0&amp;row=609&amp;col=17&amp;number=&amp;sourceID=32","")</f>
        <v/>
      </c>
      <c r="R609" s="4" t="str">
        <f>HYPERLINK("http://141.218.60.56/~jnz1568/getInfo.php?workbook=06_02.xlsx&amp;sheet=A0&amp;row=609&amp;col=18&amp;number=0.3464&amp;sourceID=32","0.3464")</f>
        <v>0.3464</v>
      </c>
    </row>
    <row r="610" spans="1:18">
      <c r="A610" s="3">
        <v>6</v>
      </c>
      <c r="B610" s="3">
        <v>2</v>
      </c>
      <c r="C610" s="3">
        <v>39</v>
      </c>
      <c r="D610" s="3">
        <v>18</v>
      </c>
      <c r="E610" s="3">
        <f>((1/(INDEX(E0!J$4:J$52,C610,1)-INDEX(E0!J$4:J$52,D610,1))))*100000000</f>
        <v>0</v>
      </c>
      <c r="F610" s="4" t="str">
        <f>HYPERLINK("http://141.218.60.56/~jnz1568/getInfo.php?workbook=06_02.xlsx&amp;sheet=A0&amp;row=610&amp;col=6&amp;number=&amp;sourceID=27","")</f>
        <v/>
      </c>
      <c r="G610" s="4" t="str">
        <f>HYPERLINK("http://141.218.60.56/~jnz1568/getInfo.php?workbook=06_02.xlsx&amp;sheet=A0&amp;row=610&amp;col=7&amp;number=&amp;sourceID=34","")</f>
        <v/>
      </c>
      <c r="H610" s="4" t="str">
        <f>HYPERLINK("http://141.218.60.56/~jnz1568/getInfo.php?workbook=06_02.xlsx&amp;sheet=A0&amp;row=610&amp;col=8&amp;number=&amp;sourceID=34","")</f>
        <v/>
      </c>
      <c r="I610" s="4" t="str">
        <f>HYPERLINK("http://141.218.60.56/~jnz1568/getInfo.php?workbook=06_02.xlsx&amp;sheet=A0&amp;row=610&amp;col=9&amp;number=&amp;sourceID=34","")</f>
        <v/>
      </c>
      <c r="J610" s="4" t="str">
        <f>HYPERLINK("http://141.218.60.56/~jnz1568/getInfo.php?workbook=06_02.xlsx&amp;sheet=A0&amp;row=610&amp;col=10&amp;number=&amp;sourceID=34","")</f>
        <v/>
      </c>
      <c r="K610" s="4" t="str">
        <f>HYPERLINK("http://141.218.60.56/~jnz1568/getInfo.php?workbook=06_02.xlsx&amp;sheet=A0&amp;row=610&amp;col=11&amp;number=&amp;sourceID=30","")</f>
        <v/>
      </c>
      <c r="L610" s="4" t="str">
        <f>HYPERLINK("http://141.218.60.56/~jnz1568/getInfo.php?workbook=06_02.xlsx&amp;sheet=A0&amp;row=610&amp;col=12&amp;number=9883&amp;sourceID=30","9883")</f>
        <v>9883</v>
      </c>
      <c r="M610" s="4" t="str">
        <f>HYPERLINK("http://141.218.60.56/~jnz1568/getInfo.php?workbook=06_02.xlsx&amp;sheet=A0&amp;row=610&amp;col=13&amp;number=&amp;sourceID=30","")</f>
        <v/>
      </c>
      <c r="N610" s="4" t="str">
        <f>HYPERLINK("http://141.218.60.56/~jnz1568/getInfo.php?workbook=06_02.xlsx&amp;sheet=A0&amp;row=610&amp;col=14&amp;number=&amp;sourceID=30","")</f>
        <v/>
      </c>
      <c r="O610" s="4" t="str">
        <f>HYPERLINK("http://141.218.60.56/~jnz1568/getInfo.php?workbook=06_02.xlsx&amp;sheet=A0&amp;row=610&amp;col=15&amp;number=&amp;sourceID=32","")</f>
        <v/>
      </c>
      <c r="P610" s="4" t="str">
        <f>HYPERLINK("http://141.218.60.56/~jnz1568/getInfo.php?workbook=06_02.xlsx&amp;sheet=A0&amp;row=610&amp;col=16&amp;number=10110&amp;sourceID=32","10110")</f>
        <v>10110</v>
      </c>
      <c r="Q610" s="4" t="str">
        <f>HYPERLINK("http://141.218.60.56/~jnz1568/getInfo.php?workbook=06_02.xlsx&amp;sheet=A0&amp;row=610&amp;col=17&amp;number=&amp;sourceID=32","")</f>
        <v/>
      </c>
      <c r="R610" s="4" t="str">
        <f>HYPERLINK("http://141.218.60.56/~jnz1568/getInfo.php?workbook=06_02.xlsx&amp;sheet=A0&amp;row=610&amp;col=18&amp;number=&amp;sourceID=32","")</f>
        <v/>
      </c>
    </row>
    <row r="611" spans="1:18">
      <c r="A611" s="3">
        <v>6</v>
      </c>
      <c r="B611" s="3">
        <v>2</v>
      </c>
      <c r="C611" s="3">
        <v>39</v>
      </c>
      <c r="D611" s="3">
        <v>21</v>
      </c>
      <c r="E611" s="3">
        <f>((1/(INDEX(E0!J$4:J$52,C611,1)-INDEX(E0!J$4:J$52,D611,1))))*100000000</f>
        <v>0</v>
      </c>
      <c r="F611" s="4" t="str">
        <f>HYPERLINK("http://141.218.60.56/~jnz1568/getInfo.php?workbook=06_02.xlsx&amp;sheet=A0&amp;row=611&amp;col=6&amp;number=&amp;sourceID=27","")</f>
        <v/>
      </c>
      <c r="G611" s="4" t="str">
        <f>HYPERLINK("http://141.218.60.56/~jnz1568/getInfo.php?workbook=06_02.xlsx&amp;sheet=A0&amp;row=611&amp;col=7&amp;number=&amp;sourceID=34","")</f>
        <v/>
      </c>
      <c r="H611" s="4" t="str">
        <f>HYPERLINK("http://141.218.60.56/~jnz1568/getInfo.php?workbook=06_02.xlsx&amp;sheet=A0&amp;row=611&amp;col=8&amp;number=&amp;sourceID=34","")</f>
        <v/>
      </c>
      <c r="I611" s="4" t="str">
        <f>HYPERLINK("http://141.218.60.56/~jnz1568/getInfo.php?workbook=06_02.xlsx&amp;sheet=A0&amp;row=611&amp;col=9&amp;number=&amp;sourceID=34","")</f>
        <v/>
      </c>
      <c r="J611" s="4" t="str">
        <f>HYPERLINK("http://141.218.60.56/~jnz1568/getInfo.php?workbook=06_02.xlsx&amp;sheet=A0&amp;row=611&amp;col=10&amp;number=&amp;sourceID=34","")</f>
        <v/>
      </c>
      <c r="K611" s="4" t="str">
        <f>HYPERLINK("http://141.218.60.56/~jnz1568/getInfo.php?workbook=06_02.xlsx&amp;sheet=A0&amp;row=611&amp;col=11&amp;number=&amp;sourceID=30","")</f>
        <v/>
      </c>
      <c r="L611" s="4" t="str">
        <f>HYPERLINK("http://141.218.60.56/~jnz1568/getInfo.php?workbook=06_02.xlsx&amp;sheet=A0&amp;row=611&amp;col=12&amp;number=&amp;sourceID=30","")</f>
        <v/>
      </c>
      <c r="M611" s="4" t="str">
        <f>HYPERLINK("http://141.218.60.56/~jnz1568/getInfo.php?workbook=06_02.xlsx&amp;sheet=A0&amp;row=611&amp;col=13&amp;number=&amp;sourceID=30","")</f>
        <v/>
      </c>
      <c r="N611" s="4" t="str">
        <f>HYPERLINK("http://141.218.60.56/~jnz1568/getInfo.php?workbook=06_02.xlsx&amp;sheet=A0&amp;row=611&amp;col=14&amp;number=0.0009203&amp;sourceID=30","0.0009203")</f>
        <v>0.0009203</v>
      </c>
      <c r="O611" s="4" t="str">
        <f>HYPERLINK("http://141.218.60.56/~jnz1568/getInfo.php?workbook=06_02.xlsx&amp;sheet=A0&amp;row=611&amp;col=15&amp;number=&amp;sourceID=32","")</f>
        <v/>
      </c>
      <c r="P611" s="4" t="str">
        <f>HYPERLINK("http://141.218.60.56/~jnz1568/getInfo.php?workbook=06_02.xlsx&amp;sheet=A0&amp;row=611&amp;col=16&amp;number=&amp;sourceID=32","")</f>
        <v/>
      </c>
      <c r="Q611" s="4" t="str">
        <f>HYPERLINK("http://141.218.60.56/~jnz1568/getInfo.php?workbook=06_02.xlsx&amp;sheet=A0&amp;row=611&amp;col=17&amp;number=&amp;sourceID=32","")</f>
        <v/>
      </c>
      <c r="R611" s="4" t="str">
        <f>HYPERLINK("http://141.218.60.56/~jnz1568/getInfo.php?workbook=06_02.xlsx&amp;sheet=A0&amp;row=611&amp;col=18&amp;number=0.000933&amp;sourceID=32","0.000933")</f>
        <v>0.000933</v>
      </c>
    </row>
    <row r="612" spans="1:18">
      <c r="A612" s="3">
        <v>6</v>
      </c>
      <c r="B612" s="3">
        <v>2</v>
      </c>
      <c r="C612" s="3">
        <v>39</v>
      </c>
      <c r="D612" s="3">
        <v>22</v>
      </c>
      <c r="E612" s="3">
        <f>((1/(INDEX(E0!J$4:J$52,C612,1)-INDEX(E0!J$4:J$52,D612,1))))*100000000</f>
        <v>0</v>
      </c>
      <c r="F612" s="4" t="str">
        <f>HYPERLINK("http://141.218.60.56/~jnz1568/getInfo.php?workbook=06_02.xlsx&amp;sheet=A0&amp;row=612&amp;col=6&amp;number=&amp;sourceID=27","")</f>
        <v/>
      </c>
      <c r="G612" s="4" t="str">
        <f>HYPERLINK("http://141.218.60.56/~jnz1568/getInfo.php?workbook=06_02.xlsx&amp;sheet=A0&amp;row=612&amp;col=7&amp;number=&amp;sourceID=34","")</f>
        <v/>
      </c>
      <c r="H612" s="4" t="str">
        <f>HYPERLINK("http://141.218.60.56/~jnz1568/getInfo.php?workbook=06_02.xlsx&amp;sheet=A0&amp;row=612&amp;col=8&amp;number=&amp;sourceID=34","")</f>
        <v/>
      </c>
      <c r="I612" s="4" t="str">
        <f>HYPERLINK("http://141.218.60.56/~jnz1568/getInfo.php?workbook=06_02.xlsx&amp;sheet=A0&amp;row=612&amp;col=9&amp;number=&amp;sourceID=34","")</f>
        <v/>
      </c>
      <c r="J612" s="4" t="str">
        <f>HYPERLINK("http://141.218.60.56/~jnz1568/getInfo.php?workbook=06_02.xlsx&amp;sheet=A0&amp;row=612&amp;col=10&amp;number=&amp;sourceID=34","")</f>
        <v/>
      </c>
      <c r="K612" s="4" t="str">
        <f>HYPERLINK("http://141.218.60.56/~jnz1568/getInfo.php?workbook=06_02.xlsx&amp;sheet=A0&amp;row=612&amp;col=11&amp;number=872800000&amp;sourceID=30","872800000")</f>
        <v>872800000</v>
      </c>
      <c r="L612" s="4" t="str">
        <f>HYPERLINK("http://141.218.60.56/~jnz1568/getInfo.php?workbook=06_02.xlsx&amp;sheet=A0&amp;row=612&amp;col=12&amp;number=&amp;sourceID=30","")</f>
        <v/>
      </c>
      <c r="M612" s="4" t="str">
        <f>HYPERLINK("http://141.218.60.56/~jnz1568/getInfo.php?workbook=06_02.xlsx&amp;sheet=A0&amp;row=612&amp;col=13&amp;number=&amp;sourceID=30","")</f>
        <v/>
      </c>
      <c r="N612" s="4" t="str">
        <f>HYPERLINK("http://141.218.60.56/~jnz1568/getInfo.php?workbook=06_02.xlsx&amp;sheet=A0&amp;row=612&amp;col=14&amp;number=0.04397&amp;sourceID=30","0.04397")</f>
        <v>0.04397</v>
      </c>
      <c r="O612" s="4" t="str">
        <f>HYPERLINK("http://141.218.60.56/~jnz1568/getInfo.php?workbook=06_02.xlsx&amp;sheet=A0&amp;row=612&amp;col=15&amp;number=880100000&amp;sourceID=32","880100000")</f>
        <v>880100000</v>
      </c>
      <c r="P612" s="4" t="str">
        <f>HYPERLINK("http://141.218.60.56/~jnz1568/getInfo.php?workbook=06_02.xlsx&amp;sheet=A0&amp;row=612&amp;col=16&amp;number=&amp;sourceID=32","")</f>
        <v/>
      </c>
      <c r="Q612" s="4" t="str">
        <f>HYPERLINK("http://141.218.60.56/~jnz1568/getInfo.php?workbook=06_02.xlsx&amp;sheet=A0&amp;row=612&amp;col=17&amp;number=&amp;sourceID=32","")</f>
        <v/>
      </c>
      <c r="R612" s="4" t="str">
        <f>HYPERLINK("http://141.218.60.56/~jnz1568/getInfo.php?workbook=06_02.xlsx&amp;sheet=A0&amp;row=612&amp;col=18&amp;number=0.04451&amp;sourceID=32","0.04451")</f>
        <v>0.04451</v>
      </c>
    </row>
    <row r="613" spans="1:18">
      <c r="A613" s="3">
        <v>6</v>
      </c>
      <c r="B613" s="3">
        <v>2</v>
      </c>
      <c r="C613" s="3">
        <v>39</v>
      </c>
      <c r="D613" s="3">
        <v>23</v>
      </c>
      <c r="E613" s="3">
        <f>((1/(INDEX(E0!J$4:J$52,C613,1)-INDEX(E0!J$4:J$52,D613,1))))*100000000</f>
        <v>0</v>
      </c>
      <c r="F613" s="4" t="str">
        <f>HYPERLINK("http://141.218.60.56/~jnz1568/getInfo.php?workbook=06_02.xlsx&amp;sheet=A0&amp;row=613&amp;col=6&amp;number=&amp;sourceID=27","")</f>
        <v/>
      </c>
      <c r="G613" s="4" t="str">
        <f>HYPERLINK("http://141.218.60.56/~jnz1568/getInfo.php?workbook=06_02.xlsx&amp;sheet=A0&amp;row=613&amp;col=7&amp;number=&amp;sourceID=34","")</f>
        <v/>
      </c>
      <c r="H613" s="4" t="str">
        <f>HYPERLINK("http://141.218.60.56/~jnz1568/getInfo.php?workbook=06_02.xlsx&amp;sheet=A0&amp;row=613&amp;col=8&amp;number=&amp;sourceID=34","")</f>
        <v/>
      </c>
      <c r="I613" s="4" t="str">
        <f>HYPERLINK("http://141.218.60.56/~jnz1568/getInfo.php?workbook=06_02.xlsx&amp;sheet=A0&amp;row=613&amp;col=9&amp;number=&amp;sourceID=34","")</f>
        <v/>
      </c>
      <c r="J613" s="4" t="str">
        <f>HYPERLINK("http://141.218.60.56/~jnz1568/getInfo.php?workbook=06_02.xlsx&amp;sheet=A0&amp;row=613&amp;col=10&amp;number=&amp;sourceID=34","")</f>
        <v/>
      </c>
      <c r="K613" s="4" t="str">
        <f>HYPERLINK("http://141.218.60.56/~jnz1568/getInfo.php?workbook=06_02.xlsx&amp;sheet=A0&amp;row=613&amp;col=11&amp;number=&amp;sourceID=30","")</f>
        <v/>
      </c>
      <c r="L613" s="4" t="str">
        <f>HYPERLINK("http://141.218.60.56/~jnz1568/getInfo.php?workbook=06_02.xlsx&amp;sheet=A0&amp;row=613&amp;col=12&amp;number=118.4&amp;sourceID=30","118.4")</f>
        <v>118.4</v>
      </c>
      <c r="M613" s="4" t="str">
        <f>HYPERLINK("http://141.218.60.56/~jnz1568/getInfo.php?workbook=06_02.xlsx&amp;sheet=A0&amp;row=613&amp;col=13&amp;number=&amp;sourceID=30","")</f>
        <v/>
      </c>
      <c r="N613" s="4" t="str">
        <f>HYPERLINK("http://141.218.60.56/~jnz1568/getInfo.php?workbook=06_02.xlsx&amp;sheet=A0&amp;row=613&amp;col=14&amp;number=&amp;sourceID=30","")</f>
        <v/>
      </c>
      <c r="O613" s="4" t="str">
        <f>HYPERLINK("http://141.218.60.56/~jnz1568/getInfo.php?workbook=06_02.xlsx&amp;sheet=A0&amp;row=613&amp;col=15&amp;number=&amp;sourceID=32","")</f>
        <v/>
      </c>
      <c r="P613" s="4" t="str">
        <f>HYPERLINK("http://141.218.60.56/~jnz1568/getInfo.php?workbook=06_02.xlsx&amp;sheet=A0&amp;row=613&amp;col=16&amp;number=118.7&amp;sourceID=32","118.7")</f>
        <v>118.7</v>
      </c>
      <c r="Q613" s="4" t="str">
        <f>HYPERLINK("http://141.218.60.56/~jnz1568/getInfo.php?workbook=06_02.xlsx&amp;sheet=A0&amp;row=613&amp;col=17&amp;number=&amp;sourceID=32","")</f>
        <v/>
      </c>
      <c r="R613" s="4" t="str">
        <f>HYPERLINK("http://141.218.60.56/~jnz1568/getInfo.php?workbook=06_02.xlsx&amp;sheet=A0&amp;row=613&amp;col=18&amp;number=&amp;sourceID=32","")</f>
        <v/>
      </c>
    </row>
    <row r="614" spans="1:18">
      <c r="A614" s="3">
        <v>6</v>
      </c>
      <c r="B614" s="3">
        <v>2</v>
      </c>
      <c r="C614" s="3">
        <v>39</v>
      </c>
      <c r="D614" s="3">
        <v>24</v>
      </c>
      <c r="E614" s="3">
        <f>((1/(INDEX(E0!J$4:J$52,C614,1)-INDEX(E0!J$4:J$52,D614,1))))*100000000</f>
        <v>0</v>
      </c>
      <c r="F614" s="4" t="str">
        <f>HYPERLINK("http://141.218.60.56/~jnz1568/getInfo.php?workbook=06_02.xlsx&amp;sheet=A0&amp;row=614&amp;col=6&amp;number=&amp;sourceID=27","")</f>
        <v/>
      </c>
      <c r="G614" s="4" t="str">
        <f>HYPERLINK("http://141.218.60.56/~jnz1568/getInfo.php?workbook=06_02.xlsx&amp;sheet=A0&amp;row=614&amp;col=7&amp;number=&amp;sourceID=34","")</f>
        <v/>
      </c>
      <c r="H614" s="4" t="str">
        <f>HYPERLINK("http://141.218.60.56/~jnz1568/getInfo.php?workbook=06_02.xlsx&amp;sheet=A0&amp;row=614&amp;col=8&amp;number=&amp;sourceID=34","")</f>
        <v/>
      </c>
      <c r="I614" s="4" t="str">
        <f>HYPERLINK("http://141.218.60.56/~jnz1568/getInfo.php?workbook=06_02.xlsx&amp;sheet=A0&amp;row=614&amp;col=9&amp;number=&amp;sourceID=34","")</f>
        <v/>
      </c>
      <c r="J614" s="4" t="str">
        <f>HYPERLINK("http://141.218.60.56/~jnz1568/getInfo.php?workbook=06_02.xlsx&amp;sheet=A0&amp;row=614&amp;col=10&amp;number=&amp;sourceID=34","")</f>
        <v/>
      </c>
      <c r="K614" s="4" t="str">
        <f>HYPERLINK("http://141.218.60.56/~jnz1568/getInfo.php?workbook=06_02.xlsx&amp;sheet=A0&amp;row=614&amp;col=11&amp;number=&amp;sourceID=30","")</f>
        <v/>
      </c>
      <c r="L614" s="4" t="str">
        <f>HYPERLINK("http://141.218.60.56/~jnz1568/getInfo.php?workbook=06_02.xlsx&amp;sheet=A0&amp;row=614&amp;col=12&amp;number=1184&amp;sourceID=30","1184")</f>
        <v>1184</v>
      </c>
      <c r="M614" s="4" t="str">
        <f>HYPERLINK("http://141.218.60.56/~jnz1568/getInfo.php?workbook=06_02.xlsx&amp;sheet=A0&amp;row=614&amp;col=13&amp;number=1.137e-05&amp;sourceID=30","1.137e-05")</f>
        <v>1.137e-05</v>
      </c>
      <c r="N614" s="4" t="str">
        <f>HYPERLINK("http://141.218.60.56/~jnz1568/getInfo.php?workbook=06_02.xlsx&amp;sheet=A0&amp;row=614&amp;col=14&amp;number=&amp;sourceID=30","")</f>
        <v/>
      </c>
      <c r="O614" s="4" t="str">
        <f>HYPERLINK("http://141.218.60.56/~jnz1568/getInfo.php?workbook=06_02.xlsx&amp;sheet=A0&amp;row=614&amp;col=15&amp;number=&amp;sourceID=32","")</f>
        <v/>
      </c>
      <c r="P614" s="4" t="str">
        <f>HYPERLINK("http://141.218.60.56/~jnz1568/getInfo.php?workbook=06_02.xlsx&amp;sheet=A0&amp;row=614&amp;col=16&amp;number=1186&amp;sourceID=32","1186")</f>
        <v>1186</v>
      </c>
      <c r="Q614" s="4" t="str">
        <f>HYPERLINK("http://141.218.60.56/~jnz1568/getInfo.php?workbook=06_02.xlsx&amp;sheet=A0&amp;row=614&amp;col=17&amp;number=1.162e-05&amp;sourceID=32","1.162e-05")</f>
        <v>1.162e-05</v>
      </c>
      <c r="R614" s="4" t="str">
        <f>HYPERLINK("http://141.218.60.56/~jnz1568/getInfo.php?workbook=06_02.xlsx&amp;sheet=A0&amp;row=614&amp;col=18&amp;number=&amp;sourceID=32","")</f>
        <v/>
      </c>
    </row>
    <row r="615" spans="1:18">
      <c r="A615" s="3">
        <v>6</v>
      </c>
      <c r="B615" s="3">
        <v>2</v>
      </c>
      <c r="C615" s="3">
        <v>39</v>
      </c>
      <c r="D615" s="3">
        <v>25</v>
      </c>
      <c r="E615" s="3">
        <f>((1/(INDEX(E0!J$4:J$52,C615,1)-INDEX(E0!J$4:J$52,D615,1))))*100000000</f>
        <v>0</v>
      </c>
      <c r="F615" s="4" t="str">
        <f>HYPERLINK("http://141.218.60.56/~jnz1568/getInfo.php?workbook=06_02.xlsx&amp;sheet=A0&amp;row=615&amp;col=6&amp;number=&amp;sourceID=27","")</f>
        <v/>
      </c>
      <c r="G615" s="4" t="str">
        <f>HYPERLINK("http://141.218.60.56/~jnz1568/getInfo.php?workbook=06_02.xlsx&amp;sheet=A0&amp;row=615&amp;col=7&amp;number=&amp;sourceID=34","")</f>
        <v/>
      </c>
      <c r="H615" s="4" t="str">
        <f>HYPERLINK("http://141.218.60.56/~jnz1568/getInfo.php?workbook=06_02.xlsx&amp;sheet=A0&amp;row=615&amp;col=8&amp;number=&amp;sourceID=34","")</f>
        <v/>
      </c>
      <c r="I615" s="4" t="str">
        <f>HYPERLINK("http://141.218.60.56/~jnz1568/getInfo.php?workbook=06_02.xlsx&amp;sheet=A0&amp;row=615&amp;col=9&amp;number=&amp;sourceID=34","")</f>
        <v/>
      </c>
      <c r="J615" s="4" t="str">
        <f>HYPERLINK("http://141.218.60.56/~jnz1568/getInfo.php?workbook=06_02.xlsx&amp;sheet=A0&amp;row=615&amp;col=10&amp;number=&amp;sourceID=34","")</f>
        <v/>
      </c>
      <c r="K615" s="4" t="str">
        <f>HYPERLINK("http://141.218.60.56/~jnz1568/getInfo.php?workbook=06_02.xlsx&amp;sheet=A0&amp;row=615&amp;col=11&amp;number=&amp;sourceID=30","")</f>
        <v/>
      </c>
      <c r="L615" s="4" t="str">
        <f>HYPERLINK("http://141.218.60.56/~jnz1568/getInfo.php?workbook=06_02.xlsx&amp;sheet=A0&amp;row=615&amp;col=12&amp;number=2846&amp;sourceID=30","2846")</f>
        <v>2846</v>
      </c>
      <c r="M615" s="4" t="str">
        <f>HYPERLINK("http://141.218.60.56/~jnz1568/getInfo.php?workbook=06_02.xlsx&amp;sheet=A0&amp;row=615&amp;col=13&amp;number=2.714e-05&amp;sourceID=30","2.714e-05")</f>
        <v>2.714e-05</v>
      </c>
      <c r="N615" s="4" t="str">
        <f>HYPERLINK("http://141.218.60.56/~jnz1568/getInfo.php?workbook=06_02.xlsx&amp;sheet=A0&amp;row=615&amp;col=14&amp;number=&amp;sourceID=30","")</f>
        <v/>
      </c>
      <c r="O615" s="4" t="str">
        <f>HYPERLINK("http://141.218.60.56/~jnz1568/getInfo.php?workbook=06_02.xlsx&amp;sheet=A0&amp;row=615&amp;col=15&amp;number=&amp;sourceID=32","")</f>
        <v/>
      </c>
      <c r="P615" s="4" t="str">
        <f>HYPERLINK("http://141.218.60.56/~jnz1568/getInfo.php?workbook=06_02.xlsx&amp;sheet=A0&amp;row=615&amp;col=16&amp;number=2853&amp;sourceID=32","2853")</f>
        <v>2853</v>
      </c>
      <c r="Q615" s="4" t="str">
        <f>HYPERLINK("http://141.218.60.56/~jnz1568/getInfo.php?workbook=06_02.xlsx&amp;sheet=A0&amp;row=615&amp;col=17&amp;number=2.525e-05&amp;sourceID=32","2.525e-05")</f>
        <v>2.525e-05</v>
      </c>
      <c r="R615" s="4" t="str">
        <f>HYPERLINK("http://141.218.60.56/~jnz1568/getInfo.php?workbook=06_02.xlsx&amp;sheet=A0&amp;row=615&amp;col=18&amp;number=&amp;sourceID=32","")</f>
        <v/>
      </c>
    </row>
    <row r="616" spans="1:18">
      <c r="A616" s="3">
        <v>6</v>
      </c>
      <c r="B616" s="3">
        <v>2</v>
      </c>
      <c r="C616" s="3">
        <v>39</v>
      </c>
      <c r="D616" s="3">
        <v>26</v>
      </c>
      <c r="E616" s="3">
        <f>((1/(INDEX(E0!J$4:J$52,C616,1)-INDEX(E0!J$4:J$52,D616,1))))*100000000</f>
        <v>0</v>
      </c>
      <c r="F616" s="4" t="str">
        <f>HYPERLINK("http://141.218.60.56/~jnz1568/getInfo.php?workbook=06_02.xlsx&amp;sheet=A0&amp;row=616&amp;col=6&amp;number=&amp;sourceID=27","")</f>
        <v/>
      </c>
      <c r="G616" s="4" t="str">
        <f>HYPERLINK("http://141.218.60.56/~jnz1568/getInfo.php?workbook=06_02.xlsx&amp;sheet=A0&amp;row=616&amp;col=7&amp;number=&amp;sourceID=34","")</f>
        <v/>
      </c>
      <c r="H616" s="4" t="str">
        <f>HYPERLINK("http://141.218.60.56/~jnz1568/getInfo.php?workbook=06_02.xlsx&amp;sheet=A0&amp;row=616&amp;col=8&amp;number=&amp;sourceID=34","")</f>
        <v/>
      </c>
      <c r="I616" s="4" t="str">
        <f>HYPERLINK("http://141.218.60.56/~jnz1568/getInfo.php?workbook=06_02.xlsx&amp;sheet=A0&amp;row=616&amp;col=9&amp;number=&amp;sourceID=34","")</f>
        <v/>
      </c>
      <c r="J616" s="4" t="str">
        <f>HYPERLINK("http://141.218.60.56/~jnz1568/getInfo.php?workbook=06_02.xlsx&amp;sheet=A0&amp;row=616&amp;col=10&amp;number=&amp;sourceID=34","")</f>
        <v/>
      </c>
      <c r="K616" s="4" t="str">
        <f>HYPERLINK("http://141.218.60.56/~jnz1568/getInfo.php?workbook=06_02.xlsx&amp;sheet=A0&amp;row=616&amp;col=11&amp;number=868000&amp;sourceID=30","868000")</f>
        <v>868000</v>
      </c>
      <c r="L616" s="4" t="str">
        <f>HYPERLINK("http://141.218.60.56/~jnz1568/getInfo.php?workbook=06_02.xlsx&amp;sheet=A0&amp;row=616&amp;col=12&amp;number=&amp;sourceID=30","")</f>
        <v/>
      </c>
      <c r="M616" s="4" t="str">
        <f>HYPERLINK("http://141.218.60.56/~jnz1568/getInfo.php?workbook=06_02.xlsx&amp;sheet=A0&amp;row=616&amp;col=13&amp;number=&amp;sourceID=30","")</f>
        <v/>
      </c>
      <c r="N616" s="4" t="str">
        <f>HYPERLINK("http://141.218.60.56/~jnz1568/getInfo.php?workbook=06_02.xlsx&amp;sheet=A0&amp;row=616&amp;col=14&amp;number=0.0002672&amp;sourceID=30","0.0002672")</f>
        <v>0.0002672</v>
      </c>
      <c r="O616" s="4" t="str">
        <f>HYPERLINK("http://141.218.60.56/~jnz1568/getInfo.php?workbook=06_02.xlsx&amp;sheet=A0&amp;row=616&amp;col=15&amp;number=1633000&amp;sourceID=32","1633000")</f>
        <v>1633000</v>
      </c>
      <c r="P616" s="4" t="str">
        <f>HYPERLINK("http://141.218.60.56/~jnz1568/getInfo.php?workbook=06_02.xlsx&amp;sheet=A0&amp;row=616&amp;col=16&amp;number=&amp;sourceID=32","")</f>
        <v/>
      </c>
      <c r="Q616" s="4" t="str">
        <f>HYPERLINK("http://141.218.60.56/~jnz1568/getInfo.php?workbook=06_02.xlsx&amp;sheet=A0&amp;row=616&amp;col=17&amp;number=&amp;sourceID=32","")</f>
        <v/>
      </c>
      <c r="R616" s="4" t="str">
        <f>HYPERLINK("http://141.218.60.56/~jnz1568/getInfo.php?workbook=06_02.xlsx&amp;sheet=A0&amp;row=616&amp;col=18&amp;number=1.308e-06&amp;sourceID=32","1.308e-06")</f>
        <v>1.308e-06</v>
      </c>
    </row>
    <row r="617" spans="1:18">
      <c r="A617" s="3">
        <v>6</v>
      </c>
      <c r="B617" s="3">
        <v>2</v>
      </c>
      <c r="C617" s="3">
        <v>39</v>
      </c>
      <c r="D617" s="3">
        <v>27</v>
      </c>
      <c r="E617" s="3">
        <f>((1/(INDEX(E0!J$4:J$52,C617,1)-INDEX(E0!J$4:J$52,D617,1))))*100000000</f>
        <v>0</v>
      </c>
      <c r="F617" s="4" t="str">
        <f>HYPERLINK("http://141.218.60.56/~jnz1568/getInfo.php?workbook=06_02.xlsx&amp;sheet=A0&amp;row=617&amp;col=6&amp;number=&amp;sourceID=27","")</f>
        <v/>
      </c>
      <c r="G617" s="4" t="str">
        <f>HYPERLINK("http://141.218.60.56/~jnz1568/getInfo.php?workbook=06_02.xlsx&amp;sheet=A0&amp;row=617&amp;col=7&amp;number=&amp;sourceID=34","")</f>
        <v/>
      </c>
      <c r="H617" s="4" t="str">
        <f>HYPERLINK("http://141.218.60.56/~jnz1568/getInfo.php?workbook=06_02.xlsx&amp;sheet=A0&amp;row=617&amp;col=8&amp;number=&amp;sourceID=34","")</f>
        <v/>
      </c>
      <c r="I617" s="4" t="str">
        <f>HYPERLINK("http://141.218.60.56/~jnz1568/getInfo.php?workbook=06_02.xlsx&amp;sheet=A0&amp;row=617&amp;col=9&amp;number=&amp;sourceID=34","")</f>
        <v/>
      </c>
      <c r="J617" s="4" t="str">
        <f>HYPERLINK("http://141.218.60.56/~jnz1568/getInfo.php?workbook=06_02.xlsx&amp;sheet=A0&amp;row=617&amp;col=10&amp;number=&amp;sourceID=34","")</f>
        <v/>
      </c>
      <c r="K617" s="4" t="str">
        <f>HYPERLINK("http://141.218.60.56/~jnz1568/getInfo.php?workbook=06_02.xlsx&amp;sheet=A0&amp;row=617&amp;col=11&amp;number=72580&amp;sourceID=30","72580")</f>
        <v>72580</v>
      </c>
      <c r="L617" s="4" t="str">
        <f>HYPERLINK("http://141.218.60.56/~jnz1568/getInfo.php?workbook=06_02.xlsx&amp;sheet=A0&amp;row=617&amp;col=12&amp;number=&amp;sourceID=30","")</f>
        <v/>
      </c>
      <c r="M617" s="4" t="str">
        <f>HYPERLINK("http://141.218.60.56/~jnz1568/getInfo.php?workbook=06_02.xlsx&amp;sheet=A0&amp;row=617&amp;col=13&amp;number=&amp;sourceID=30","")</f>
        <v/>
      </c>
      <c r="N617" s="4" t="str">
        <f>HYPERLINK("http://141.218.60.56/~jnz1568/getInfo.php?workbook=06_02.xlsx&amp;sheet=A0&amp;row=617&amp;col=14&amp;number=4.343e-12&amp;sourceID=30","4.343e-12")</f>
        <v>4.343e-12</v>
      </c>
      <c r="O617" s="4" t="str">
        <f>HYPERLINK("http://141.218.60.56/~jnz1568/getInfo.php?workbook=06_02.xlsx&amp;sheet=A0&amp;row=617&amp;col=15&amp;number=72840&amp;sourceID=32","72840")</f>
        <v>72840</v>
      </c>
      <c r="P617" s="4" t="str">
        <f>HYPERLINK("http://141.218.60.56/~jnz1568/getInfo.php?workbook=06_02.xlsx&amp;sheet=A0&amp;row=617&amp;col=16&amp;number=&amp;sourceID=32","")</f>
        <v/>
      </c>
      <c r="Q617" s="4" t="str">
        <f>HYPERLINK("http://141.218.60.56/~jnz1568/getInfo.php?workbook=06_02.xlsx&amp;sheet=A0&amp;row=617&amp;col=17&amp;number=&amp;sourceID=32","")</f>
        <v/>
      </c>
      <c r="R617" s="4" t="str">
        <f>HYPERLINK("http://141.218.60.56/~jnz1568/getInfo.php?workbook=06_02.xlsx&amp;sheet=A0&amp;row=617&amp;col=18&amp;number=5.067e-12&amp;sourceID=32","5.067e-12")</f>
        <v>5.067e-12</v>
      </c>
    </row>
    <row r="618" spans="1:18">
      <c r="A618" s="3">
        <v>6</v>
      </c>
      <c r="B618" s="3">
        <v>2</v>
      </c>
      <c r="C618" s="3">
        <v>39</v>
      </c>
      <c r="D618" s="3">
        <v>28</v>
      </c>
      <c r="E618" s="3">
        <f>((1/(INDEX(E0!J$4:J$52,C618,1)-INDEX(E0!J$4:J$52,D618,1))))*100000000</f>
        <v>0</v>
      </c>
      <c r="F618" s="4" t="str">
        <f>HYPERLINK("http://141.218.60.56/~jnz1568/getInfo.php?workbook=06_02.xlsx&amp;sheet=A0&amp;row=618&amp;col=6&amp;number=&amp;sourceID=27","")</f>
        <v/>
      </c>
      <c r="G618" s="4" t="str">
        <f>HYPERLINK("http://141.218.60.56/~jnz1568/getInfo.php?workbook=06_02.xlsx&amp;sheet=A0&amp;row=618&amp;col=7&amp;number=&amp;sourceID=34","")</f>
        <v/>
      </c>
      <c r="H618" s="4" t="str">
        <f>HYPERLINK("http://141.218.60.56/~jnz1568/getInfo.php?workbook=06_02.xlsx&amp;sheet=A0&amp;row=618&amp;col=8&amp;number=&amp;sourceID=34","")</f>
        <v/>
      </c>
      <c r="I618" s="4" t="str">
        <f>HYPERLINK("http://141.218.60.56/~jnz1568/getInfo.php?workbook=06_02.xlsx&amp;sheet=A0&amp;row=618&amp;col=9&amp;number=&amp;sourceID=34","")</f>
        <v/>
      </c>
      <c r="J618" s="4" t="str">
        <f>HYPERLINK("http://141.218.60.56/~jnz1568/getInfo.php?workbook=06_02.xlsx&amp;sheet=A0&amp;row=618&amp;col=10&amp;number=&amp;sourceID=34","")</f>
        <v/>
      </c>
      <c r="K618" s="4" t="str">
        <f>HYPERLINK("http://141.218.60.56/~jnz1568/getInfo.php?workbook=06_02.xlsx&amp;sheet=A0&amp;row=618&amp;col=11&amp;number=1676000&amp;sourceID=30","1676000")</f>
        <v>1676000</v>
      </c>
      <c r="L618" s="4" t="str">
        <f>HYPERLINK("http://141.218.60.56/~jnz1568/getInfo.php?workbook=06_02.xlsx&amp;sheet=A0&amp;row=618&amp;col=12&amp;number=&amp;sourceID=30","")</f>
        <v/>
      </c>
      <c r="M618" s="4" t="str">
        <f>HYPERLINK("http://141.218.60.56/~jnz1568/getInfo.php?workbook=06_02.xlsx&amp;sheet=A0&amp;row=618&amp;col=13&amp;number=&amp;sourceID=30","")</f>
        <v/>
      </c>
      <c r="N618" s="4" t="str">
        <f>HYPERLINK("http://141.218.60.56/~jnz1568/getInfo.php?workbook=06_02.xlsx&amp;sheet=A0&amp;row=618&amp;col=14&amp;number=2.176e-06&amp;sourceID=30","2.176e-06")</f>
        <v>2.176e-06</v>
      </c>
      <c r="O618" s="4" t="str">
        <f>HYPERLINK("http://141.218.60.56/~jnz1568/getInfo.php?workbook=06_02.xlsx&amp;sheet=A0&amp;row=618&amp;col=15&amp;number=921600&amp;sourceID=32","921600")</f>
        <v>921600</v>
      </c>
      <c r="P618" s="4" t="str">
        <f>HYPERLINK("http://141.218.60.56/~jnz1568/getInfo.php?workbook=06_02.xlsx&amp;sheet=A0&amp;row=618&amp;col=16&amp;number=&amp;sourceID=32","")</f>
        <v/>
      </c>
      <c r="Q618" s="4" t="str">
        <f>HYPERLINK("http://141.218.60.56/~jnz1568/getInfo.php?workbook=06_02.xlsx&amp;sheet=A0&amp;row=618&amp;col=17&amp;number=&amp;sourceID=32","")</f>
        <v/>
      </c>
      <c r="R618" s="4" t="str">
        <f>HYPERLINK("http://141.218.60.56/~jnz1568/getInfo.php?workbook=06_02.xlsx&amp;sheet=A0&amp;row=618&amp;col=18&amp;number=0.0002691&amp;sourceID=32","0.0002691")</f>
        <v>0.0002691</v>
      </c>
    </row>
    <row r="619" spans="1:18">
      <c r="A619" s="3">
        <v>6</v>
      </c>
      <c r="B619" s="3">
        <v>2</v>
      </c>
      <c r="C619" s="3">
        <v>39</v>
      </c>
      <c r="D619" s="3">
        <v>29</v>
      </c>
      <c r="E619" s="3">
        <f>((1/(INDEX(E0!J$4:J$52,C619,1)-INDEX(E0!J$4:J$52,D619,1))))*100000000</f>
        <v>0</v>
      </c>
      <c r="F619" s="4" t="str">
        <f>HYPERLINK("http://141.218.60.56/~jnz1568/getInfo.php?workbook=06_02.xlsx&amp;sheet=A0&amp;row=619&amp;col=6&amp;number=&amp;sourceID=27","")</f>
        <v/>
      </c>
      <c r="G619" s="4" t="str">
        <f>HYPERLINK("http://141.218.60.56/~jnz1568/getInfo.php?workbook=06_02.xlsx&amp;sheet=A0&amp;row=619&amp;col=7&amp;number=&amp;sourceID=34","")</f>
        <v/>
      </c>
      <c r="H619" s="4" t="str">
        <f>HYPERLINK("http://141.218.60.56/~jnz1568/getInfo.php?workbook=06_02.xlsx&amp;sheet=A0&amp;row=619&amp;col=8&amp;number=&amp;sourceID=34","")</f>
        <v/>
      </c>
      <c r="I619" s="4" t="str">
        <f>HYPERLINK("http://141.218.60.56/~jnz1568/getInfo.php?workbook=06_02.xlsx&amp;sheet=A0&amp;row=619&amp;col=9&amp;number=&amp;sourceID=34","")</f>
        <v/>
      </c>
      <c r="J619" s="4" t="str">
        <f>HYPERLINK("http://141.218.60.56/~jnz1568/getInfo.php?workbook=06_02.xlsx&amp;sheet=A0&amp;row=619&amp;col=10&amp;number=&amp;sourceID=34","")</f>
        <v/>
      </c>
      <c r="K619" s="4" t="str">
        <f>HYPERLINK("http://141.218.60.56/~jnz1568/getInfo.php?workbook=06_02.xlsx&amp;sheet=A0&amp;row=619&amp;col=11&amp;number=29440000&amp;sourceID=30","29440000")</f>
        <v>29440000</v>
      </c>
      <c r="L619" s="4" t="str">
        <f>HYPERLINK("http://141.218.60.56/~jnz1568/getInfo.php?workbook=06_02.xlsx&amp;sheet=A0&amp;row=619&amp;col=12&amp;number=&amp;sourceID=30","")</f>
        <v/>
      </c>
      <c r="M619" s="4" t="str">
        <f>HYPERLINK("http://141.218.60.56/~jnz1568/getInfo.php?workbook=06_02.xlsx&amp;sheet=A0&amp;row=619&amp;col=13&amp;number=&amp;sourceID=30","")</f>
        <v/>
      </c>
      <c r="N619" s="4" t="str">
        <f>HYPERLINK("http://141.218.60.56/~jnz1568/getInfo.php?workbook=06_02.xlsx&amp;sheet=A0&amp;row=619&amp;col=14&amp;number=0.002243&amp;sourceID=30","0.002243")</f>
        <v>0.002243</v>
      </c>
      <c r="O619" s="4" t="str">
        <f>HYPERLINK("http://141.218.60.56/~jnz1568/getInfo.php?workbook=06_02.xlsx&amp;sheet=A0&amp;row=619&amp;col=15&amp;number=&amp;sourceID=32","")</f>
        <v/>
      </c>
      <c r="P619" s="4" t="str">
        <f>HYPERLINK("http://141.218.60.56/~jnz1568/getInfo.php?workbook=06_02.xlsx&amp;sheet=A0&amp;row=619&amp;col=16&amp;number=&amp;sourceID=32","")</f>
        <v/>
      </c>
      <c r="Q619" s="4" t="str">
        <f>HYPERLINK("http://141.218.60.56/~jnz1568/getInfo.php?workbook=06_02.xlsx&amp;sheet=A0&amp;row=619&amp;col=17&amp;number=&amp;sourceID=32","")</f>
        <v/>
      </c>
      <c r="R619" s="4" t="str">
        <f>HYPERLINK("http://141.218.60.56/~jnz1568/getInfo.php?workbook=06_02.xlsx&amp;sheet=A0&amp;row=619&amp;col=18&amp;number=&amp;sourceID=32","")</f>
        <v/>
      </c>
    </row>
    <row r="620" spans="1:18">
      <c r="A620" s="3">
        <v>6</v>
      </c>
      <c r="B620" s="3">
        <v>2</v>
      </c>
      <c r="C620" s="3">
        <v>39</v>
      </c>
      <c r="D620" s="3">
        <v>30</v>
      </c>
      <c r="E620" s="3">
        <f>((1/(INDEX(E0!J$4:J$52,C620,1)-INDEX(E0!J$4:J$52,D620,1))))*100000000</f>
        <v>0</v>
      </c>
      <c r="F620" s="4" t="str">
        <f>HYPERLINK("http://141.218.60.56/~jnz1568/getInfo.php?workbook=06_02.xlsx&amp;sheet=A0&amp;row=620&amp;col=6&amp;number=&amp;sourceID=27","")</f>
        <v/>
      </c>
      <c r="G620" s="4" t="str">
        <f>HYPERLINK("http://141.218.60.56/~jnz1568/getInfo.php?workbook=06_02.xlsx&amp;sheet=A0&amp;row=620&amp;col=7&amp;number=&amp;sourceID=34","")</f>
        <v/>
      </c>
      <c r="H620" s="4" t="str">
        <f>HYPERLINK("http://141.218.60.56/~jnz1568/getInfo.php?workbook=06_02.xlsx&amp;sheet=A0&amp;row=620&amp;col=8&amp;number=&amp;sourceID=34","")</f>
        <v/>
      </c>
      <c r="I620" s="4" t="str">
        <f>HYPERLINK("http://141.218.60.56/~jnz1568/getInfo.php?workbook=06_02.xlsx&amp;sheet=A0&amp;row=620&amp;col=9&amp;number=&amp;sourceID=34","")</f>
        <v/>
      </c>
      <c r="J620" s="4" t="str">
        <f>HYPERLINK("http://141.218.60.56/~jnz1568/getInfo.php?workbook=06_02.xlsx&amp;sheet=A0&amp;row=620&amp;col=10&amp;number=&amp;sourceID=34","")</f>
        <v/>
      </c>
      <c r="K620" s="4" t="str">
        <f>HYPERLINK("http://141.218.60.56/~jnz1568/getInfo.php?workbook=06_02.xlsx&amp;sheet=A0&amp;row=620&amp;col=11&amp;number=&amp;sourceID=30","")</f>
        <v/>
      </c>
      <c r="L620" s="4" t="str">
        <f>HYPERLINK("http://141.218.60.56/~jnz1568/getInfo.php?workbook=06_02.xlsx&amp;sheet=A0&amp;row=620&amp;col=12&amp;number=2.194&amp;sourceID=30","2.194")</f>
        <v>2.194</v>
      </c>
      <c r="M620" s="4" t="str">
        <f>HYPERLINK("http://141.218.60.56/~jnz1568/getInfo.php?workbook=06_02.xlsx&amp;sheet=A0&amp;row=620&amp;col=13&amp;number=9.297e-06&amp;sourceID=30","9.297e-06")</f>
        <v>9.297e-06</v>
      </c>
      <c r="N620" s="4" t="str">
        <f>HYPERLINK("http://141.218.60.56/~jnz1568/getInfo.php?workbook=06_02.xlsx&amp;sheet=A0&amp;row=620&amp;col=14&amp;number=&amp;sourceID=30","")</f>
        <v/>
      </c>
      <c r="O620" s="4" t="str">
        <f>HYPERLINK("http://141.218.60.56/~jnz1568/getInfo.php?workbook=06_02.xlsx&amp;sheet=A0&amp;row=620&amp;col=15&amp;number=&amp;sourceID=32","")</f>
        <v/>
      </c>
      <c r="P620" s="4" t="str">
        <f>HYPERLINK("http://141.218.60.56/~jnz1568/getInfo.php?workbook=06_02.xlsx&amp;sheet=A0&amp;row=620&amp;col=16&amp;number=3.003&amp;sourceID=32","3.003")</f>
        <v>3.003</v>
      </c>
      <c r="Q620" s="4" t="str">
        <f>HYPERLINK("http://141.218.60.56/~jnz1568/getInfo.php?workbook=06_02.xlsx&amp;sheet=A0&amp;row=620&amp;col=17&amp;number=9.482e-06&amp;sourceID=32","9.482e-06")</f>
        <v>9.482e-06</v>
      </c>
      <c r="R620" s="4" t="str">
        <f>HYPERLINK("http://141.218.60.56/~jnz1568/getInfo.php?workbook=06_02.xlsx&amp;sheet=A0&amp;row=620&amp;col=18&amp;number=&amp;sourceID=32","")</f>
        <v/>
      </c>
    </row>
    <row r="621" spans="1:18">
      <c r="A621" s="3">
        <v>6</v>
      </c>
      <c r="B621" s="3">
        <v>2</v>
      </c>
      <c r="C621" s="3">
        <v>39</v>
      </c>
      <c r="D621" s="3">
        <v>31</v>
      </c>
      <c r="E621" s="3">
        <f>((1/(INDEX(E0!J$4:J$52,C621,1)-INDEX(E0!J$4:J$52,D621,1))))*100000000</f>
        <v>0</v>
      </c>
      <c r="F621" s="4" t="str">
        <f>HYPERLINK("http://141.218.60.56/~jnz1568/getInfo.php?workbook=06_02.xlsx&amp;sheet=A0&amp;row=621&amp;col=6&amp;number=&amp;sourceID=27","")</f>
        <v/>
      </c>
      <c r="G621" s="4" t="str">
        <f>HYPERLINK("http://141.218.60.56/~jnz1568/getInfo.php?workbook=06_02.xlsx&amp;sheet=A0&amp;row=621&amp;col=7&amp;number=&amp;sourceID=34","")</f>
        <v/>
      </c>
      <c r="H621" s="4" t="str">
        <f>HYPERLINK("http://141.218.60.56/~jnz1568/getInfo.php?workbook=06_02.xlsx&amp;sheet=A0&amp;row=621&amp;col=8&amp;number=&amp;sourceID=34","")</f>
        <v/>
      </c>
      <c r="I621" s="4" t="str">
        <f>HYPERLINK("http://141.218.60.56/~jnz1568/getInfo.php?workbook=06_02.xlsx&amp;sheet=A0&amp;row=621&amp;col=9&amp;number=&amp;sourceID=34","")</f>
        <v/>
      </c>
      <c r="J621" s="4" t="str">
        <f>HYPERLINK("http://141.218.60.56/~jnz1568/getInfo.php?workbook=06_02.xlsx&amp;sheet=A0&amp;row=621&amp;col=10&amp;number=&amp;sourceID=34","")</f>
        <v/>
      </c>
      <c r="K621" s="4" t="str">
        <f>HYPERLINK("http://141.218.60.56/~jnz1568/getInfo.php?workbook=06_02.xlsx&amp;sheet=A0&amp;row=621&amp;col=11&amp;number=&amp;sourceID=30","")</f>
        <v/>
      </c>
      <c r="L621" s="4" t="str">
        <f>HYPERLINK("http://141.218.60.56/~jnz1568/getInfo.php?workbook=06_02.xlsx&amp;sheet=A0&amp;row=621&amp;col=12&amp;number=&amp;sourceID=30","")</f>
        <v/>
      </c>
      <c r="M621" s="4" t="str">
        <f>HYPERLINK("http://141.218.60.56/~jnz1568/getInfo.php?workbook=06_02.xlsx&amp;sheet=A0&amp;row=621&amp;col=13&amp;number=&amp;sourceID=30","")</f>
        <v/>
      </c>
      <c r="N621" s="4" t="str">
        <f>HYPERLINK("http://141.218.60.56/~jnz1568/getInfo.php?workbook=06_02.xlsx&amp;sheet=A0&amp;row=621&amp;col=14&amp;number=0.01582&amp;sourceID=30","0.01582")</f>
        <v>0.01582</v>
      </c>
      <c r="O621" s="4" t="str">
        <f>HYPERLINK("http://141.218.60.56/~jnz1568/getInfo.php?workbook=06_02.xlsx&amp;sheet=A0&amp;row=621&amp;col=15&amp;number=&amp;sourceID=32","")</f>
        <v/>
      </c>
      <c r="P621" s="4" t="str">
        <f>HYPERLINK("http://141.218.60.56/~jnz1568/getInfo.php?workbook=06_02.xlsx&amp;sheet=A0&amp;row=621&amp;col=16&amp;number=&amp;sourceID=32","")</f>
        <v/>
      </c>
      <c r="Q621" s="4" t="str">
        <f>HYPERLINK("http://141.218.60.56/~jnz1568/getInfo.php?workbook=06_02.xlsx&amp;sheet=A0&amp;row=621&amp;col=17&amp;number=&amp;sourceID=32","")</f>
        <v/>
      </c>
      <c r="R621" s="4" t="str">
        <f>HYPERLINK("http://141.218.60.56/~jnz1568/getInfo.php?workbook=06_02.xlsx&amp;sheet=A0&amp;row=621&amp;col=18&amp;number=0.01552&amp;sourceID=32","0.01552")</f>
        <v>0.01552</v>
      </c>
    </row>
    <row r="622" spans="1:18">
      <c r="A622" s="3">
        <v>6</v>
      </c>
      <c r="B622" s="3">
        <v>2</v>
      </c>
      <c r="C622" s="3">
        <v>39</v>
      </c>
      <c r="D622" s="3">
        <v>32</v>
      </c>
      <c r="E622" s="3">
        <f>((1/(INDEX(E0!J$4:J$52,C622,1)-INDEX(E0!J$4:J$52,D622,1))))*100000000</f>
        <v>0</v>
      </c>
      <c r="F622" s="4" t="str">
        <f>HYPERLINK("http://141.218.60.56/~jnz1568/getInfo.php?workbook=06_02.xlsx&amp;sheet=A0&amp;row=622&amp;col=6&amp;number=&amp;sourceID=27","")</f>
        <v/>
      </c>
      <c r="G622" s="4" t="str">
        <f>HYPERLINK("http://141.218.60.56/~jnz1568/getInfo.php?workbook=06_02.xlsx&amp;sheet=A0&amp;row=622&amp;col=7&amp;number=&amp;sourceID=34","")</f>
        <v/>
      </c>
      <c r="H622" s="4" t="str">
        <f>HYPERLINK("http://141.218.60.56/~jnz1568/getInfo.php?workbook=06_02.xlsx&amp;sheet=A0&amp;row=622&amp;col=8&amp;number=&amp;sourceID=34","")</f>
        <v/>
      </c>
      <c r="I622" s="4" t="str">
        <f>HYPERLINK("http://141.218.60.56/~jnz1568/getInfo.php?workbook=06_02.xlsx&amp;sheet=A0&amp;row=622&amp;col=9&amp;number=&amp;sourceID=34","")</f>
        <v/>
      </c>
      <c r="J622" s="4" t="str">
        <f>HYPERLINK("http://141.218.60.56/~jnz1568/getInfo.php?workbook=06_02.xlsx&amp;sheet=A0&amp;row=622&amp;col=10&amp;number=&amp;sourceID=34","")</f>
        <v/>
      </c>
      <c r="K622" s="4" t="str">
        <f>HYPERLINK("http://141.218.60.56/~jnz1568/getInfo.php?workbook=06_02.xlsx&amp;sheet=A0&amp;row=622&amp;col=11&amp;number=&amp;sourceID=30","")</f>
        <v/>
      </c>
      <c r="L622" s="4" t="str">
        <f>HYPERLINK("http://141.218.60.56/~jnz1568/getInfo.php?workbook=06_02.xlsx&amp;sheet=A0&amp;row=622&amp;col=12&amp;number=0.04419&amp;sourceID=30","0.04419")</f>
        <v>0.04419</v>
      </c>
      <c r="M622" s="4" t="str">
        <f>HYPERLINK("http://141.218.60.56/~jnz1568/getInfo.php?workbook=06_02.xlsx&amp;sheet=A0&amp;row=622&amp;col=13&amp;number=&amp;sourceID=30","")</f>
        <v/>
      </c>
      <c r="N622" s="4" t="str">
        <f>HYPERLINK("http://141.218.60.56/~jnz1568/getInfo.php?workbook=06_02.xlsx&amp;sheet=A0&amp;row=622&amp;col=14&amp;number=&amp;sourceID=30","")</f>
        <v/>
      </c>
      <c r="O622" s="4" t="str">
        <f>HYPERLINK("http://141.218.60.56/~jnz1568/getInfo.php?workbook=06_02.xlsx&amp;sheet=A0&amp;row=622&amp;col=15&amp;number=&amp;sourceID=32","")</f>
        <v/>
      </c>
      <c r="P622" s="4" t="str">
        <f>HYPERLINK("http://141.218.60.56/~jnz1568/getInfo.php?workbook=06_02.xlsx&amp;sheet=A0&amp;row=622&amp;col=16&amp;number=0.04547&amp;sourceID=32","0.04547")</f>
        <v>0.04547</v>
      </c>
      <c r="Q622" s="4" t="str">
        <f>HYPERLINK("http://141.218.60.56/~jnz1568/getInfo.php?workbook=06_02.xlsx&amp;sheet=A0&amp;row=622&amp;col=17&amp;number=&amp;sourceID=32","")</f>
        <v/>
      </c>
      <c r="R622" s="4" t="str">
        <f>HYPERLINK("http://141.218.60.56/~jnz1568/getInfo.php?workbook=06_02.xlsx&amp;sheet=A0&amp;row=622&amp;col=18&amp;number=&amp;sourceID=32","")</f>
        <v/>
      </c>
    </row>
    <row r="623" spans="1:18">
      <c r="A623" s="3">
        <v>6</v>
      </c>
      <c r="B623" s="3">
        <v>2</v>
      </c>
      <c r="C623" s="3">
        <v>39</v>
      </c>
      <c r="D623" s="3">
        <v>35</v>
      </c>
      <c r="E623" s="3">
        <f>((1/(INDEX(E0!J$4:J$52,C623,1)-INDEX(E0!J$4:J$52,D623,1))))*100000000</f>
        <v>0</v>
      </c>
      <c r="F623" s="4" t="str">
        <f>HYPERLINK("http://141.218.60.56/~jnz1568/getInfo.php?workbook=06_02.xlsx&amp;sheet=A0&amp;row=623&amp;col=6&amp;number=&amp;sourceID=27","")</f>
        <v/>
      </c>
      <c r="G623" s="4" t="str">
        <f>HYPERLINK("http://141.218.60.56/~jnz1568/getInfo.php?workbook=06_02.xlsx&amp;sheet=A0&amp;row=623&amp;col=7&amp;number=&amp;sourceID=34","")</f>
        <v/>
      </c>
      <c r="H623" s="4" t="str">
        <f>HYPERLINK("http://141.218.60.56/~jnz1568/getInfo.php?workbook=06_02.xlsx&amp;sheet=A0&amp;row=623&amp;col=8&amp;number=&amp;sourceID=34","")</f>
        <v/>
      </c>
      <c r="I623" s="4" t="str">
        <f>HYPERLINK("http://141.218.60.56/~jnz1568/getInfo.php?workbook=06_02.xlsx&amp;sheet=A0&amp;row=623&amp;col=9&amp;number=&amp;sourceID=34","")</f>
        <v/>
      </c>
      <c r="J623" s="4" t="str">
        <f>HYPERLINK("http://141.218.60.56/~jnz1568/getInfo.php?workbook=06_02.xlsx&amp;sheet=A0&amp;row=623&amp;col=10&amp;number=&amp;sourceID=34","")</f>
        <v/>
      </c>
      <c r="K623" s="4" t="str">
        <f>HYPERLINK("http://141.218.60.56/~jnz1568/getInfo.php?workbook=06_02.xlsx&amp;sheet=A0&amp;row=623&amp;col=11&amp;number=&amp;sourceID=30","")</f>
        <v/>
      </c>
      <c r="L623" s="4" t="str">
        <f>HYPERLINK("http://141.218.60.56/~jnz1568/getInfo.php?workbook=06_02.xlsx&amp;sheet=A0&amp;row=623&amp;col=12&amp;number=&amp;sourceID=30","")</f>
        <v/>
      </c>
      <c r="M623" s="4" t="str">
        <f>HYPERLINK("http://141.218.60.56/~jnz1568/getInfo.php?workbook=06_02.xlsx&amp;sheet=A0&amp;row=623&amp;col=13&amp;number=&amp;sourceID=30","")</f>
        <v/>
      </c>
      <c r="N623" s="4" t="str">
        <f>HYPERLINK("http://141.218.60.56/~jnz1568/getInfo.php?workbook=06_02.xlsx&amp;sheet=A0&amp;row=623&amp;col=14&amp;number=2.272e-11&amp;sourceID=30","2.272e-11")</f>
        <v>2.272e-11</v>
      </c>
      <c r="O623" s="4" t="str">
        <f>HYPERLINK("http://141.218.60.56/~jnz1568/getInfo.php?workbook=06_02.xlsx&amp;sheet=A0&amp;row=623&amp;col=15&amp;number=&amp;sourceID=32","")</f>
        <v/>
      </c>
      <c r="P623" s="4" t="str">
        <f>HYPERLINK("http://141.218.60.56/~jnz1568/getInfo.php?workbook=06_02.xlsx&amp;sheet=A0&amp;row=623&amp;col=16&amp;number=&amp;sourceID=32","")</f>
        <v/>
      </c>
      <c r="Q623" s="4" t="str">
        <f>HYPERLINK("http://141.218.60.56/~jnz1568/getInfo.php?workbook=06_02.xlsx&amp;sheet=A0&amp;row=623&amp;col=17&amp;number=&amp;sourceID=32","")</f>
        <v/>
      </c>
      <c r="R623" s="4" t="str">
        <f>HYPERLINK("http://141.218.60.56/~jnz1568/getInfo.php?workbook=06_02.xlsx&amp;sheet=A0&amp;row=623&amp;col=18&amp;number=2.842e-11&amp;sourceID=32","2.842e-11")</f>
        <v>2.842e-11</v>
      </c>
    </row>
    <row r="624" spans="1:18">
      <c r="A624" s="3">
        <v>6</v>
      </c>
      <c r="B624" s="3">
        <v>2</v>
      </c>
      <c r="C624" s="3">
        <v>39</v>
      </c>
      <c r="D624" s="3">
        <v>36</v>
      </c>
      <c r="E624" s="3">
        <f>((1/(INDEX(E0!J$4:J$52,C624,1)-INDEX(E0!J$4:J$52,D624,1))))*100000000</f>
        <v>0</v>
      </c>
      <c r="F624" s="4" t="str">
        <f>HYPERLINK("http://141.218.60.56/~jnz1568/getInfo.php?workbook=06_02.xlsx&amp;sheet=A0&amp;row=624&amp;col=6&amp;number=&amp;sourceID=27","")</f>
        <v/>
      </c>
      <c r="G624" s="4" t="str">
        <f>HYPERLINK("http://141.218.60.56/~jnz1568/getInfo.php?workbook=06_02.xlsx&amp;sheet=A0&amp;row=624&amp;col=7&amp;number=&amp;sourceID=34","")</f>
        <v/>
      </c>
      <c r="H624" s="4" t="str">
        <f>HYPERLINK("http://141.218.60.56/~jnz1568/getInfo.php?workbook=06_02.xlsx&amp;sheet=A0&amp;row=624&amp;col=8&amp;number=&amp;sourceID=34","")</f>
        <v/>
      </c>
      <c r="I624" s="4" t="str">
        <f>HYPERLINK("http://141.218.60.56/~jnz1568/getInfo.php?workbook=06_02.xlsx&amp;sheet=A0&amp;row=624&amp;col=9&amp;number=&amp;sourceID=34","")</f>
        <v/>
      </c>
      <c r="J624" s="4" t="str">
        <f>HYPERLINK("http://141.218.60.56/~jnz1568/getInfo.php?workbook=06_02.xlsx&amp;sheet=A0&amp;row=624&amp;col=10&amp;number=&amp;sourceID=34","")</f>
        <v/>
      </c>
      <c r="K624" s="4" t="str">
        <f>HYPERLINK("http://141.218.60.56/~jnz1568/getInfo.php?workbook=06_02.xlsx&amp;sheet=A0&amp;row=624&amp;col=11&amp;number=62250&amp;sourceID=30","62250")</f>
        <v>62250</v>
      </c>
      <c r="L624" s="4" t="str">
        <f>HYPERLINK("http://141.218.60.56/~jnz1568/getInfo.php?workbook=06_02.xlsx&amp;sheet=A0&amp;row=624&amp;col=12&amp;number=&amp;sourceID=30","")</f>
        <v/>
      </c>
      <c r="M624" s="4" t="str">
        <f>HYPERLINK("http://141.218.60.56/~jnz1568/getInfo.php?workbook=06_02.xlsx&amp;sheet=A0&amp;row=624&amp;col=13&amp;number=&amp;sourceID=30","")</f>
        <v/>
      </c>
      <c r="N624" s="4" t="str">
        <f>HYPERLINK("http://141.218.60.56/~jnz1568/getInfo.php?workbook=06_02.xlsx&amp;sheet=A0&amp;row=624&amp;col=14&amp;number=1.048e-09&amp;sourceID=30","1.048e-09")</f>
        <v>1.048e-09</v>
      </c>
      <c r="O624" s="4" t="str">
        <f>HYPERLINK("http://141.218.60.56/~jnz1568/getInfo.php?workbook=06_02.xlsx&amp;sheet=A0&amp;row=624&amp;col=15&amp;number=70310&amp;sourceID=32","70310")</f>
        <v>70310</v>
      </c>
      <c r="P624" s="4" t="str">
        <f>HYPERLINK("http://141.218.60.56/~jnz1568/getInfo.php?workbook=06_02.xlsx&amp;sheet=A0&amp;row=624&amp;col=16&amp;number=&amp;sourceID=32","")</f>
        <v/>
      </c>
      <c r="Q624" s="4" t="str">
        <f>HYPERLINK("http://141.218.60.56/~jnz1568/getInfo.php?workbook=06_02.xlsx&amp;sheet=A0&amp;row=624&amp;col=17&amp;number=&amp;sourceID=32","")</f>
        <v/>
      </c>
      <c r="R624" s="4" t="str">
        <f>HYPERLINK("http://141.218.60.56/~jnz1568/getInfo.php?workbook=06_02.xlsx&amp;sheet=A0&amp;row=624&amp;col=18&amp;number=1.289e-09&amp;sourceID=32","1.289e-09")</f>
        <v>1.289e-09</v>
      </c>
    </row>
    <row r="625" spans="1:18">
      <c r="A625" s="3">
        <v>6</v>
      </c>
      <c r="B625" s="3">
        <v>2</v>
      </c>
      <c r="C625" s="3">
        <v>39</v>
      </c>
      <c r="D625" s="3">
        <v>37</v>
      </c>
      <c r="E625" s="3">
        <f>((1/(INDEX(E0!J$4:J$52,C625,1)-INDEX(E0!J$4:J$52,D625,1))))*100000000</f>
        <v>0</v>
      </c>
      <c r="F625" s="4" t="str">
        <f>HYPERLINK("http://141.218.60.56/~jnz1568/getInfo.php?workbook=06_02.xlsx&amp;sheet=A0&amp;row=625&amp;col=6&amp;number=&amp;sourceID=27","")</f>
        <v/>
      </c>
      <c r="G625" s="4" t="str">
        <f>HYPERLINK("http://141.218.60.56/~jnz1568/getInfo.php?workbook=06_02.xlsx&amp;sheet=A0&amp;row=625&amp;col=7&amp;number=&amp;sourceID=34","")</f>
        <v/>
      </c>
      <c r="H625" s="4" t="str">
        <f>HYPERLINK("http://141.218.60.56/~jnz1568/getInfo.php?workbook=06_02.xlsx&amp;sheet=A0&amp;row=625&amp;col=8&amp;number=&amp;sourceID=34","")</f>
        <v/>
      </c>
      <c r="I625" s="4" t="str">
        <f>HYPERLINK("http://141.218.60.56/~jnz1568/getInfo.php?workbook=06_02.xlsx&amp;sheet=A0&amp;row=625&amp;col=9&amp;number=&amp;sourceID=34","")</f>
        <v/>
      </c>
      <c r="J625" s="4" t="str">
        <f>HYPERLINK("http://141.218.60.56/~jnz1568/getInfo.php?workbook=06_02.xlsx&amp;sheet=A0&amp;row=625&amp;col=10&amp;number=&amp;sourceID=34","")</f>
        <v/>
      </c>
      <c r="K625" s="4" t="str">
        <f>HYPERLINK("http://141.218.60.56/~jnz1568/getInfo.php?workbook=06_02.xlsx&amp;sheet=A0&amp;row=625&amp;col=11&amp;number=&amp;sourceID=30","")</f>
        <v/>
      </c>
      <c r="L625" s="4" t="str">
        <f>HYPERLINK("http://141.218.60.56/~jnz1568/getInfo.php?workbook=06_02.xlsx&amp;sheet=A0&amp;row=625&amp;col=12&amp;number=0&amp;sourceID=30","0")</f>
        <v>0</v>
      </c>
      <c r="M625" s="4" t="str">
        <f>HYPERLINK("http://141.218.60.56/~jnz1568/getInfo.php?workbook=06_02.xlsx&amp;sheet=A0&amp;row=625&amp;col=13&amp;number=&amp;sourceID=30","")</f>
        <v/>
      </c>
      <c r="N625" s="4" t="str">
        <f>HYPERLINK("http://141.218.60.56/~jnz1568/getInfo.php?workbook=06_02.xlsx&amp;sheet=A0&amp;row=625&amp;col=14&amp;number=&amp;sourceID=30","")</f>
        <v/>
      </c>
      <c r="O625" s="4" t="str">
        <f>HYPERLINK("http://141.218.60.56/~jnz1568/getInfo.php?workbook=06_02.xlsx&amp;sheet=A0&amp;row=625&amp;col=15&amp;number=&amp;sourceID=32","")</f>
        <v/>
      </c>
      <c r="P625" s="4" t="str">
        <f>HYPERLINK("http://141.218.60.56/~jnz1568/getInfo.php?workbook=06_02.xlsx&amp;sheet=A0&amp;row=625&amp;col=16&amp;number=&amp;sourceID=32","")</f>
        <v/>
      </c>
      <c r="Q625" s="4" t="str">
        <f>HYPERLINK("http://141.218.60.56/~jnz1568/getInfo.php?workbook=06_02.xlsx&amp;sheet=A0&amp;row=625&amp;col=17&amp;number=&amp;sourceID=32","")</f>
        <v/>
      </c>
      <c r="R625" s="4" t="str">
        <f>HYPERLINK("http://141.218.60.56/~jnz1568/getInfo.php?workbook=06_02.xlsx&amp;sheet=A0&amp;row=625&amp;col=18&amp;number=&amp;sourceID=32","")</f>
        <v/>
      </c>
    </row>
    <row r="626" spans="1:18">
      <c r="A626" s="3">
        <v>6</v>
      </c>
      <c r="B626" s="3">
        <v>2</v>
      </c>
      <c r="C626" s="3">
        <v>39</v>
      </c>
      <c r="D626" s="3">
        <v>38</v>
      </c>
      <c r="E626" s="3">
        <f>((1/(INDEX(E0!J$4:J$52,C626,1)-INDEX(E0!J$4:J$52,D626,1))))*100000000</f>
        <v>0</v>
      </c>
      <c r="F626" s="4" t="str">
        <f>HYPERLINK("http://141.218.60.56/~jnz1568/getInfo.php?workbook=06_02.xlsx&amp;sheet=A0&amp;row=626&amp;col=6&amp;number=&amp;sourceID=27","")</f>
        <v/>
      </c>
      <c r="G626" s="4" t="str">
        <f>HYPERLINK("http://141.218.60.56/~jnz1568/getInfo.php?workbook=06_02.xlsx&amp;sheet=A0&amp;row=626&amp;col=7&amp;number=&amp;sourceID=34","")</f>
        <v/>
      </c>
      <c r="H626" s="4" t="str">
        <f>HYPERLINK("http://141.218.60.56/~jnz1568/getInfo.php?workbook=06_02.xlsx&amp;sheet=A0&amp;row=626&amp;col=8&amp;number=&amp;sourceID=34","")</f>
        <v/>
      </c>
      <c r="I626" s="4" t="str">
        <f>HYPERLINK("http://141.218.60.56/~jnz1568/getInfo.php?workbook=06_02.xlsx&amp;sheet=A0&amp;row=626&amp;col=9&amp;number=&amp;sourceID=34","")</f>
        <v/>
      </c>
      <c r="J626" s="4" t="str">
        <f>HYPERLINK("http://141.218.60.56/~jnz1568/getInfo.php?workbook=06_02.xlsx&amp;sheet=A0&amp;row=626&amp;col=10&amp;number=&amp;sourceID=34","")</f>
        <v/>
      </c>
      <c r="K626" s="4" t="str">
        <f>HYPERLINK("http://141.218.60.56/~jnz1568/getInfo.php?workbook=06_02.xlsx&amp;sheet=A0&amp;row=626&amp;col=11&amp;number=&amp;sourceID=30","")</f>
        <v/>
      </c>
      <c r="L626" s="4" t="str">
        <f>HYPERLINK("http://141.218.60.56/~jnz1568/getInfo.php?workbook=06_02.xlsx&amp;sheet=A0&amp;row=626&amp;col=12&amp;number=0&amp;sourceID=30","0")</f>
        <v>0</v>
      </c>
      <c r="M626" s="4" t="str">
        <f>HYPERLINK("http://141.218.60.56/~jnz1568/getInfo.php?workbook=06_02.xlsx&amp;sheet=A0&amp;row=626&amp;col=13&amp;number=2.288e-10&amp;sourceID=30","2.288e-10")</f>
        <v>2.288e-10</v>
      </c>
      <c r="N626" s="4" t="str">
        <f>HYPERLINK("http://141.218.60.56/~jnz1568/getInfo.php?workbook=06_02.xlsx&amp;sheet=A0&amp;row=626&amp;col=14&amp;number=&amp;sourceID=30","")</f>
        <v/>
      </c>
      <c r="O626" s="4" t="str">
        <f>HYPERLINK("http://141.218.60.56/~jnz1568/getInfo.php?workbook=06_02.xlsx&amp;sheet=A0&amp;row=626&amp;col=15&amp;number=&amp;sourceID=32","")</f>
        <v/>
      </c>
      <c r="P626" s="4" t="str">
        <f>HYPERLINK("http://141.218.60.56/~jnz1568/getInfo.php?workbook=06_02.xlsx&amp;sheet=A0&amp;row=626&amp;col=16&amp;number=&amp;sourceID=32","")</f>
        <v/>
      </c>
      <c r="Q626" s="4" t="str">
        <f>HYPERLINK("http://141.218.60.56/~jnz1568/getInfo.php?workbook=06_02.xlsx&amp;sheet=A0&amp;row=626&amp;col=17&amp;number=&amp;sourceID=32","")</f>
        <v/>
      </c>
      <c r="R626" s="4" t="str">
        <f>HYPERLINK("http://141.218.60.56/~jnz1568/getInfo.php?workbook=06_02.xlsx&amp;sheet=A0&amp;row=626&amp;col=18&amp;number=&amp;sourceID=32","")</f>
        <v/>
      </c>
    </row>
    <row r="627" spans="1:18">
      <c r="A627" s="3">
        <v>6</v>
      </c>
      <c r="B627" s="3">
        <v>2</v>
      </c>
      <c r="C627" s="3">
        <v>40</v>
      </c>
      <c r="D627" s="3">
        <v>1</v>
      </c>
      <c r="E627" s="3">
        <f>((1/(INDEX(E0!J$4:J$52,C627,1)-INDEX(E0!J$4:J$52,D627,1))))*100000000</f>
        <v>0</v>
      </c>
      <c r="F627" s="4" t="str">
        <f>HYPERLINK("http://141.218.60.56/~jnz1568/getInfo.php?workbook=06_02.xlsx&amp;sheet=A0&amp;row=627&amp;col=6&amp;number=&amp;sourceID=27","")</f>
        <v/>
      </c>
      <c r="G627" s="4" t="str">
        <f>HYPERLINK("http://141.218.60.56/~jnz1568/getInfo.php?workbook=06_02.xlsx&amp;sheet=A0&amp;row=627&amp;col=7&amp;number=&amp;sourceID=34","")</f>
        <v/>
      </c>
      <c r="H627" s="4" t="str">
        <f>HYPERLINK("http://141.218.60.56/~jnz1568/getInfo.php?workbook=06_02.xlsx&amp;sheet=A0&amp;row=627&amp;col=8&amp;number=&amp;sourceID=34","")</f>
        <v/>
      </c>
      <c r="I627" s="4" t="str">
        <f>HYPERLINK("http://141.218.60.56/~jnz1568/getInfo.php?workbook=06_02.xlsx&amp;sheet=A0&amp;row=627&amp;col=9&amp;number=&amp;sourceID=34","")</f>
        <v/>
      </c>
      <c r="J627" s="4" t="str">
        <f>HYPERLINK("http://141.218.60.56/~jnz1568/getInfo.php?workbook=06_02.xlsx&amp;sheet=A0&amp;row=627&amp;col=10&amp;number=&amp;sourceID=34","")</f>
        <v/>
      </c>
      <c r="K627" s="4" t="str">
        <f>HYPERLINK("http://141.218.60.56/~jnz1568/getInfo.php?workbook=06_02.xlsx&amp;sheet=A0&amp;row=627&amp;col=11&amp;number=&amp;sourceID=30","")</f>
        <v/>
      </c>
      <c r="L627" s="4" t="str">
        <f>HYPERLINK("http://141.218.60.56/~jnz1568/getInfo.php?workbook=06_02.xlsx&amp;sheet=A0&amp;row=627&amp;col=12&amp;number=&amp;sourceID=30","")</f>
        <v/>
      </c>
      <c r="M627" s="4" t="str">
        <f>HYPERLINK("http://141.218.60.56/~jnz1568/getInfo.php?workbook=06_02.xlsx&amp;sheet=A0&amp;row=627&amp;col=13&amp;number=&amp;sourceID=30","")</f>
        <v/>
      </c>
      <c r="N627" s="4" t="str">
        <f>HYPERLINK("http://141.218.60.56/~jnz1568/getInfo.php?workbook=06_02.xlsx&amp;sheet=A0&amp;row=627&amp;col=14&amp;number=0.1228&amp;sourceID=30","0.1228")</f>
        <v>0.1228</v>
      </c>
      <c r="O627" s="4" t="str">
        <f>HYPERLINK("http://141.218.60.56/~jnz1568/getInfo.php?workbook=06_02.xlsx&amp;sheet=A0&amp;row=627&amp;col=15&amp;number=&amp;sourceID=32","")</f>
        <v/>
      </c>
      <c r="P627" s="4" t="str">
        <f>HYPERLINK("http://141.218.60.56/~jnz1568/getInfo.php?workbook=06_02.xlsx&amp;sheet=A0&amp;row=627&amp;col=16&amp;number=&amp;sourceID=32","")</f>
        <v/>
      </c>
      <c r="Q627" s="4" t="str">
        <f>HYPERLINK("http://141.218.60.56/~jnz1568/getInfo.php?workbook=06_02.xlsx&amp;sheet=A0&amp;row=627&amp;col=17&amp;number=&amp;sourceID=32","")</f>
        <v/>
      </c>
      <c r="R627" s="4" t="str">
        <f>HYPERLINK("http://141.218.60.56/~jnz1568/getInfo.php?workbook=06_02.xlsx&amp;sheet=A0&amp;row=627&amp;col=18&amp;number=1.103e-06&amp;sourceID=32","1.103e-06")</f>
        <v>1.103e-06</v>
      </c>
    </row>
    <row r="628" spans="1:18">
      <c r="A628" s="3">
        <v>6</v>
      </c>
      <c r="B628" s="3">
        <v>2</v>
      </c>
      <c r="C628" s="3">
        <v>40</v>
      </c>
      <c r="D628" s="3">
        <v>2</v>
      </c>
      <c r="E628" s="3">
        <f>((1/(INDEX(E0!J$4:J$52,C628,1)-INDEX(E0!J$4:J$52,D628,1))))*100000000</f>
        <v>0</v>
      </c>
      <c r="F628" s="4" t="str">
        <f>HYPERLINK("http://141.218.60.56/~jnz1568/getInfo.php?workbook=06_02.xlsx&amp;sheet=A0&amp;row=628&amp;col=6&amp;number=&amp;sourceID=27","")</f>
        <v/>
      </c>
      <c r="G628" s="4" t="str">
        <f>HYPERLINK("http://141.218.60.56/~jnz1568/getInfo.php?workbook=06_02.xlsx&amp;sheet=A0&amp;row=628&amp;col=7&amp;number=&amp;sourceID=34","")</f>
        <v/>
      </c>
      <c r="H628" s="4" t="str">
        <f>HYPERLINK("http://141.218.60.56/~jnz1568/getInfo.php?workbook=06_02.xlsx&amp;sheet=A0&amp;row=628&amp;col=8&amp;number=&amp;sourceID=34","")</f>
        <v/>
      </c>
      <c r="I628" s="4" t="str">
        <f>HYPERLINK("http://141.218.60.56/~jnz1568/getInfo.php?workbook=06_02.xlsx&amp;sheet=A0&amp;row=628&amp;col=9&amp;number=&amp;sourceID=34","")</f>
        <v/>
      </c>
      <c r="J628" s="4" t="str">
        <f>HYPERLINK("http://141.218.60.56/~jnz1568/getInfo.php?workbook=06_02.xlsx&amp;sheet=A0&amp;row=628&amp;col=10&amp;number=&amp;sourceID=34","")</f>
        <v/>
      </c>
      <c r="K628" s="4" t="str">
        <f>HYPERLINK("http://141.218.60.56/~jnz1568/getInfo.php?workbook=06_02.xlsx&amp;sheet=A0&amp;row=628&amp;col=11&amp;number=2.228&amp;sourceID=30","2.228")</f>
        <v>2.228</v>
      </c>
      <c r="L628" s="4" t="str">
        <f>HYPERLINK("http://141.218.60.56/~jnz1568/getInfo.php?workbook=06_02.xlsx&amp;sheet=A0&amp;row=628&amp;col=12&amp;number=&amp;sourceID=30","")</f>
        <v/>
      </c>
      <c r="M628" s="4" t="str">
        <f>HYPERLINK("http://141.218.60.56/~jnz1568/getInfo.php?workbook=06_02.xlsx&amp;sheet=A0&amp;row=628&amp;col=13&amp;number=&amp;sourceID=30","")</f>
        <v/>
      </c>
      <c r="N628" s="4" t="str">
        <f>HYPERLINK("http://141.218.60.56/~jnz1568/getInfo.php?workbook=06_02.xlsx&amp;sheet=A0&amp;row=628&amp;col=14&amp;number=7.485e-09&amp;sourceID=30","7.485e-09")</f>
        <v>7.485e-09</v>
      </c>
      <c r="O628" s="4" t="str">
        <f>HYPERLINK("http://141.218.60.56/~jnz1568/getInfo.php?workbook=06_02.xlsx&amp;sheet=A0&amp;row=628&amp;col=15&amp;number=0.02136&amp;sourceID=32","0.02136")</f>
        <v>0.02136</v>
      </c>
      <c r="P628" s="4" t="str">
        <f>HYPERLINK("http://141.218.60.56/~jnz1568/getInfo.php?workbook=06_02.xlsx&amp;sheet=A0&amp;row=628&amp;col=16&amp;number=&amp;sourceID=32","")</f>
        <v/>
      </c>
      <c r="Q628" s="4" t="str">
        <f>HYPERLINK("http://141.218.60.56/~jnz1568/getInfo.php?workbook=06_02.xlsx&amp;sheet=A0&amp;row=628&amp;col=17&amp;number=&amp;sourceID=32","")</f>
        <v/>
      </c>
      <c r="R628" s="4" t="str">
        <f>HYPERLINK("http://141.218.60.56/~jnz1568/getInfo.php?workbook=06_02.xlsx&amp;sheet=A0&amp;row=628&amp;col=18&amp;number=2.757e-08&amp;sourceID=32","2.757e-08")</f>
        <v>2.757e-08</v>
      </c>
    </row>
    <row r="629" spans="1:18">
      <c r="A629" s="3">
        <v>6</v>
      </c>
      <c r="B629" s="3">
        <v>2</v>
      </c>
      <c r="C629" s="3">
        <v>40</v>
      </c>
      <c r="D629" s="3">
        <v>3</v>
      </c>
      <c r="E629" s="3">
        <f>((1/(INDEX(E0!J$4:J$52,C629,1)-INDEX(E0!J$4:J$52,D629,1))))*100000000</f>
        <v>0</v>
      </c>
      <c r="F629" s="4" t="str">
        <f>HYPERLINK("http://141.218.60.56/~jnz1568/getInfo.php?workbook=06_02.xlsx&amp;sheet=A0&amp;row=629&amp;col=6&amp;number=&amp;sourceID=27","")</f>
        <v/>
      </c>
      <c r="G629" s="4" t="str">
        <f>HYPERLINK("http://141.218.60.56/~jnz1568/getInfo.php?workbook=06_02.xlsx&amp;sheet=A0&amp;row=629&amp;col=7&amp;number=&amp;sourceID=34","")</f>
        <v/>
      </c>
      <c r="H629" s="4" t="str">
        <f>HYPERLINK("http://141.218.60.56/~jnz1568/getInfo.php?workbook=06_02.xlsx&amp;sheet=A0&amp;row=629&amp;col=8&amp;number=&amp;sourceID=34","")</f>
        <v/>
      </c>
      <c r="I629" s="4" t="str">
        <f>HYPERLINK("http://141.218.60.56/~jnz1568/getInfo.php?workbook=06_02.xlsx&amp;sheet=A0&amp;row=629&amp;col=9&amp;number=&amp;sourceID=34","")</f>
        <v/>
      </c>
      <c r="J629" s="4" t="str">
        <f>HYPERLINK("http://141.218.60.56/~jnz1568/getInfo.php?workbook=06_02.xlsx&amp;sheet=A0&amp;row=629&amp;col=10&amp;number=&amp;sourceID=34","")</f>
        <v/>
      </c>
      <c r="K629" s="4" t="str">
        <f>HYPERLINK("http://141.218.60.56/~jnz1568/getInfo.php?workbook=06_02.xlsx&amp;sheet=A0&amp;row=629&amp;col=11&amp;number=&amp;sourceID=30","")</f>
        <v/>
      </c>
      <c r="L629" s="4" t="str">
        <f>HYPERLINK("http://141.218.60.56/~jnz1568/getInfo.php?workbook=06_02.xlsx&amp;sheet=A0&amp;row=629&amp;col=12&amp;number=&amp;sourceID=30","")</f>
        <v/>
      </c>
      <c r="M629" s="4" t="str">
        <f>HYPERLINK("http://141.218.60.56/~jnz1568/getInfo.php?workbook=06_02.xlsx&amp;sheet=A0&amp;row=629&amp;col=13&amp;number=&amp;sourceID=30","")</f>
        <v/>
      </c>
      <c r="N629" s="4" t="str">
        <f>HYPERLINK("http://141.218.60.56/~jnz1568/getInfo.php?workbook=06_02.xlsx&amp;sheet=A0&amp;row=629&amp;col=14&amp;number=1.215e-07&amp;sourceID=30","1.215e-07")</f>
        <v>1.215e-07</v>
      </c>
      <c r="O629" s="4" t="str">
        <f>HYPERLINK("http://141.218.60.56/~jnz1568/getInfo.php?workbook=06_02.xlsx&amp;sheet=A0&amp;row=629&amp;col=15&amp;number=&amp;sourceID=32","")</f>
        <v/>
      </c>
      <c r="P629" s="4" t="str">
        <f>HYPERLINK("http://141.218.60.56/~jnz1568/getInfo.php?workbook=06_02.xlsx&amp;sheet=A0&amp;row=629&amp;col=16&amp;number=&amp;sourceID=32","")</f>
        <v/>
      </c>
      <c r="Q629" s="4" t="str">
        <f>HYPERLINK("http://141.218.60.56/~jnz1568/getInfo.php?workbook=06_02.xlsx&amp;sheet=A0&amp;row=629&amp;col=17&amp;number=&amp;sourceID=32","")</f>
        <v/>
      </c>
      <c r="R629" s="4" t="str">
        <f>HYPERLINK("http://141.218.60.56/~jnz1568/getInfo.php?workbook=06_02.xlsx&amp;sheet=A0&amp;row=629&amp;col=18&amp;number=4.362e-09&amp;sourceID=32","4.362e-09")</f>
        <v>4.362e-09</v>
      </c>
    </row>
    <row r="630" spans="1:18">
      <c r="A630" s="3">
        <v>6</v>
      </c>
      <c r="B630" s="3">
        <v>2</v>
      </c>
      <c r="C630" s="3">
        <v>40</v>
      </c>
      <c r="D630" s="3">
        <v>4</v>
      </c>
      <c r="E630" s="3">
        <f>((1/(INDEX(E0!J$4:J$52,C630,1)-INDEX(E0!J$4:J$52,D630,1))))*100000000</f>
        <v>0</v>
      </c>
      <c r="F630" s="4" t="str">
        <f>HYPERLINK("http://141.218.60.56/~jnz1568/getInfo.php?workbook=06_02.xlsx&amp;sheet=A0&amp;row=630&amp;col=6&amp;number=&amp;sourceID=27","")</f>
        <v/>
      </c>
      <c r="G630" s="4" t="str">
        <f>HYPERLINK("http://141.218.60.56/~jnz1568/getInfo.php?workbook=06_02.xlsx&amp;sheet=A0&amp;row=630&amp;col=7&amp;number=&amp;sourceID=34","")</f>
        <v/>
      </c>
      <c r="H630" s="4" t="str">
        <f>HYPERLINK("http://141.218.60.56/~jnz1568/getInfo.php?workbook=06_02.xlsx&amp;sheet=A0&amp;row=630&amp;col=8&amp;number=&amp;sourceID=34","")</f>
        <v/>
      </c>
      <c r="I630" s="4" t="str">
        <f>HYPERLINK("http://141.218.60.56/~jnz1568/getInfo.php?workbook=06_02.xlsx&amp;sheet=A0&amp;row=630&amp;col=9&amp;number=&amp;sourceID=34","")</f>
        <v/>
      </c>
      <c r="J630" s="4" t="str">
        <f>HYPERLINK("http://141.218.60.56/~jnz1568/getInfo.php?workbook=06_02.xlsx&amp;sheet=A0&amp;row=630&amp;col=10&amp;number=&amp;sourceID=34","")</f>
        <v/>
      </c>
      <c r="K630" s="4" t="str">
        <f>HYPERLINK("http://141.218.60.56/~jnz1568/getInfo.php?workbook=06_02.xlsx&amp;sheet=A0&amp;row=630&amp;col=11&amp;number=&amp;sourceID=30","")</f>
        <v/>
      </c>
      <c r="L630" s="4" t="str">
        <f>HYPERLINK("http://141.218.60.56/~jnz1568/getInfo.php?workbook=06_02.xlsx&amp;sheet=A0&amp;row=630&amp;col=12&amp;number=353400&amp;sourceID=30","353400")</f>
        <v>353400</v>
      </c>
      <c r="M630" s="4" t="str">
        <f>HYPERLINK("http://141.218.60.56/~jnz1568/getInfo.php?workbook=06_02.xlsx&amp;sheet=A0&amp;row=630&amp;col=13&amp;number=0.0001306&amp;sourceID=30","0.0001306")</f>
        <v>0.0001306</v>
      </c>
      <c r="N630" s="4" t="str">
        <f>HYPERLINK("http://141.218.60.56/~jnz1568/getInfo.php?workbook=06_02.xlsx&amp;sheet=A0&amp;row=630&amp;col=14&amp;number=&amp;sourceID=30","")</f>
        <v/>
      </c>
      <c r="O630" s="4" t="str">
        <f>HYPERLINK("http://141.218.60.56/~jnz1568/getInfo.php?workbook=06_02.xlsx&amp;sheet=A0&amp;row=630&amp;col=15&amp;number=&amp;sourceID=32","")</f>
        <v/>
      </c>
      <c r="P630" s="4" t="str">
        <f>HYPERLINK("http://141.218.60.56/~jnz1568/getInfo.php?workbook=06_02.xlsx&amp;sheet=A0&amp;row=630&amp;col=16&amp;number=306600&amp;sourceID=32","306600")</f>
        <v>306600</v>
      </c>
      <c r="Q630" s="4" t="str">
        <f>HYPERLINK("http://141.218.60.56/~jnz1568/getInfo.php?workbook=06_02.xlsx&amp;sheet=A0&amp;row=630&amp;col=17&amp;number=0.0002327&amp;sourceID=32","0.0002327")</f>
        <v>0.0002327</v>
      </c>
      <c r="R630" s="4" t="str">
        <f>HYPERLINK("http://141.218.60.56/~jnz1568/getInfo.php?workbook=06_02.xlsx&amp;sheet=A0&amp;row=630&amp;col=18&amp;number=&amp;sourceID=32","")</f>
        <v/>
      </c>
    </row>
    <row r="631" spans="1:18">
      <c r="A631" s="3">
        <v>6</v>
      </c>
      <c r="B631" s="3">
        <v>2</v>
      </c>
      <c r="C631" s="3">
        <v>40</v>
      </c>
      <c r="D631" s="3">
        <v>5</v>
      </c>
      <c r="E631" s="3">
        <f>((1/(INDEX(E0!J$4:J$52,C631,1)-INDEX(E0!J$4:J$52,D631,1))))*100000000</f>
        <v>0</v>
      </c>
      <c r="F631" s="4" t="str">
        <f>HYPERLINK("http://141.218.60.56/~jnz1568/getInfo.php?workbook=06_02.xlsx&amp;sheet=A0&amp;row=631&amp;col=6&amp;number=&amp;sourceID=27","")</f>
        <v/>
      </c>
      <c r="G631" s="4" t="str">
        <f>HYPERLINK("http://141.218.60.56/~jnz1568/getInfo.php?workbook=06_02.xlsx&amp;sheet=A0&amp;row=631&amp;col=7&amp;number=&amp;sourceID=34","")</f>
        <v/>
      </c>
      <c r="H631" s="4" t="str">
        <f>HYPERLINK("http://141.218.60.56/~jnz1568/getInfo.php?workbook=06_02.xlsx&amp;sheet=A0&amp;row=631&amp;col=8&amp;number=&amp;sourceID=34","")</f>
        <v/>
      </c>
      <c r="I631" s="4" t="str">
        <f>HYPERLINK("http://141.218.60.56/~jnz1568/getInfo.php?workbook=06_02.xlsx&amp;sheet=A0&amp;row=631&amp;col=9&amp;number=&amp;sourceID=34","")</f>
        <v/>
      </c>
      <c r="J631" s="4" t="str">
        <f>HYPERLINK("http://141.218.60.56/~jnz1568/getInfo.php?workbook=06_02.xlsx&amp;sheet=A0&amp;row=631&amp;col=10&amp;number=&amp;sourceID=34","")</f>
        <v/>
      </c>
      <c r="K631" s="4" t="str">
        <f>HYPERLINK("http://141.218.60.56/~jnz1568/getInfo.php?workbook=06_02.xlsx&amp;sheet=A0&amp;row=631&amp;col=11&amp;number=&amp;sourceID=30","")</f>
        <v/>
      </c>
      <c r="L631" s="4" t="str">
        <f>HYPERLINK("http://141.218.60.56/~jnz1568/getInfo.php?workbook=06_02.xlsx&amp;sheet=A0&amp;row=631&amp;col=12&amp;number=352800&amp;sourceID=30","352800")</f>
        <v>352800</v>
      </c>
      <c r="M631" s="4" t="str">
        <f>HYPERLINK("http://141.218.60.56/~jnz1568/getInfo.php?workbook=06_02.xlsx&amp;sheet=A0&amp;row=631&amp;col=13&amp;number=&amp;sourceID=30","")</f>
        <v/>
      </c>
      <c r="N631" s="4" t="str">
        <f>HYPERLINK("http://141.218.60.56/~jnz1568/getInfo.php?workbook=06_02.xlsx&amp;sheet=A0&amp;row=631&amp;col=14&amp;number=&amp;sourceID=30","")</f>
        <v/>
      </c>
      <c r="O631" s="4" t="str">
        <f>HYPERLINK("http://141.218.60.56/~jnz1568/getInfo.php?workbook=06_02.xlsx&amp;sheet=A0&amp;row=631&amp;col=15&amp;number=&amp;sourceID=32","")</f>
        <v/>
      </c>
      <c r="P631" s="4" t="str">
        <f>HYPERLINK("http://141.218.60.56/~jnz1568/getInfo.php?workbook=06_02.xlsx&amp;sheet=A0&amp;row=631&amp;col=16&amp;number=306600&amp;sourceID=32","306600")</f>
        <v>306600</v>
      </c>
      <c r="Q631" s="4" t="str">
        <f>HYPERLINK("http://141.218.60.56/~jnz1568/getInfo.php?workbook=06_02.xlsx&amp;sheet=A0&amp;row=631&amp;col=17&amp;number=&amp;sourceID=32","")</f>
        <v/>
      </c>
      <c r="R631" s="4" t="str">
        <f>HYPERLINK("http://141.218.60.56/~jnz1568/getInfo.php?workbook=06_02.xlsx&amp;sheet=A0&amp;row=631&amp;col=18&amp;number=&amp;sourceID=32","")</f>
        <v/>
      </c>
    </row>
    <row r="632" spans="1:18">
      <c r="A632" s="3">
        <v>6</v>
      </c>
      <c r="B632" s="3">
        <v>2</v>
      </c>
      <c r="C632" s="3">
        <v>40</v>
      </c>
      <c r="D632" s="3">
        <v>6</v>
      </c>
      <c r="E632" s="3">
        <f>((1/(INDEX(E0!J$4:J$52,C632,1)-INDEX(E0!J$4:J$52,D632,1))))*100000000</f>
        <v>0</v>
      </c>
      <c r="F632" s="4" t="str">
        <f>HYPERLINK("http://141.218.60.56/~jnz1568/getInfo.php?workbook=06_02.xlsx&amp;sheet=A0&amp;row=632&amp;col=6&amp;number=&amp;sourceID=27","")</f>
        <v/>
      </c>
      <c r="G632" s="4" t="str">
        <f>HYPERLINK("http://141.218.60.56/~jnz1568/getInfo.php?workbook=06_02.xlsx&amp;sheet=A0&amp;row=632&amp;col=7&amp;number=&amp;sourceID=34","")</f>
        <v/>
      </c>
      <c r="H632" s="4" t="str">
        <f>HYPERLINK("http://141.218.60.56/~jnz1568/getInfo.php?workbook=06_02.xlsx&amp;sheet=A0&amp;row=632&amp;col=8&amp;number=&amp;sourceID=34","")</f>
        <v/>
      </c>
      <c r="I632" s="4" t="str">
        <f>HYPERLINK("http://141.218.60.56/~jnz1568/getInfo.php?workbook=06_02.xlsx&amp;sheet=A0&amp;row=632&amp;col=9&amp;number=&amp;sourceID=34","")</f>
        <v/>
      </c>
      <c r="J632" s="4" t="str">
        <f>HYPERLINK("http://141.218.60.56/~jnz1568/getInfo.php?workbook=06_02.xlsx&amp;sheet=A0&amp;row=632&amp;col=10&amp;number=&amp;sourceID=34","")</f>
        <v/>
      </c>
      <c r="K632" s="4" t="str">
        <f>HYPERLINK("http://141.218.60.56/~jnz1568/getInfo.php?workbook=06_02.xlsx&amp;sheet=A0&amp;row=632&amp;col=11&amp;number=&amp;sourceID=30","")</f>
        <v/>
      </c>
      <c r="L632" s="4" t="str">
        <f>HYPERLINK("http://141.218.60.56/~jnz1568/getInfo.php?workbook=06_02.xlsx&amp;sheet=A0&amp;row=632&amp;col=12&amp;number=50500&amp;sourceID=30","50500")</f>
        <v>50500</v>
      </c>
      <c r="M632" s="4" t="str">
        <f>HYPERLINK("http://141.218.60.56/~jnz1568/getInfo.php?workbook=06_02.xlsx&amp;sheet=A0&amp;row=632&amp;col=13&amp;number=0.0001266&amp;sourceID=30","0.0001266")</f>
        <v>0.0001266</v>
      </c>
      <c r="N632" s="4" t="str">
        <f>HYPERLINK("http://141.218.60.56/~jnz1568/getInfo.php?workbook=06_02.xlsx&amp;sheet=A0&amp;row=632&amp;col=14&amp;number=&amp;sourceID=30","")</f>
        <v/>
      </c>
      <c r="O632" s="4" t="str">
        <f>HYPERLINK("http://141.218.60.56/~jnz1568/getInfo.php?workbook=06_02.xlsx&amp;sheet=A0&amp;row=632&amp;col=15&amp;number=&amp;sourceID=32","")</f>
        <v/>
      </c>
      <c r="P632" s="4" t="str">
        <f>HYPERLINK("http://141.218.60.56/~jnz1568/getInfo.php?workbook=06_02.xlsx&amp;sheet=A0&amp;row=632&amp;col=16&amp;number=43800&amp;sourceID=32","43800")</f>
        <v>43800</v>
      </c>
      <c r="Q632" s="4" t="str">
        <f>HYPERLINK("http://141.218.60.56/~jnz1568/getInfo.php?workbook=06_02.xlsx&amp;sheet=A0&amp;row=632&amp;col=17&amp;number=0.0001799&amp;sourceID=32","0.0001799")</f>
        <v>0.0001799</v>
      </c>
      <c r="R632" s="4" t="str">
        <f>HYPERLINK("http://141.218.60.56/~jnz1568/getInfo.php?workbook=06_02.xlsx&amp;sheet=A0&amp;row=632&amp;col=18&amp;number=&amp;sourceID=32","")</f>
        <v/>
      </c>
    </row>
    <row r="633" spans="1:18">
      <c r="A633" s="3">
        <v>6</v>
      </c>
      <c r="B633" s="3">
        <v>2</v>
      </c>
      <c r="C633" s="3">
        <v>40</v>
      </c>
      <c r="D633" s="3">
        <v>7</v>
      </c>
      <c r="E633" s="3">
        <f>((1/(INDEX(E0!J$4:J$52,C633,1)-INDEX(E0!J$4:J$52,D633,1))))*100000000</f>
        <v>0</v>
      </c>
      <c r="F633" s="4" t="str">
        <f>HYPERLINK("http://141.218.60.56/~jnz1568/getInfo.php?workbook=06_02.xlsx&amp;sheet=A0&amp;row=633&amp;col=6&amp;number=&amp;sourceID=27","")</f>
        <v/>
      </c>
      <c r="G633" s="4" t="str">
        <f>HYPERLINK("http://141.218.60.56/~jnz1568/getInfo.php?workbook=06_02.xlsx&amp;sheet=A0&amp;row=633&amp;col=7&amp;number=&amp;sourceID=34","")</f>
        <v/>
      </c>
      <c r="H633" s="4" t="str">
        <f>HYPERLINK("http://141.218.60.56/~jnz1568/getInfo.php?workbook=06_02.xlsx&amp;sheet=A0&amp;row=633&amp;col=8&amp;number=&amp;sourceID=34","")</f>
        <v/>
      </c>
      <c r="I633" s="4" t="str">
        <f>HYPERLINK("http://141.218.60.56/~jnz1568/getInfo.php?workbook=06_02.xlsx&amp;sheet=A0&amp;row=633&amp;col=9&amp;number=&amp;sourceID=34","")</f>
        <v/>
      </c>
      <c r="J633" s="4" t="str">
        <f>HYPERLINK("http://141.218.60.56/~jnz1568/getInfo.php?workbook=06_02.xlsx&amp;sheet=A0&amp;row=633&amp;col=10&amp;number=&amp;sourceID=34","")</f>
        <v/>
      </c>
      <c r="K633" s="4" t="str">
        <f>HYPERLINK("http://141.218.60.56/~jnz1568/getInfo.php?workbook=06_02.xlsx&amp;sheet=A0&amp;row=633&amp;col=11&amp;number=&amp;sourceID=30","")</f>
        <v/>
      </c>
      <c r="L633" s="4" t="str">
        <f>HYPERLINK("http://141.218.60.56/~jnz1568/getInfo.php?workbook=06_02.xlsx&amp;sheet=A0&amp;row=633&amp;col=12&amp;number=8.665&amp;sourceID=30","8.665")</f>
        <v>8.665</v>
      </c>
      <c r="M633" s="4" t="str">
        <f>HYPERLINK("http://141.218.60.56/~jnz1568/getInfo.php?workbook=06_02.xlsx&amp;sheet=A0&amp;row=633&amp;col=13&amp;number=0.0003905&amp;sourceID=30","0.0003905")</f>
        <v>0.0003905</v>
      </c>
      <c r="N633" s="4" t="str">
        <f>HYPERLINK("http://141.218.60.56/~jnz1568/getInfo.php?workbook=06_02.xlsx&amp;sheet=A0&amp;row=633&amp;col=14&amp;number=&amp;sourceID=30","")</f>
        <v/>
      </c>
      <c r="O633" s="4" t="str">
        <f>HYPERLINK("http://141.218.60.56/~jnz1568/getInfo.php?workbook=06_02.xlsx&amp;sheet=A0&amp;row=633&amp;col=15&amp;number=&amp;sourceID=32","")</f>
        <v/>
      </c>
      <c r="P633" s="4" t="str">
        <f>HYPERLINK("http://141.218.60.56/~jnz1568/getInfo.php?workbook=06_02.xlsx&amp;sheet=A0&amp;row=633&amp;col=16&amp;number=8.429&amp;sourceID=32","8.429")</f>
        <v>8.429</v>
      </c>
      <c r="Q633" s="4" t="str">
        <f>HYPERLINK("http://141.218.60.56/~jnz1568/getInfo.php?workbook=06_02.xlsx&amp;sheet=A0&amp;row=633&amp;col=17&amp;number=0.0003473&amp;sourceID=32","0.0003473")</f>
        <v>0.0003473</v>
      </c>
      <c r="R633" s="4" t="str">
        <f>HYPERLINK("http://141.218.60.56/~jnz1568/getInfo.php?workbook=06_02.xlsx&amp;sheet=A0&amp;row=633&amp;col=18&amp;number=&amp;sourceID=32","")</f>
        <v/>
      </c>
    </row>
    <row r="634" spans="1:18">
      <c r="A634" s="3">
        <v>6</v>
      </c>
      <c r="B634" s="3">
        <v>2</v>
      </c>
      <c r="C634" s="3">
        <v>40</v>
      </c>
      <c r="D634" s="3">
        <v>8</v>
      </c>
      <c r="E634" s="3">
        <f>((1/(INDEX(E0!J$4:J$52,C634,1)-INDEX(E0!J$4:J$52,D634,1))))*100000000</f>
        <v>0</v>
      </c>
      <c r="F634" s="4" t="str">
        <f>HYPERLINK("http://141.218.60.56/~jnz1568/getInfo.php?workbook=06_02.xlsx&amp;sheet=A0&amp;row=634&amp;col=6&amp;number=&amp;sourceID=27","")</f>
        <v/>
      </c>
      <c r="G634" s="4" t="str">
        <f>HYPERLINK("http://141.218.60.56/~jnz1568/getInfo.php?workbook=06_02.xlsx&amp;sheet=A0&amp;row=634&amp;col=7&amp;number=&amp;sourceID=34","")</f>
        <v/>
      </c>
      <c r="H634" s="4" t="str">
        <f>HYPERLINK("http://141.218.60.56/~jnz1568/getInfo.php?workbook=06_02.xlsx&amp;sheet=A0&amp;row=634&amp;col=8&amp;number=&amp;sourceID=34","")</f>
        <v/>
      </c>
      <c r="I634" s="4" t="str">
        <f>HYPERLINK("http://141.218.60.56/~jnz1568/getInfo.php?workbook=06_02.xlsx&amp;sheet=A0&amp;row=634&amp;col=9&amp;number=&amp;sourceID=34","")</f>
        <v/>
      </c>
      <c r="J634" s="4" t="str">
        <f>HYPERLINK("http://141.218.60.56/~jnz1568/getInfo.php?workbook=06_02.xlsx&amp;sheet=A0&amp;row=634&amp;col=10&amp;number=&amp;sourceID=34","")</f>
        <v/>
      </c>
      <c r="K634" s="4" t="str">
        <f>HYPERLINK("http://141.218.60.56/~jnz1568/getInfo.php?workbook=06_02.xlsx&amp;sheet=A0&amp;row=634&amp;col=11&amp;number=9.976&amp;sourceID=30","9.976")</f>
        <v>9.976</v>
      </c>
      <c r="L634" s="4" t="str">
        <f>HYPERLINK("http://141.218.60.56/~jnz1568/getInfo.php?workbook=06_02.xlsx&amp;sheet=A0&amp;row=634&amp;col=12&amp;number=&amp;sourceID=30","")</f>
        <v/>
      </c>
      <c r="M634" s="4" t="str">
        <f>HYPERLINK("http://141.218.60.56/~jnz1568/getInfo.php?workbook=06_02.xlsx&amp;sheet=A0&amp;row=634&amp;col=13&amp;number=&amp;sourceID=30","")</f>
        <v/>
      </c>
      <c r="N634" s="4" t="str">
        <f>HYPERLINK("http://141.218.60.56/~jnz1568/getInfo.php?workbook=06_02.xlsx&amp;sheet=A0&amp;row=634&amp;col=14&amp;number=1.023e-09&amp;sourceID=30","1.023e-09")</f>
        <v>1.023e-09</v>
      </c>
      <c r="O634" s="4" t="str">
        <f>HYPERLINK("http://141.218.60.56/~jnz1568/getInfo.php?workbook=06_02.xlsx&amp;sheet=A0&amp;row=634&amp;col=15&amp;number=12.41&amp;sourceID=32","12.41")</f>
        <v>12.41</v>
      </c>
      <c r="P634" s="4" t="str">
        <f>HYPERLINK("http://141.218.60.56/~jnz1568/getInfo.php?workbook=06_02.xlsx&amp;sheet=A0&amp;row=634&amp;col=16&amp;number=&amp;sourceID=32","")</f>
        <v/>
      </c>
      <c r="Q634" s="4" t="str">
        <f>HYPERLINK("http://141.218.60.56/~jnz1568/getInfo.php?workbook=06_02.xlsx&amp;sheet=A0&amp;row=634&amp;col=17&amp;number=&amp;sourceID=32","")</f>
        <v/>
      </c>
      <c r="R634" s="4" t="str">
        <f>HYPERLINK("http://141.218.60.56/~jnz1568/getInfo.php?workbook=06_02.xlsx&amp;sheet=A0&amp;row=634&amp;col=18&amp;number=1.355e-09&amp;sourceID=32","1.355e-09")</f>
        <v>1.355e-09</v>
      </c>
    </row>
    <row r="635" spans="1:18">
      <c r="A635" s="3">
        <v>6</v>
      </c>
      <c r="B635" s="3">
        <v>2</v>
      </c>
      <c r="C635" s="3">
        <v>40</v>
      </c>
      <c r="D635" s="3">
        <v>9</v>
      </c>
      <c r="E635" s="3">
        <f>((1/(INDEX(E0!J$4:J$52,C635,1)-INDEX(E0!J$4:J$52,D635,1))))*100000000</f>
        <v>0</v>
      </c>
      <c r="F635" s="4" t="str">
        <f>HYPERLINK("http://141.218.60.56/~jnz1568/getInfo.php?workbook=06_02.xlsx&amp;sheet=A0&amp;row=635&amp;col=6&amp;number=&amp;sourceID=27","")</f>
        <v/>
      </c>
      <c r="G635" s="4" t="str">
        <f>HYPERLINK("http://141.218.60.56/~jnz1568/getInfo.php?workbook=06_02.xlsx&amp;sheet=A0&amp;row=635&amp;col=7&amp;number=&amp;sourceID=34","")</f>
        <v/>
      </c>
      <c r="H635" s="4" t="str">
        <f>HYPERLINK("http://141.218.60.56/~jnz1568/getInfo.php?workbook=06_02.xlsx&amp;sheet=A0&amp;row=635&amp;col=8&amp;number=&amp;sourceID=34","")</f>
        <v/>
      </c>
      <c r="I635" s="4" t="str">
        <f>HYPERLINK("http://141.218.60.56/~jnz1568/getInfo.php?workbook=06_02.xlsx&amp;sheet=A0&amp;row=635&amp;col=9&amp;number=&amp;sourceID=34","")</f>
        <v/>
      </c>
      <c r="J635" s="4" t="str">
        <f>HYPERLINK("http://141.218.60.56/~jnz1568/getInfo.php?workbook=06_02.xlsx&amp;sheet=A0&amp;row=635&amp;col=10&amp;number=&amp;sourceID=34","")</f>
        <v/>
      </c>
      <c r="K635" s="4" t="str">
        <f>HYPERLINK("http://141.218.60.56/~jnz1568/getInfo.php?workbook=06_02.xlsx&amp;sheet=A0&amp;row=635&amp;col=11&amp;number=&amp;sourceID=30","")</f>
        <v/>
      </c>
      <c r="L635" s="4" t="str">
        <f>HYPERLINK("http://141.218.60.56/~jnz1568/getInfo.php?workbook=06_02.xlsx&amp;sheet=A0&amp;row=635&amp;col=12&amp;number=&amp;sourceID=30","")</f>
        <v/>
      </c>
      <c r="M635" s="4" t="str">
        <f>HYPERLINK("http://141.218.60.56/~jnz1568/getInfo.php?workbook=06_02.xlsx&amp;sheet=A0&amp;row=635&amp;col=13&amp;number=&amp;sourceID=30","")</f>
        <v/>
      </c>
      <c r="N635" s="4" t="str">
        <f>HYPERLINK("http://141.218.60.56/~jnz1568/getInfo.php?workbook=06_02.xlsx&amp;sheet=A0&amp;row=635&amp;col=14&amp;number=1.113e-10&amp;sourceID=30","1.113e-10")</f>
        <v>1.113e-10</v>
      </c>
      <c r="O635" s="4" t="str">
        <f>HYPERLINK("http://141.218.60.56/~jnz1568/getInfo.php?workbook=06_02.xlsx&amp;sheet=A0&amp;row=635&amp;col=15&amp;number=&amp;sourceID=32","")</f>
        <v/>
      </c>
      <c r="P635" s="4" t="str">
        <f>HYPERLINK("http://141.218.60.56/~jnz1568/getInfo.php?workbook=06_02.xlsx&amp;sheet=A0&amp;row=635&amp;col=16&amp;number=&amp;sourceID=32","")</f>
        <v/>
      </c>
      <c r="Q635" s="4" t="str">
        <f>HYPERLINK("http://141.218.60.56/~jnz1568/getInfo.php?workbook=06_02.xlsx&amp;sheet=A0&amp;row=635&amp;col=17&amp;number=&amp;sourceID=32","")</f>
        <v/>
      </c>
      <c r="R635" s="4" t="str">
        <f>HYPERLINK("http://141.218.60.56/~jnz1568/getInfo.php?workbook=06_02.xlsx&amp;sheet=A0&amp;row=635&amp;col=18&amp;number=2.252e-10&amp;sourceID=32","2.252e-10")</f>
        <v>2.252e-10</v>
      </c>
    </row>
    <row r="636" spans="1:18">
      <c r="A636" s="3">
        <v>6</v>
      </c>
      <c r="B636" s="3">
        <v>2</v>
      </c>
      <c r="C636" s="3">
        <v>40</v>
      </c>
      <c r="D636" s="3">
        <v>10</v>
      </c>
      <c r="E636" s="3">
        <f>((1/(INDEX(E0!J$4:J$52,C636,1)-INDEX(E0!J$4:J$52,D636,1))))*100000000</f>
        <v>0</v>
      </c>
      <c r="F636" s="4" t="str">
        <f>HYPERLINK("http://141.218.60.56/~jnz1568/getInfo.php?workbook=06_02.xlsx&amp;sheet=A0&amp;row=636&amp;col=6&amp;number=&amp;sourceID=27","")</f>
        <v/>
      </c>
      <c r="G636" s="4" t="str">
        <f>HYPERLINK("http://141.218.60.56/~jnz1568/getInfo.php?workbook=06_02.xlsx&amp;sheet=A0&amp;row=636&amp;col=7&amp;number=&amp;sourceID=34","")</f>
        <v/>
      </c>
      <c r="H636" s="4" t="str">
        <f>HYPERLINK("http://141.218.60.56/~jnz1568/getInfo.php?workbook=06_02.xlsx&amp;sheet=A0&amp;row=636&amp;col=8&amp;number=&amp;sourceID=34","")</f>
        <v/>
      </c>
      <c r="I636" s="4" t="str">
        <f>HYPERLINK("http://141.218.60.56/~jnz1568/getInfo.php?workbook=06_02.xlsx&amp;sheet=A0&amp;row=636&amp;col=9&amp;number=&amp;sourceID=34","")</f>
        <v/>
      </c>
      <c r="J636" s="4" t="str">
        <f>HYPERLINK("http://141.218.60.56/~jnz1568/getInfo.php?workbook=06_02.xlsx&amp;sheet=A0&amp;row=636&amp;col=10&amp;number=&amp;sourceID=34","")</f>
        <v/>
      </c>
      <c r="K636" s="4" t="str">
        <f>HYPERLINK("http://141.218.60.56/~jnz1568/getInfo.php?workbook=06_02.xlsx&amp;sheet=A0&amp;row=636&amp;col=11&amp;number=&amp;sourceID=30","")</f>
        <v/>
      </c>
      <c r="L636" s="4" t="str">
        <f>HYPERLINK("http://141.218.60.56/~jnz1568/getInfo.php?workbook=06_02.xlsx&amp;sheet=A0&amp;row=636&amp;col=12&amp;number=594.7&amp;sourceID=30","594.7")</f>
        <v>594.7</v>
      </c>
      <c r="M636" s="4" t="str">
        <f>HYPERLINK("http://141.218.60.56/~jnz1568/getInfo.php?workbook=06_02.xlsx&amp;sheet=A0&amp;row=636&amp;col=13&amp;number=3.433e-06&amp;sourceID=30","3.433e-06")</f>
        <v>3.433e-06</v>
      </c>
      <c r="N636" s="4" t="str">
        <f>HYPERLINK("http://141.218.60.56/~jnz1568/getInfo.php?workbook=06_02.xlsx&amp;sheet=A0&amp;row=636&amp;col=14&amp;number=&amp;sourceID=30","")</f>
        <v/>
      </c>
      <c r="O636" s="4" t="str">
        <f>HYPERLINK("http://141.218.60.56/~jnz1568/getInfo.php?workbook=06_02.xlsx&amp;sheet=A0&amp;row=636&amp;col=15&amp;number=&amp;sourceID=32","")</f>
        <v/>
      </c>
      <c r="P636" s="4" t="str">
        <f>HYPERLINK("http://141.218.60.56/~jnz1568/getInfo.php?workbook=06_02.xlsx&amp;sheet=A0&amp;row=636&amp;col=16&amp;number=828.5&amp;sourceID=32","828.5")</f>
        <v>828.5</v>
      </c>
      <c r="Q636" s="4" t="str">
        <f>HYPERLINK("http://141.218.60.56/~jnz1568/getInfo.php?workbook=06_02.xlsx&amp;sheet=A0&amp;row=636&amp;col=17&amp;number=5.924e-06&amp;sourceID=32","5.924e-06")</f>
        <v>5.924e-06</v>
      </c>
      <c r="R636" s="4" t="str">
        <f>HYPERLINK("http://141.218.60.56/~jnz1568/getInfo.php?workbook=06_02.xlsx&amp;sheet=A0&amp;row=636&amp;col=18&amp;number=&amp;sourceID=32","")</f>
        <v/>
      </c>
    </row>
    <row r="637" spans="1:18">
      <c r="A637" s="3">
        <v>6</v>
      </c>
      <c r="B637" s="3">
        <v>2</v>
      </c>
      <c r="C637" s="3">
        <v>40</v>
      </c>
      <c r="D637" s="3">
        <v>11</v>
      </c>
      <c r="E637" s="3">
        <f>((1/(INDEX(E0!J$4:J$52,C637,1)-INDEX(E0!J$4:J$52,D637,1))))*100000000</f>
        <v>0</v>
      </c>
      <c r="F637" s="4" t="str">
        <f>HYPERLINK("http://141.218.60.56/~jnz1568/getInfo.php?workbook=06_02.xlsx&amp;sheet=A0&amp;row=637&amp;col=6&amp;number=&amp;sourceID=27","")</f>
        <v/>
      </c>
      <c r="G637" s="4" t="str">
        <f>HYPERLINK("http://141.218.60.56/~jnz1568/getInfo.php?workbook=06_02.xlsx&amp;sheet=A0&amp;row=637&amp;col=7&amp;number=&amp;sourceID=34","")</f>
        <v/>
      </c>
      <c r="H637" s="4" t="str">
        <f>HYPERLINK("http://141.218.60.56/~jnz1568/getInfo.php?workbook=06_02.xlsx&amp;sheet=A0&amp;row=637&amp;col=8&amp;number=&amp;sourceID=34","")</f>
        <v/>
      </c>
      <c r="I637" s="4" t="str">
        <f>HYPERLINK("http://141.218.60.56/~jnz1568/getInfo.php?workbook=06_02.xlsx&amp;sheet=A0&amp;row=637&amp;col=9&amp;number=&amp;sourceID=34","")</f>
        <v/>
      </c>
      <c r="J637" s="4" t="str">
        <f>HYPERLINK("http://141.218.60.56/~jnz1568/getInfo.php?workbook=06_02.xlsx&amp;sheet=A0&amp;row=637&amp;col=10&amp;number=&amp;sourceID=34","")</f>
        <v/>
      </c>
      <c r="K637" s="4" t="str">
        <f>HYPERLINK("http://141.218.60.56/~jnz1568/getInfo.php?workbook=06_02.xlsx&amp;sheet=A0&amp;row=637&amp;col=11&amp;number=&amp;sourceID=30","")</f>
        <v/>
      </c>
      <c r="L637" s="4" t="str">
        <f>HYPERLINK("http://141.218.60.56/~jnz1568/getInfo.php?workbook=06_02.xlsx&amp;sheet=A0&amp;row=637&amp;col=12&amp;number=596.7&amp;sourceID=30","596.7")</f>
        <v>596.7</v>
      </c>
      <c r="M637" s="4" t="str">
        <f>HYPERLINK("http://141.218.60.56/~jnz1568/getInfo.php?workbook=06_02.xlsx&amp;sheet=A0&amp;row=637&amp;col=13&amp;number=&amp;sourceID=30","")</f>
        <v/>
      </c>
      <c r="N637" s="4" t="str">
        <f>HYPERLINK("http://141.218.60.56/~jnz1568/getInfo.php?workbook=06_02.xlsx&amp;sheet=A0&amp;row=637&amp;col=14&amp;number=&amp;sourceID=30","")</f>
        <v/>
      </c>
      <c r="O637" s="4" t="str">
        <f>HYPERLINK("http://141.218.60.56/~jnz1568/getInfo.php?workbook=06_02.xlsx&amp;sheet=A0&amp;row=637&amp;col=15&amp;number=&amp;sourceID=32","")</f>
        <v/>
      </c>
      <c r="P637" s="4" t="str">
        <f>HYPERLINK("http://141.218.60.56/~jnz1568/getInfo.php?workbook=06_02.xlsx&amp;sheet=A0&amp;row=637&amp;col=16&amp;number=828.1&amp;sourceID=32","828.1")</f>
        <v>828.1</v>
      </c>
      <c r="Q637" s="4" t="str">
        <f>HYPERLINK("http://141.218.60.56/~jnz1568/getInfo.php?workbook=06_02.xlsx&amp;sheet=A0&amp;row=637&amp;col=17&amp;number=&amp;sourceID=32","")</f>
        <v/>
      </c>
      <c r="R637" s="4" t="str">
        <f>HYPERLINK("http://141.218.60.56/~jnz1568/getInfo.php?workbook=06_02.xlsx&amp;sheet=A0&amp;row=637&amp;col=18&amp;number=&amp;sourceID=32","")</f>
        <v/>
      </c>
    </row>
    <row r="638" spans="1:18">
      <c r="A638" s="3">
        <v>6</v>
      </c>
      <c r="B638" s="3">
        <v>2</v>
      </c>
      <c r="C638" s="3">
        <v>40</v>
      </c>
      <c r="D638" s="3">
        <v>12</v>
      </c>
      <c r="E638" s="3">
        <f>((1/(INDEX(E0!J$4:J$52,C638,1)-INDEX(E0!J$4:J$52,D638,1))))*100000000</f>
        <v>0</v>
      </c>
      <c r="F638" s="4" t="str">
        <f>HYPERLINK("http://141.218.60.56/~jnz1568/getInfo.php?workbook=06_02.xlsx&amp;sheet=A0&amp;row=638&amp;col=6&amp;number=&amp;sourceID=27","")</f>
        <v/>
      </c>
      <c r="G638" s="4" t="str">
        <f>HYPERLINK("http://141.218.60.56/~jnz1568/getInfo.php?workbook=06_02.xlsx&amp;sheet=A0&amp;row=638&amp;col=7&amp;number=&amp;sourceID=34","")</f>
        <v/>
      </c>
      <c r="H638" s="4" t="str">
        <f>HYPERLINK("http://141.218.60.56/~jnz1568/getInfo.php?workbook=06_02.xlsx&amp;sheet=A0&amp;row=638&amp;col=8&amp;number=&amp;sourceID=34","")</f>
        <v/>
      </c>
      <c r="I638" s="4" t="str">
        <f>HYPERLINK("http://141.218.60.56/~jnz1568/getInfo.php?workbook=06_02.xlsx&amp;sheet=A0&amp;row=638&amp;col=9&amp;number=&amp;sourceID=34","")</f>
        <v/>
      </c>
      <c r="J638" s="4" t="str">
        <f>HYPERLINK("http://141.218.60.56/~jnz1568/getInfo.php?workbook=06_02.xlsx&amp;sheet=A0&amp;row=638&amp;col=10&amp;number=&amp;sourceID=34","")</f>
        <v/>
      </c>
      <c r="K638" s="4" t="str">
        <f>HYPERLINK("http://141.218.60.56/~jnz1568/getInfo.php?workbook=06_02.xlsx&amp;sheet=A0&amp;row=638&amp;col=11&amp;number=&amp;sourceID=30","")</f>
        <v/>
      </c>
      <c r="L638" s="4" t="str">
        <f>HYPERLINK("http://141.218.60.56/~jnz1568/getInfo.php?workbook=06_02.xlsx&amp;sheet=A0&amp;row=638&amp;col=12&amp;number=84.08&amp;sourceID=30","84.08")</f>
        <v>84.08</v>
      </c>
      <c r="M638" s="4" t="str">
        <f>HYPERLINK("http://141.218.60.56/~jnz1568/getInfo.php?workbook=06_02.xlsx&amp;sheet=A0&amp;row=638&amp;col=13&amp;number=2.702e-06&amp;sourceID=30","2.702e-06")</f>
        <v>2.702e-06</v>
      </c>
      <c r="N638" s="4" t="str">
        <f>HYPERLINK("http://141.218.60.56/~jnz1568/getInfo.php?workbook=06_02.xlsx&amp;sheet=A0&amp;row=638&amp;col=14&amp;number=&amp;sourceID=30","")</f>
        <v/>
      </c>
      <c r="O638" s="4" t="str">
        <f>HYPERLINK("http://141.218.60.56/~jnz1568/getInfo.php?workbook=06_02.xlsx&amp;sheet=A0&amp;row=638&amp;col=15&amp;number=&amp;sourceID=32","")</f>
        <v/>
      </c>
      <c r="P638" s="4" t="str">
        <f>HYPERLINK("http://141.218.60.56/~jnz1568/getInfo.php?workbook=06_02.xlsx&amp;sheet=A0&amp;row=638&amp;col=16&amp;number=117.5&amp;sourceID=32","117.5")</f>
        <v>117.5</v>
      </c>
      <c r="Q638" s="4" t="str">
        <f>HYPERLINK("http://141.218.60.56/~jnz1568/getInfo.php?workbook=06_02.xlsx&amp;sheet=A0&amp;row=638&amp;col=17&amp;number=3.999e-06&amp;sourceID=32","3.999e-06")</f>
        <v>3.999e-06</v>
      </c>
      <c r="R638" s="4" t="str">
        <f>HYPERLINK("http://141.218.60.56/~jnz1568/getInfo.php?workbook=06_02.xlsx&amp;sheet=A0&amp;row=638&amp;col=18&amp;number=&amp;sourceID=32","")</f>
        <v/>
      </c>
    </row>
    <row r="639" spans="1:18">
      <c r="A639" s="3">
        <v>6</v>
      </c>
      <c r="B639" s="3">
        <v>2</v>
      </c>
      <c r="C639" s="3">
        <v>40</v>
      </c>
      <c r="D639" s="3">
        <v>13</v>
      </c>
      <c r="E639" s="3">
        <f>((1/(INDEX(E0!J$4:J$52,C639,1)-INDEX(E0!J$4:J$52,D639,1))))*100000000</f>
        <v>0</v>
      </c>
      <c r="F639" s="4" t="str">
        <f>HYPERLINK("http://141.218.60.56/~jnz1568/getInfo.php?workbook=06_02.xlsx&amp;sheet=A0&amp;row=639&amp;col=6&amp;number=&amp;sourceID=27","")</f>
        <v/>
      </c>
      <c r="G639" s="4" t="str">
        <f>HYPERLINK("http://141.218.60.56/~jnz1568/getInfo.php?workbook=06_02.xlsx&amp;sheet=A0&amp;row=639&amp;col=7&amp;number=&amp;sourceID=34","")</f>
        <v/>
      </c>
      <c r="H639" s="4" t="str">
        <f>HYPERLINK("http://141.218.60.56/~jnz1568/getInfo.php?workbook=06_02.xlsx&amp;sheet=A0&amp;row=639&amp;col=8&amp;number=&amp;sourceID=34","")</f>
        <v/>
      </c>
      <c r="I639" s="4" t="str">
        <f>HYPERLINK("http://141.218.60.56/~jnz1568/getInfo.php?workbook=06_02.xlsx&amp;sheet=A0&amp;row=639&amp;col=9&amp;number=&amp;sourceID=34","")</f>
        <v/>
      </c>
      <c r="J639" s="4" t="str">
        <f>HYPERLINK("http://141.218.60.56/~jnz1568/getInfo.php?workbook=06_02.xlsx&amp;sheet=A0&amp;row=639&amp;col=10&amp;number=&amp;sourceID=34","")</f>
        <v/>
      </c>
      <c r="K639" s="4" t="str">
        <f>HYPERLINK("http://141.218.60.56/~jnz1568/getInfo.php?workbook=06_02.xlsx&amp;sheet=A0&amp;row=639&amp;col=11&amp;number=2393000000&amp;sourceID=30","2393000000")</f>
        <v>2393000000</v>
      </c>
      <c r="L639" s="4" t="str">
        <f>HYPERLINK("http://141.218.60.56/~jnz1568/getInfo.php?workbook=06_02.xlsx&amp;sheet=A0&amp;row=639&amp;col=12&amp;number=&amp;sourceID=30","")</f>
        <v/>
      </c>
      <c r="M639" s="4" t="str">
        <f>HYPERLINK("http://141.218.60.56/~jnz1568/getInfo.php?workbook=06_02.xlsx&amp;sheet=A0&amp;row=639&amp;col=13&amp;number=&amp;sourceID=30","")</f>
        <v/>
      </c>
      <c r="N639" s="4" t="str">
        <f>HYPERLINK("http://141.218.60.56/~jnz1568/getInfo.php?workbook=06_02.xlsx&amp;sheet=A0&amp;row=639&amp;col=14&amp;number=0.1865&amp;sourceID=30","0.1865")</f>
        <v>0.1865</v>
      </c>
      <c r="O639" s="4" t="str">
        <f>HYPERLINK("http://141.218.60.56/~jnz1568/getInfo.php?workbook=06_02.xlsx&amp;sheet=A0&amp;row=639&amp;col=15&amp;number=2395000000&amp;sourceID=32","2395000000")</f>
        <v>2395000000</v>
      </c>
      <c r="P639" s="4" t="str">
        <f>HYPERLINK("http://141.218.60.56/~jnz1568/getInfo.php?workbook=06_02.xlsx&amp;sheet=A0&amp;row=639&amp;col=16&amp;number=&amp;sourceID=32","")</f>
        <v/>
      </c>
      <c r="Q639" s="4" t="str">
        <f>HYPERLINK("http://141.218.60.56/~jnz1568/getInfo.php?workbook=06_02.xlsx&amp;sheet=A0&amp;row=639&amp;col=17&amp;number=&amp;sourceID=32","")</f>
        <v/>
      </c>
      <c r="R639" s="4" t="str">
        <f>HYPERLINK("http://141.218.60.56/~jnz1568/getInfo.php?workbook=06_02.xlsx&amp;sheet=A0&amp;row=639&amp;col=18&amp;number=0.1871&amp;sourceID=32","0.1871")</f>
        <v>0.1871</v>
      </c>
    </row>
    <row r="640" spans="1:18">
      <c r="A640" s="3">
        <v>6</v>
      </c>
      <c r="B640" s="3">
        <v>2</v>
      </c>
      <c r="C640" s="3">
        <v>40</v>
      </c>
      <c r="D640" s="3">
        <v>14</v>
      </c>
      <c r="E640" s="3">
        <f>((1/(INDEX(E0!J$4:J$52,C640,1)-INDEX(E0!J$4:J$52,D640,1))))*100000000</f>
        <v>0</v>
      </c>
      <c r="F640" s="4" t="str">
        <f>HYPERLINK("http://141.218.60.56/~jnz1568/getInfo.php?workbook=06_02.xlsx&amp;sheet=A0&amp;row=640&amp;col=6&amp;number=&amp;sourceID=27","")</f>
        <v/>
      </c>
      <c r="G640" s="4" t="str">
        <f>HYPERLINK("http://141.218.60.56/~jnz1568/getInfo.php?workbook=06_02.xlsx&amp;sheet=A0&amp;row=640&amp;col=7&amp;number=&amp;sourceID=34","")</f>
        <v/>
      </c>
      <c r="H640" s="4" t="str">
        <f>HYPERLINK("http://141.218.60.56/~jnz1568/getInfo.php?workbook=06_02.xlsx&amp;sheet=A0&amp;row=640&amp;col=8&amp;number=&amp;sourceID=34","")</f>
        <v/>
      </c>
      <c r="I640" s="4" t="str">
        <f>HYPERLINK("http://141.218.60.56/~jnz1568/getInfo.php?workbook=06_02.xlsx&amp;sheet=A0&amp;row=640&amp;col=9&amp;number=&amp;sourceID=34","")</f>
        <v/>
      </c>
      <c r="J640" s="4" t="str">
        <f>HYPERLINK("http://141.218.60.56/~jnz1568/getInfo.php?workbook=06_02.xlsx&amp;sheet=A0&amp;row=640&amp;col=10&amp;number=&amp;sourceID=34","")</f>
        <v/>
      </c>
      <c r="K640" s="4" t="str">
        <f>HYPERLINK("http://141.218.60.56/~jnz1568/getInfo.php?workbook=06_02.xlsx&amp;sheet=A0&amp;row=640&amp;col=11&amp;number=441700000&amp;sourceID=30","441700000")</f>
        <v>441700000</v>
      </c>
      <c r="L640" s="4" t="str">
        <f>HYPERLINK("http://141.218.60.56/~jnz1568/getInfo.php?workbook=06_02.xlsx&amp;sheet=A0&amp;row=640&amp;col=12&amp;number=&amp;sourceID=30","")</f>
        <v/>
      </c>
      <c r="M640" s="4" t="str">
        <f>HYPERLINK("http://141.218.60.56/~jnz1568/getInfo.php?workbook=06_02.xlsx&amp;sheet=A0&amp;row=640&amp;col=13&amp;number=&amp;sourceID=30","")</f>
        <v/>
      </c>
      <c r="N640" s="4" t="str">
        <f>HYPERLINK("http://141.218.60.56/~jnz1568/getInfo.php?workbook=06_02.xlsx&amp;sheet=A0&amp;row=640&amp;col=14&amp;number=0.05229&amp;sourceID=30","0.05229")</f>
        <v>0.05229</v>
      </c>
      <c r="O640" s="4" t="str">
        <f>HYPERLINK("http://141.218.60.56/~jnz1568/getInfo.php?workbook=06_02.xlsx&amp;sheet=A0&amp;row=640&amp;col=15&amp;number=441500000&amp;sourceID=32","441500000")</f>
        <v>441500000</v>
      </c>
      <c r="P640" s="4" t="str">
        <f>HYPERLINK("http://141.218.60.56/~jnz1568/getInfo.php?workbook=06_02.xlsx&amp;sheet=A0&amp;row=640&amp;col=16&amp;number=&amp;sourceID=32","")</f>
        <v/>
      </c>
      <c r="Q640" s="4" t="str">
        <f>HYPERLINK("http://141.218.60.56/~jnz1568/getInfo.php?workbook=06_02.xlsx&amp;sheet=A0&amp;row=640&amp;col=17&amp;number=&amp;sourceID=32","")</f>
        <v/>
      </c>
      <c r="R640" s="4" t="str">
        <f>HYPERLINK("http://141.218.60.56/~jnz1568/getInfo.php?workbook=06_02.xlsx&amp;sheet=A0&amp;row=640&amp;col=18&amp;number=0.05323&amp;sourceID=32","0.05323")</f>
        <v>0.05323</v>
      </c>
    </row>
    <row r="641" spans="1:18">
      <c r="A641" s="3">
        <v>6</v>
      </c>
      <c r="B641" s="3">
        <v>2</v>
      </c>
      <c r="C641" s="3">
        <v>40</v>
      </c>
      <c r="D641" s="3">
        <v>15</v>
      </c>
      <c r="E641" s="3">
        <f>((1/(INDEX(E0!J$4:J$52,C641,1)-INDEX(E0!J$4:J$52,D641,1))))*100000000</f>
        <v>0</v>
      </c>
      <c r="F641" s="4" t="str">
        <f>HYPERLINK("http://141.218.60.56/~jnz1568/getInfo.php?workbook=06_02.xlsx&amp;sheet=A0&amp;row=641&amp;col=6&amp;number=&amp;sourceID=27","")</f>
        <v/>
      </c>
      <c r="G641" s="4" t="str">
        <f>HYPERLINK("http://141.218.60.56/~jnz1568/getInfo.php?workbook=06_02.xlsx&amp;sheet=A0&amp;row=641&amp;col=7&amp;number=&amp;sourceID=34","")</f>
        <v/>
      </c>
      <c r="H641" s="4" t="str">
        <f>HYPERLINK("http://141.218.60.56/~jnz1568/getInfo.php?workbook=06_02.xlsx&amp;sheet=A0&amp;row=641&amp;col=8&amp;number=&amp;sourceID=34","")</f>
        <v/>
      </c>
      <c r="I641" s="4" t="str">
        <f>HYPERLINK("http://141.218.60.56/~jnz1568/getInfo.php?workbook=06_02.xlsx&amp;sheet=A0&amp;row=641&amp;col=9&amp;number=&amp;sourceID=34","")</f>
        <v/>
      </c>
      <c r="J641" s="4" t="str">
        <f>HYPERLINK("http://141.218.60.56/~jnz1568/getInfo.php?workbook=06_02.xlsx&amp;sheet=A0&amp;row=641&amp;col=10&amp;number=&amp;sourceID=34","")</f>
        <v/>
      </c>
      <c r="K641" s="4" t="str">
        <f>HYPERLINK("http://141.218.60.56/~jnz1568/getInfo.php?workbook=06_02.xlsx&amp;sheet=A0&amp;row=641&amp;col=11&amp;number=12660000&amp;sourceID=30","12660000")</f>
        <v>12660000</v>
      </c>
      <c r="L641" s="4" t="str">
        <f>HYPERLINK("http://141.218.60.56/~jnz1568/getInfo.php?workbook=06_02.xlsx&amp;sheet=A0&amp;row=641&amp;col=12&amp;number=&amp;sourceID=30","")</f>
        <v/>
      </c>
      <c r="M641" s="4" t="str">
        <f>HYPERLINK("http://141.218.60.56/~jnz1568/getInfo.php?workbook=06_02.xlsx&amp;sheet=A0&amp;row=641&amp;col=13&amp;number=&amp;sourceID=30","")</f>
        <v/>
      </c>
      <c r="N641" s="4" t="str">
        <f>HYPERLINK("http://141.218.60.56/~jnz1568/getInfo.php?workbook=06_02.xlsx&amp;sheet=A0&amp;row=641&amp;col=14&amp;number=2.709e-11&amp;sourceID=30","2.709e-11")</f>
        <v>2.709e-11</v>
      </c>
      <c r="O641" s="4" t="str">
        <f>HYPERLINK("http://141.218.60.56/~jnz1568/getInfo.php?workbook=06_02.xlsx&amp;sheet=A0&amp;row=641&amp;col=15&amp;number=12670000&amp;sourceID=32","12670000")</f>
        <v>12670000</v>
      </c>
      <c r="P641" s="4" t="str">
        <f>HYPERLINK("http://141.218.60.56/~jnz1568/getInfo.php?workbook=06_02.xlsx&amp;sheet=A0&amp;row=641&amp;col=16&amp;number=&amp;sourceID=32","")</f>
        <v/>
      </c>
      <c r="Q641" s="4" t="str">
        <f>HYPERLINK("http://141.218.60.56/~jnz1568/getInfo.php?workbook=06_02.xlsx&amp;sheet=A0&amp;row=641&amp;col=17&amp;number=&amp;sourceID=32","")</f>
        <v/>
      </c>
      <c r="R641" s="4" t="str">
        <f>HYPERLINK("http://141.218.60.56/~jnz1568/getInfo.php?workbook=06_02.xlsx&amp;sheet=A0&amp;row=641&amp;col=18&amp;number=9.174e-09&amp;sourceID=32","9.174e-09")</f>
        <v>9.174e-09</v>
      </c>
    </row>
    <row r="642" spans="1:18">
      <c r="A642" s="3">
        <v>6</v>
      </c>
      <c r="B642" s="3">
        <v>2</v>
      </c>
      <c r="C642" s="3">
        <v>40</v>
      </c>
      <c r="D642" s="3">
        <v>16</v>
      </c>
      <c r="E642" s="3">
        <f>((1/(INDEX(E0!J$4:J$52,C642,1)-INDEX(E0!J$4:J$52,D642,1))))*100000000</f>
        <v>0</v>
      </c>
      <c r="F642" s="4" t="str">
        <f>HYPERLINK("http://141.218.60.56/~jnz1568/getInfo.php?workbook=06_02.xlsx&amp;sheet=A0&amp;row=642&amp;col=6&amp;number=&amp;sourceID=27","")</f>
        <v/>
      </c>
      <c r="G642" s="4" t="str">
        <f>HYPERLINK("http://141.218.60.56/~jnz1568/getInfo.php?workbook=06_02.xlsx&amp;sheet=A0&amp;row=642&amp;col=7&amp;number=&amp;sourceID=34","")</f>
        <v/>
      </c>
      <c r="H642" s="4" t="str">
        <f>HYPERLINK("http://141.218.60.56/~jnz1568/getInfo.php?workbook=06_02.xlsx&amp;sheet=A0&amp;row=642&amp;col=8&amp;number=&amp;sourceID=34","")</f>
        <v/>
      </c>
      <c r="I642" s="4" t="str">
        <f>HYPERLINK("http://141.218.60.56/~jnz1568/getInfo.php?workbook=06_02.xlsx&amp;sheet=A0&amp;row=642&amp;col=9&amp;number=&amp;sourceID=34","")</f>
        <v/>
      </c>
      <c r="J642" s="4" t="str">
        <f>HYPERLINK("http://141.218.60.56/~jnz1568/getInfo.php?workbook=06_02.xlsx&amp;sheet=A0&amp;row=642&amp;col=10&amp;number=&amp;sourceID=34","")</f>
        <v/>
      </c>
      <c r="K642" s="4" t="str">
        <f>HYPERLINK("http://141.218.60.56/~jnz1568/getInfo.php?workbook=06_02.xlsx&amp;sheet=A0&amp;row=642&amp;col=11&amp;number=1381000&amp;sourceID=30","1381000")</f>
        <v>1381000</v>
      </c>
      <c r="L642" s="4" t="str">
        <f>HYPERLINK("http://141.218.60.56/~jnz1568/getInfo.php?workbook=06_02.xlsx&amp;sheet=A0&amp;row=642&amp;col=12&amp;number=&amp;sourceID=30","")</f>
        <v/>
      </c>
      <c r="M642" s="4" t="str">
        <f>HYPERLINK("http://141.218.60.56/~jnz1568/getInfo.php?workbook=06_02.xlsx&amp;sheet=A0&amp;row=642&amp;col=13&amp;number=&amp;sourceID=30","")</f>
        <v/>
      </c>
      <c r="N642" s="4" t="str">
        <f>HYPERLINK("http://141.218.60.56/~jnz1568/getInfo.php?workbook=06_02.xlsx&amp;sheet=A0&amp;row=642&amp;col=14&amp;number=0.02749&amp;sourceID=30","0.02749")</f>
        <v>0.02749</v>
      </c>
      <c r="O642" s="4" t="str">
        <f>HYPERLINK("http://141.218.60.56/~jnz1568/getInfo.php?workbook=06_02.xlsx&amp;sheet=A0&amp;row=642&amp;col=15&amp;number=1884000&amp;sourceID=32","1884000")</f>
        <v>1884000</v>
      </c>
      <c r="P642" s="4" t="str">
        <f>HYPERLINK("http://141.218.60.56/~jnz1568/getInfo.php?workbook=06_02.xlsx&amp;sheet=A0&amp;row=642&amp;col=16&amp;number=&amp;sourceID=32","")</f>
        <v/>
      </c>
      <c r="Q642" s="4" t="str">
        <f>HYPERLINK("http://141.218.60.56/~jnz1568/getInfo.php?workbook=06_02.xlsx&amp;sheet=A0&amp;row=642&amp;col=17&amp;number=&amp;sourceID=32","")</f>
        <v/>
      </c>
      <c r="R642" s="4" t="str">
        <f>HYPERLINK("http://141.218.60.56/~jnz1568/getInfo.php?workbook=06_02.xlsx&amp;sheet=A0&amp;row=642&amp;col=18&amp;number=0.02685&amp;sourceID=32","0.02685")</f>
        <v>0.02685</v>
      </c>
    </row>
    <row r="643" spans="1:18">
      <c r="A643" s="3">
        <v>6</v>
      </c>
      <c r="B643" s="3">
        <v>2</v>
      </c>
      <c r="C643" s="3">
        <v>40</v>
      </c>
      <c r="D643" s="3">
        <v>17</v>
      </c>
      <c r="E643" s="3">
        <f>((1/(INDEX(E0!J$4:J$52,C643,1)-INDEX(E0!J$4:J$52,D643,1))))*100000000</f>
        <v>0</v>
      </c>
      <c r="F643" s="4" t="str">
        <f>HYPERLINK("http://141.218.60.56/~jnz1568/getInfo.php?workbook=06_02.xlsx&amp;sheet=A0&amp;row=643&amp;col=6&amp;number=&amp;sourceID=27","")</f>
        <v/>
      </c>
      <c r="G643" s="4" t="str">
        <f>HYPERLINK("http://141.218.60.56/~jnz1568/getInfo.php?workbook=06_02.xlsx&amp;sheet=A0&amp;row=643&amp;col=7&amp;number=&amp;sourceID=34","")</f>
        <v/>
      </c>
      <c r="H643" s="4" t="str">
        <f>HYPERLINK("http://141.218.60.56/~jnz1568/getInfo.php?workbook=06_02.xlsx&amp;sheet=A0&amp;row=643&amp;col=8&amp;number=&amp;sourceID=34","")</f>
        <v/>
      </c>
      <c r="I643" s="4" t="str">
        <f>HYPERLINK("http://141.218.60.56/~jnz1568/getInfo.php?workbook=06_02.xlsx&amp;sheet=A0&amp;row=643&amp;col=9&amp;number=&amp;sourceID=34","")</f>
        <v/>
      </c>
      <c r="J643" s="4" t="str">
        <f>HYPERLINK("http://141.218.60.56/~jnz1568/getInfo.php?workbook=06_02.xlsx&amp;sheet=A0&amp;row=643&amp;col=10&amp;number=&amp;sourceID=34","")</f>
        <v/>
      </c>
      <c r="K643" s="4" t="str">
        <f>HYPERLINK("http://141.218.60.56/~jnz1568/getInfo.php?workbook=06_02.xlsx&amp;sheet=A0&amp;row=643&amp;col=11&amp;number=&amp;sourceID=30","")</f>
        <v/>
      </c>
      <c r="L643" s="4" t="str">
        <f>HYPERLINK("http://141.218.60.56/~jnz1568/getInfo.php?workbook=06_02.xlsx&amp;sheet=A0&amp;row=643&amp;col=12&amp;number=0.000926&amp;sourceID=30","0.000926")</f>
        <v>0.000926</v>
      </c>
      <c r="M643" s="4" t="str">
        <f>HYPERLINK("http://141.218.60.56/~jnz1568/getInfo.php?workbook=06_02.xlsx&amp;sheet=A0&amp;row=643&amp;col=13&amp;number=3.068e-06&amp;sourceID=30","3.068e-06")</f>
        <v>3.068e-06</v>
      </c>
      <c r="N643" s="4" t="str">
        <f>HYPERLINK("http://141.218.60.56/~jnz1568/getInfo.php?workbook=06_02.xlsx&amp;sheet=A0&amp;row=643&amp;col=14&amp;number=&amp;sourceID=30","")</f>
        <v/>
      </c>
      <c r="O643" s="4" t="str">
        <f>HYPERLINK("http://141.218.60.56/~jnz1568/getInfo.php?workbook=06_02.xlsx&amp;sheet=A0&amp;row=643&amp;col=15&amp;number=&amp;sourceID=32","")</f>
        <v/>
      </c>
      <c r="P643" s="4" t="str">
        <f>HYPERLINK("http://141.218.60.56/~jnz1568/getInfo.php?workbook=06_02.xlsx&amp;sheet=A0&amp;row=643&amp;col=16&amp;number=0.002626&amp;sourceID=32","0.002626")</f>
        <v>0.002626</v>
      </c>
      <c r="Q643" s="4" t="str">
        <f>HYPERLINK("http://141.218.60.56/~jnz1568/getInfo.php?workbook=06_02.xlsx&amp;sheet=A0&amp;row=643&amp;col=17&amp;number=7.344e-06&amp;sourceID=32","7.344e-06")</f>
        <v>7.344e-06</v>
      </c>
      <c r="R643" s="4" t="str">
        <f>HYPERLINK("http://141.218.60.56/~jnz1568/getInfo.php?workbook=06_02.xlsx&amp;sheet=A0&amp;row=643&amp;col=18&amp;number=&amp;sourceID=32","")</f>
        <v/>
      </c>
    </row>
    <row r="644" spans="1:18">
      <c r="A644" s="3">
        <v>6</v>
      </c>
      <c r="B644" s="3">
        <v>2</v>
      </c>
      <c r="C644" s="3">
        <v>40</v>
      </c>
      <c r="D644" s="3">
        <v>18</v>
      </c>
      <c r="E644" s="3">
        <f>((1/(INDEX(E0!J$4:J$52,C644,1)-INDEX(E0!J$4:J$52,D644,1))))*100000000</f>
        <v>0</v>
      </c>
      <c r="F644" s="4" t="str">
        <f>HYPERLINK("http://141.218.60.56/~jnz1568/getInfo.php?workbook=06_02.xlsx&amp;sheet=A0&amp;row=644&amp;col=6&amp;number=&amp;sourceID=27","")</f>
        <v/>
      </c>
      <c r="G644" s="4" t="str">
        <f>HYPERLINK("http://141.218.60.56/~jnz1568/getInfo.php?workbook=06_02.xlsx&amp;sheet=A0&amp;row=644&amp;col=7&amp;number=&amp;sourceID=34","")</f>
        <v/>
      </c>
      <c r="H644" s="4" t="str">
        <f>HYPERLINK("http://141.218.60.56/~jnz1568/getInfo.php?workbook=06_02.xlsx&amp;sheet=A0&amp;row=644&amp;col=8&amp;number=&amp;sourceID=34","")</f>
        <v/>
      </c>
      <c r="I644" s="4" t="str">
        <f>HYPERLINK("http://141.218.60.56/~jnz1568/getInfo.php?workbook=06_02.xlsx&amp;sheet=A0&amp;row=644&amp;col=9&amp;number=&amp;sourceID=34","")</f>
        <v/>
      </c>
      <c r="J644" s="4" t="str">
        <f>HYPERLINK("http://141.218.60.56/~jnz1568/getInfo.php?workbook=06_02.xlsx&amp;sheet=A0&amp;row=644&amp;col=10&amp;number=&amp;sourceID=34","")</f>
        <v/>
      </c>
      <c r="K644" s="4" t="str">
        <f>HYPERLINK("http://141.218.60.56/~jnz1568/getInfo.php?workbook=06_02.xlsx&amp;sheet=A0&amp;row=644&amp;col=11&amp;number=7.128&amp;sourceID=30","7.128")</f>
        <v>7.128</v>
      </c>
      <c r="L644" s="4" t="str">
        <f>HYPERLINK("http://141.218.60.56/~jnz1568/getInfo.php?workbook=06_02.xlsx&amp;sheet=A0&amp;row=644&amp;col=12&amp;number=&amp;sourceID=30","")</f>
        <v/>
      </c>
      <c r="M644" s="4" t="str">
        <f>HYPERLINK("http://141.218.60.56/~jnz1568/getInfo.php?workbook=06_02.xlsx&amp;sheet=A0&amp;row=644&amp;col=13&amp;number=&amp;sourceID=30","")</f>
        <v/>
      </c>
      <c r="N644" s="4" t="str">
        <f>HYPERLINK("http://141.218.60.56/~jnz1568/getInfo.php?workbook=06_02.xlsx&amp;sheet=A0&amp;row=644&amp;col=14&amp;number=7.255e-11&amp;sourceID=30","7.255e-11")</f>
        <v>7.255e-11</v>
      </c>
      <c r="O644" s="4" t="str">
        <f>HYPERLINK("http://141.218.60.56/~jnz1568/getInfo.php?workbook=06_02.xlsx&amp;sheet=A0&amp;row=644&amp;col=15&amp;number=7.787&amp;sourceID=32","7.787")</f>
        <v>7.787</v>
      </c>
      <c r="P644" s="4" t="str">
        <f>HYPERLINK("http://141.218.60.56/~jnz1568/getInfo.php?workbook=06_02.xlsx&amp;sheet=A0&amp;row=644&amp;col=16&amp;number=&amp;sourceID=32","")</f>
        <v/>
      </c>
      <c r="Q644" s="4" t="str">
        <f>HYPERLINK("http://141.218.60.56/~jnz1568/getInfo.php?workbook=06_02.xlsx&amp;sheet=A0&amp;row=644&amp;col=17&amp;number=&amp;sourceID=32","")</f>
        <v/>
      </c>
      <c r="R644" s="4" t="str">
        <f>HYPERLINK("http://141.218.60.56/~jnz1568/getInfo.php?workbook=06_02.xlsx&amp;sheet=A0&amp;row=644&amp;col=18&amp;number=8.639e-11&amp;sourceID=32","8.639e-11")</f>
        <v>8.639e-11</v>
      </c>
    </row>
    <row r="645" spans="1:18">
      <c r="A645" s="3">
        <v>6</v>
      </c>
      <c r="B645" s="3">
        <v>2</v>
      </c>
      <c r="C645" s="3">
        <v>40</v>
      </c>
      <c r="D645" s="3">
        <v>19</v>
      </c>
      <c r="E645" s="3">
        <f>((1/(INDEX(E0!J$4:J$52,C645,1)-INDEX(E0!J$4:J$52,D645,1))))*100000000</f>
        <v>0</v>
      </c>
      <c r="F645" s="4" t="str">
        <f>HYPERLINK("http://141.218.60.56/~jnz1568/getInfo.php?workbook=06_02.xlsx&amp;sheet=A0&amp;row=645&amp;col=6&amp;number=&amp;sourceID=27","")</f>
        <v/>
      </c>
      <c r="G645" s="4" t="str">
        <f>HYPERLINK("http://141.218.60.56/~jnz1568/getInfo.php?workbook=06_02.xlsx&amp;sheet=A0&amp;row=645&amp;col=7&amp;number=&amp;sourceID=34","")</f>
        <v/>
      </c>
      <c r="H645" s="4" t="str">
        <f>HYPERLINK("http://141.218.60.56/~jnz1568/getInfo.php?workbook=06_02.xlsx&amp;sheet=A0&amp;row=645&amp;col=8&amp;number=&amp;sourceID=34","")</f>
        <v/>
      </c>
      <c r="I645" s="4" t="str">
        <f>HYPERLINK("http://141.218.60.56/~jnz1568/getInfo.php?workbook=06_02.xlsx&amp;sheet=A0&amp;row=645&amp;col=9&amp;number=&amp;sourceID=34","")</f>
        <v/>
      </c>
      <c r="J645" s="4" t="str">
        <f>HYPERLINK("http://141.218.60.56/~jnz1568/getInfo.php?workbook=06_02.xlsx&amp;sheet=A0&amp;row=645&amp;col=10&amp;number=&amp;sourceID=34","")</f>
        <v/>
      </c>
      <c r="K645" s="4" t="str">
        <f>HYPERLINK("http://141.218.60.56/~jnz1568/getInfo.php?workbook=06_02.xlsx&amp;sheet=A0&amp;row=645&amp;col=11&amp;number=&amp;sourceID=30","")</f>
        <v/>
      </c>
      <c r="L645" s="4" t="str">
        <f>HYPERLINK("http://141.218.60.56/~jnz1568/getInfo.php?workbook=06_02.xlsx&amp;sheet=A0&amp;row=645&amp;col=12&amp;number=&amp;sourceID=30","")</f>
        <v/>
      </c>
      <c r="M645" s="4" t="str">
        <f>HYPERLINK("http://141.218.60.56/~jnz1568/getInfo.php?workbook=06_02.xlsx&amp;sheet=A0&amp;row=645&amp;col=13&amp;number=&amp;sourceID=30","")</f>
        <v/>
      </c>
      <c r="N645" s="4" t="str">
        <f>HYPERLINK("http://141.218.60.56/~jnz1568/getInfo.php?workbook=06_02.xlsx&amp;sheet=A0&amp;row=645&amp;col=14&amp;number=7.696e-12&amp;sourceID=30","7.696e-12")</f>
        <v>7.696e-12</v>
      </c>
      <c r="O645" s="4" t="str">
        <f>HYPERLINK("http://141.218.60.56/~jnz1568/getInfo.php?workbook=06_02.xlsx&amp;sheet=A0&amp;row=645&amp;col=15&amp;number=&amp;sourceID=32","")</f>
        <v/>
      </c>
      <c r="P645" s="4" t="str">
        <f>HYPERLINK("http://141.218.60.56/~jnz1568/getInfo.php?workbook=06_02.xlsx&amp;sheet=A0&amp;row=645&amp;col=16&amp;number=&amp;sourceID=32","")</f>
        <v/>
      </c>
      <c r="Q645" s="4" t="str">
        <f>HYPERLINK("http://141.218.60.56/~jnz1568/getInfo.php?workbook=06_02.xlsx&amp;sheet=A0&amp;row=645&amp;col=17&amp;number=&amp;sourceID=32","")</f>
        <v/>
      </c>
      <c r="R645" s="4" t="str">
        <f>HYPERLINK("http://141.218.60.56/~jnz1568/getInfo.php?workbook=06_02.xlsx&amp;sheet=A0&amp;row=645&amp;col=18&amp;number=1.003e-11&amp;sourceID=32","1.003e-11")</f>
        <v>1.003e-11</v>
      </c>
    </row>
    <row r="646" spans="1:18">
      <c r="A646" s="3">
        <v>6</v>
      </c>
      <c r="B646" s="3">
        <v>2</v>
      </c>
      <c r="C646" s="3">
        <v>40</v>
      </c>
      <c r="D646" s="3">
        <v>20</v>
      </c>
      <c r="E646" s="3">
        <f>((1/(INDEX(E0!J$4:J$52,C646,1)-INDEX(E0!J$4:J$52,D646,1))))*100000000</f>
        <v>0</v>
      </c>
      <c r="F646" s="4" t="str">
        <f>HYPERLINK("http://141.218.60.56/~jnz1568/getInfo.php?workbook=06_02.xlsx&amp;sheet=A0&amp;row=646&amp;col=6&amp;number=&amp;sourceID=27","")</f>
        <v/>
      </c>
      <c r="G646" s="4" t="str">
        <f>HYPERLINK("http://141.218.60.56/~jnz1568/getInfo.php?workbook=06_02.xlsx&amp;sheet=A0&amp;row=646&amp;col=7&amp;number=&amp;sourceID=34","")</f>
        <v/>
      </c>
      <c r="H646" s="4" t="str">
        <f>HYPERLINK("http://141.218.60.56/~jnz1568/getInfo.php?workbook=06_02.xlsx&amp;sheet=A0&amp;row=646&amp;col=8&amp;number=&amp;sourceID=34","")</f>
        <v/>
      </c>
      <c r="I646" s="4" t="str">
        <f>HYPERLINK("http://141.218.60.56/~jnz1568/getInfo.php?workbook=06_02.xlsx&amp;sheet=A0&amp;row=646&amp;col=9&amp;number=&amp;sourceID=34","")</f>
        <v/>
      </c>
      <c r="J646" s="4" t="str">
        <f>HYPERLINK("http://141.218.60.56/~jnz1568/getInfo.php?workbook=06_02.xlsx&amp;sheet=A0&amp;row=646&amp;col=10&amp;number=&amp;sourceID=34","")</f>
        <v/>
      </c>
      <c r="K646" s="4" t="str">
        <f>HYPERLINK("http://141.218.60.56/~jnz1568/getInfo.php?workbook=06_02.xlsx&amp;sheet=A0&amp;row=646&amp;col=11&amp;number=&amp;sourceID=30","")</f>
        <v/>
      </c>
      <c r="L646" s="4" t="str">
        <f>HYPERLINK("http://141.218.60.56/~jnz1568/getInfo.php?workbook=06_02.xlsx&amp;sheet=A0&amp;row=646&amp;col=12&amp;number=7528&amp;sourceID=30","7528")</f>
        <v>7528</v>
      </c>
      <c r="M646" s="4" t="str">
        <f>HYPERLINK("http://141.218.60.56/~jnz1568/getInfo.php?workbook=06_02.xlsx&amp;sheet=A0&amp;row=646&amp;col=13&amp;number=&amp;sourceID=30","")</f>
        <v/>
      </c>
      <c r="N646" s="4" t="str">
        <f>HYPERLINK("http://141.218.60.56/~jnz1568/getInfo.php?workbook=06_02.xlsx&amp;sheet=A0&amp;row=646&amp;col=14&amp;number=&amp;sourceID=30","")</f>
        <v/>
      </c>
      <c r="O646" s="4" t="str">
        <f>HYPERLINK("http://141.218.60.56/~jnz1568/getInfo.php?workbook=06_02.xlsx&amp;sheet=A0&amp;row=646&amp;col=15&amp;number=&amp;sourceID=32","")</f>
        <v/>
      </c>
      <c r="P646" s="4" t="str">
        <f>HYPERLINK("http://141.218.60.56/~jnz1568/getInfo.php?workbook=06_02.xlsx&amp;sheet=A0&amp;row=646&amp;col=16&amp;number=7621&amp;sourceID=32","7621")</f>
        <v>7621</v>
      </c>
      <c r="Q646" s="4" t="str">
        <f>HYPERLINK("http://141.218.60.56/~jnz1568/getInfo.php?workbook=06_02.xlsx&amp;sheet=A0&amp;row=646&amp;col=17&amp;number=&amp;sourceID=32","")</f>
        <v/>
      </c>
      <c r="R646" s="4" t="str">
        <f>HYPERLINK("http://141.218.60.56/~jnz1568/getInfo.php?workbook=06_02.xlsx&amp;sheet=A0&amp;row=646&amp;col=18&amp;number=&amp;sourceID=32","")</f>
        <v/>
      </c>
    </row>
    <row r="647" spans="1:18">
      <c r="A647" s="3">
        <v>6</v>
      </c>
      <c r="B647" s="3">
        <v>2</v>
      </c>
      <c r="C647" s="3">
        <v>40</v>
      </c>
      <c r="D647" s="3">
        <v>21</v>
      </c>
      <c r="E647" s="3">
        <f>((1/(INDEX(E0!J$4:J$52,C647,1)-INDEX(E0!J$4:J$52,D647,1))))*100000000</f>
        <v>0</v>
      </c>
      <c r="F647" s="4" t="str">
        <f>HYPERLINK("http://141.218.60.56/~jnz1568/getInfo.php?workbook=06_02.xlsx&amp;sheet=A0&amp;row=647&amp;col=6&amp;number=&amp;sourceID=27","")</f>
        <v/>
      </c>
      <c r="G647" s="4" t="str">
        <f>HYPERLINK("http://141.218.60.56/~jnz1568/getInfo.php?workbook=06_02.xlsx&amp;sheet=A0&amp;row=647&amp;col=7&amp;number=&amp;sourceID=34","")</f>
        <v/>
      </c>
      <c r="H647" s="4" t="str">
        <f>HYPERLINK("http://141.218.60.56/~jnz1568/getInfo.php?workbook=06_02.xlsx&amp;sheet=A0&amp;row=647&amp;col=8&amp;number=&amp;sourceID=34","")</f>
        <v/>
      </c>
      <c r="I647" s="4" t="str">
        <f>HYPERLINK("http://141.218.60.56/~jnz1568/getInfo.php?workbook=06_02.xlsx&amp;sheet=A0&amp;row=647&amp;col=9&amp;number=&amp;sourceID=34","")</f>
        <v/>
      </c>
      <c r="J647" s="4" t="str">
        <f>HYPERLINK("http://141.218.60.56/~jnz1568/getInfo.php?workbook=06_02.xlsx&amp;sheet=A0&amp;row=647&amp;col=10&amp;number=&amp;sourceID=34","")</f>
        <v/>
      </c>
      <c r="K647" s="4" t="str">
        <f>HYPERLINK("http://141.218.60.56/~jnz1568/getInfo.php?workbook=06_02.xlsx&amp;sheet=A0&amp;row=647&amp;col=11&amp;number=&amp;sourceID=30","")</f>
        <v/>
      </c>
      <c r="L647" s="4" t="str">
        <f>HYPERLINK("http://141.218.60.56/~jnz1568/getInfo.php?workbook=06_02.xlsx&amp;sheet=A0&amp;row=647&amp;col=12&amp;number=7527&amp;sourceID=30","7527")</f>
        <v>7527</v>
      </c>
      <c r="M647" s="4" t="str">
        <f>HYPERLINK("http://141.218.60.56/~jnz1568/getInfo.php?workbook=06_02.xlsx&amp;sheet=A0&amp;row=647&amp;col=13&amp;number=1.831e-07&amp;sourceID=30","1.831e-07")</f>
        <v>1.831e-07</v>
      </c>
      <c r="N647" s="4" t="str">
        <f>HYPERLINK("http://141.218.60.56/~jnz1568/getInfo.php?workbook=06_02.xlsx&amp;sheet=A0&amp;row=647&amp;col=14&amp;number=&amp;sourceID=30","")</f>
        <v/>
      </c>
      <c r="O647" s="4" t="str">
        <f>HYPERLINK("http://141.218.60.56/~jnz1568/getInfo.php?workbook=06_02.xlsx&amp;sheet=A0&amp;row=647&amp;col=15&amp;number=&amp;sourceID=32","")</f>
        <v/>
      </c>
      <c r="P647" s="4" t="str">
        <f>HYPERLINK("http://141.218.60.56/~jnz1568/getInfo.php?workbook=06_02.xlsx&amp;sheet=A0&amp;row=647&amp;col=16&amp;number=7621&amp;sourceID=32","7621")</f>
        <v>7621</v>
      </c>
      <c r="Q647" s="4" t="str">
        <f>HYPERLINK("http://141.218.60.56/~jnz1568/getInfo.php?workbook=06_02.xlsx&amp;sheet=A0&amp;row=647&amp;col=17&amp;number=3.054e-07&amp;sourceID=32","3.054e-07")</f>
        <v>3.054e-07</v>
      </c>
      <c r="R647" s="4" t="str">
        <f>HYPERLINK("http://141.218.60.56/~jnz1568/getInfo.php?workbook=06_02.xlsx&amp;sheet=A0&amp;row=647&amp;col=18&amp;number=&amp;sourceID=32","")</f>
        <v/>
      </c>
    </row>
    <row r="648" spans="1:18">
      <c r="A648" s="3">
        <v>6</v>
      </c>
      <c r="B648" s="3">
        <v>2</v>
      </c>
      <c r="C648" s="3">
        <v>40</v>
      </c>
      <c r="D648" s="3">
        <v>22</v>
      </c>
      <c r="E648" s="3">
        <f>((1/(INDEX(E0!J$4:J$52,C648,1)-INDEX(E0!J$4:J$52,D648,1))))*100000000</f>
        <v>0</v>
      </c>
      <c r="F648" s="4" t="str">
        <f>HYPERLINK("http://141.218.60.56/~jnz1568/getInfo.php?workbook=06_02.xlsx&amp;sheet=A0&amp;row=648&amp;col=6&amp;number=&amp;sourceID=27","")</f>
        <v/>
      </c>
      <c r="G648" s="4" t="str">
        <f>HYPERLINK("http://141.218.60.56/~jnz1568/getInfo.php?workbook=06_02.xlsx&amp;sheet=A0&amp;row=648&amp;col=7&amp;number=&amp;sourceID=34","")</f>
        <v/>
      </c>
      <c r="H648" s="4" t="str">
        <f>HYPERLINK("http://141.218.60.56/~jnz1568/getInfo.php?workbook=06_02.xlsx&amp;sheet=A0&amp;row=648&amp;col=8&amp;number=&amp;sourceID=34","")</f>
        <v/>
      </c>
      <c r="I648" s="4" t="str">
        <f>HYPERLINK("http://141.218.60.56/~jnz1568/getInfo.php?workbook=06_02.xlsx&amp;sheet=A0&amp;row=648&amp;col=9&amp;number=&amp;sourceID=34","")</f>
        <v/>
      </c>
      <c r="J648" s="4" t="str">
        <f>HYPERLINK("http://141.218.60.56/~jnz1568/getInfo.php?workbook=06_02.xlsx&amp;sheet=A0&amp;row=648&amp;col=10&amp;number=&amp;sourceID=34","")</f>
        <v/>
      </c>
      <c r="K648" s="4" t="str">
        <f>HYPERLINK("http://141.218.60.56/~jnz1568/getInfo.php?workbook=06_02.xlsx&amp;sheet=A0&amp;row=648&amp;col=11&amp;number=&amp;sourceID=30","")</f>
        <v/>
      </c>
      <c r="L648" s="4" t="str">
        <f>HYPERLINK("http://141.218.60.56/~jnz1568/getInfo.php?workbook=06_02.xlsx&amp;sheet=A0&amp;row=648&amp;col=12&amp;number=1074&amp;sourceID=30","1074")</f>
        <v>1074</v>
      </c>
      <c r="M648" s="4" t="str">
        <f>HYPERLINK("http://141.218.60.56/~jnz1568/getInfo.php?workbook=06_02.xlsx&amp;sheet=A0&amp;row=648&amp;col=13&amp;number=2.003e-07&amp;sourceID=30","2.003e-07")</f>
        <v>2.003e-07</v>
      </c>
      <c r="N648" s="4" t="str">
        <f>HYPERLINK("http://141.218.60.56/~jnz1568/getInfo.php?workbook=06_02.xlsx&amp;sheet=A0&amp;row=648&amp;col=14&amp;number=&amp;sourceID=30","")</f>
        <v/>
      </c>
      <c r="O648" s="4" t="str">
        <f>HYPERLINK("http://141.218.60.56/~jnz1568/getInfo.php?workbook=06_02.xlsx&amp;sheet=A0&amp;row=648&amp;col=15&amp;number=&amp;sourceID=32","")</f>
        <v/>
      </c>
      <c r="P648" s="4" t="str">
        <f>HYPERLINK("http://141.218.60.56/~jnz1568/getInfo.php?workbook=06_02.xlsx&amp;sheet=A0&amp;row=648&amp;col=16&amp;number=1088&amp;sourceID=32","1088")</f>
        <v>1088</v>
      </c>
      <c r="Q648" s="4" t="str">
        <f>HYPERLINK("http://141.218.60.56/~jnz1568/getInfo.php?workbook=06_02.xlsx&amp;sheet=A0&amp;row=648&amp;col=17&amp;number=2.764e-07&amp;sourceID=32","2.764e-07")</f>
        <v>2.764e-07</v>
      </c>
      <c r="R648" s="4" t="str">
        <f>HYPERLINK("http://141.218.60.56/~jnz1568/getInfo.php?workbook=06_02.xlsx&amp;sheet=A0&amp;row=648&amp;col=18&amp;number=&amp;sourceID=32","")</f>
        <v/>
      </c>
    </row>
    <row r="649" spans="1:18">
      <c r="A649" s="3">
        <v>6</v>
      </c>
      <c r="B649" s="3">
        <v>2</v>
      </c>
      <c r="C649" s="3">
        <v>40</v>
      </c>
      <c r="D649" s="3">
        <v>23</v>
      </c>
      <c r="E649" s="3">
        <f>((1/(INDEX(E0!J$4:J$52,C649,1)-INDEX(E0!J$4:J$52,D649,1))))*100000000</f>
        <v>0</v>
      </c>
      <c r="F649" s="4" t="str">
        <f>HYPERLINK("http://141.218.60.56/~jnz1568/getInfo.php?workbook=06_02.xlsx&amp;sheet=A0&amp;row=649&amp;col=6&amp;number=&amp;sourceID=27","")</f>
        <v/>
      </c>
      <c r="G649" s="4" t="str">
        <f>HYPERLINK("http://141.218.60.56/~jnz1568/getInfo.php?workbook=06_02.xlsx&amp;sheet=A0&amp;row=649&amp;col=7&amp;number=&amp;sourceID=34","")</f>
        <v/>
      </c>
      <c r="H649" s="4" t="str">
        <f>HYPERLINK("http://141.218.60.56/~jnz1568/getInfo.php?workbook=06_02.xlsx&amp;sheet=A0&amp;row=649&amp;col=8&amp;number=&amp;sourceID=34","")</f>
        <v/>
      </c>
      <c r="I649" s="4" t="str">
        <f>HYPERLINK("http://141.218.60.56/~jnz1568/getInfo.php?workbook=06_02.xlsx&amp;sheet=A0&amp;row=649&amp;col=9&amp;number=&amp;sourceID=34","")</f>
        <v/>
      </c>
      <c r="J649" s="4" t="str">
        <f>HYPERLINK("http://141.218.60.56/~jnz1568/getInfo.php?workbook=06_02.xlsx&amp;sheet=A0&amp;row=649&amp;col=10&amp;number=&amp;sourceID=34","")</f>
        <v/>
      </c>
      <c r="K649" s="4" t="str">
        <f>HYPERLINK("http://141.218.60.56/~jnz1568/getInfo.php?workbook=06_02.xlsx&amp;sheet=A0&amp;row=649&amp;col=11&amp;number=1357000000&amp;sourceID=30","1357000000")</f>
        <v>1357000000</v>
      </c>
      <c r="L649" s="4" t="str">
        <f>HYPERLINK("http://141.218.60.56/~jnz1568/getInfo.php?workbook=06_02.xlsx&amp;sheet=A0&amp;row=649&amp;col=12&amp;number=&amp;sourceID=30","")</f>
        <v/>
      </c>
      <c r="M649" s="4" t="str">
        <f>HYPERLINK("http://141.218.60.56/~jnz1568/getInfo.php?workbook=06_02.xlsx&amp;sheet=A0&amp;row=649&amp;col=13&amp;number=&amp;sourceID=30","")</f>
        <v/>
      </c>
      <c r="N649" s="4" t="str">
        <f>HYPERLINK("http://141.218.60.56/~jnz1568/getInfo.php?workbook=06_02.xlsx&amp;sheet=A0&amp;row=649&amp;col=14&amp;number=0.01061&amp;sourceID=30","0.01061")</f>
        <v>0.01061</v>
      </c>
      <c r="O649" s="4" t="str">
        <f>HYPERLINK("http://141.218.60.56/~jnz1568/getInfo.php?workbook=06_02.xlsx&amp;sheet=A0&amp;row=649&amp;col=15&amp;number=1357000000&amp;sourceID=32","1357000000")</f>
        <v>1357000000</v>
      </c>
      <c r="P649" s="4" t="str">
        <f>HYPERLINK("http://141.218.60.56/~jnz1568/getInfo.php?workbook=06_02.xlsx&amp;sheet=A0&amp;row=649&amp;col=16&amp;number=&amp;sourceID=32","")</f>
        <v/>
      </c>
      <c r="Q649" s="4" t="str">
        <f>HYPERLINK("http://141.218.60.56/~jnz1568/getInfo.php?workbook=06_02.xlsx&amp;sheet=A0&amp;row=649&amp;col=17&amp;number=&amp;sourceID=32","")</f>
        <v/>
      </c>
      <c r="R649" s="4" t="str">
        <f>HYPERLINK("http://141.218.60.56/~jnz1568/getInfo.php?workbook=06_02.xlsx&amp;sheet=A0&amp;row=649&amp;col=18&amp;number=0.01062&amp;sourceID=32","0.01062")</f>
        <v>0.01062</v>
      </c>
    </row>
    <row r="650" spans="1:18">
      <c r="A650" s="3">
        <v>6</v>
      </c>
      <c r="B650" s="3">
        <v>2</v>
      </c>
      <c r="C650" s="3">
        <v>40</v>
      </c>
      <c r="D650" s="3">
        <v>24</v>
      </c>
      <c r="E650" s="3">
        <f>((1/(INDEX(E0!J$4:J$52,C650,1)-INDEX(E0!J$4:J$52,D650,1))))*100000000</f>
        <v>0</v>
      </c>
      <c r="F650" s="4" t="str">
        <f>HYPERLINK("http://141.218.60.56/~jnz1568/getInfo.php?workbook=06_02.xlsx&amp;sheet=A0&amp;row=650&amp;col=6&amp;number=&amp;sourceID=27","")</f>
        <v/>
      </c>
      <c r="G650" s="4" t="str">
        <f>HYPERLINK("http://141.218.60.56/~jnz1568/getInfo.php?workbook=06_02.xlsx&amp;sheet=A0&amp;row=650&amp;col=7&amp;number=&amp;sourceID=34","")</f>
        <v/>
      </c>
      <c r="H650" s="4" t="str">
        <f>HYPERLINK("http://141.218.60.56/~jnz1568/getInfo.php?workbook=06_02.xlsx&amp;sheet=A0&amp;row=650&amp;col=8&amp;number=&amp;sourceID=34","")</f>
        <v/>
      </c>
      <c r="I650" s="4" t="str">
        <f>HYPERLINK("http://141.218.60.56/~jnz1568/getInfo.php?workbook=06_02.xlsx&amp;sheet=A0&amp;row=650&amp;col=9&amp;number=&amp;sourceID=34","")</f>
        <v/>
      </c>
      <c r="J650" s="4" t="str">
        <f>HYPERLINK("http://141.218.60.56/~jnz1568/getInfo.php?workbook=06_02.xlsx&amp;sheet=A0&amp;row=650&amp;col=10&amp;number=&amp;sourceID=34","")</f>
        <v/>
      </c>
      <c r="K650" s="4" t="str">
        <f>HYPERLINK("http://141.218.60.56/~jnz1568/getInfo.php?workbook=06_02.xlsx&amp;sheet=A0&amp;row=650&amp;col=11&amp;number=250800000&amp;sourceID=30","250800000")</f>
        <v>250800000</v>
      </c>
      <c r="L650" s="4" t="str">
        <f>HYPERLINK("http://141.218.60.56/~jnz1568/getInfo.php?workbook=06_02.xlsx&amp;sheet=A0&amp;row=650&amp;col=12&amp;number=&amp;sourceID=30","")</f>
        <v/>
      </c>
      <c r="M650" s="4" t="str">
        <f>HYPERLINK("http://141.218.60.56/~jnz1568/getInfo.php?workbook=06_02.xlsx&amp;sheet=A0&amp;row=650&amp;col=13&amp;number=&amp;sourceID=30","")</f>
        <v/>
      </c>
      <c r="N650" s="4" t="str">
        <f>HYPERLINK("http://141.218.60.56/~jnz1568/getInfo.php?workbook=06_02.xlsx&amp;sheet=A0&amp;row=650&amp;col=14&amp;number=0.002917&amp;sourceID=30","0.002917")</f>
        <v>0.002917</v>
      </c>
      <c r="O650" s="4" t="str">
        <f>HYPERLINK("http://141.218.60.56/~jnz1568/getInfo.php?workbook=06_02.xlsx&amp;sheet=A0&amp;row=650&amp;col=15&amp;number=250700000&amp;sourceID=32","250700000")</f>
        <v>250700000</v>
      </c>
      <c r="P650" s="4" t="str">
        <f>HYPERLINK("http://141.218.60.56/~jnz1568/getInfo.php?workbook=06_02.xlsx&amp;sheet=A0&amp;row=650&amp;col=16&amp;number=&amp;sourceID=32","")</f>
        <v/>
      </c>
      <c r="Q650" s="4" t="str">
        <f>HYPERLINK("http://141.218.60.56/~jnz1568/getInfo.php?workbook=06_02.xlsx&amp;sheet=A0&amp;row=650&amp;col=17&amp;number=&amp;sourceID=32","")</f>
        <v/>
      </c>
      <c r="R650" s="4" t="str">
        <f>HYPERLINK("http://141.218.60.56/~jnz1568/getInfo.php?workbook=06_02.xlsx&amp;sheet=A0&amp;row=650&amp;col=18&amp;number=0.002953&amp;sourceID=32","0.002953")</f>
        <v>0.002953</v>
      </c>
    </row>
    <row r="651" spans="1:18">
      <c r="A651" s="3">
        <v>6</v>
      </c>
      <c r="B651" s="3">
        <v>2</v>
      </c>
      <c r="C651" s="3">
        <v>40</v>
      </c>
      <c r="D651" s="3">
        <v>25</v>
      </c>
      <c r="E651" s="3">
        <f>((1/(INDEX(E0!J$4:J$52,C651,1)-INDEX(E0!J$4:J$52,D651,1))))*100000000</f>
        <v>0</v>
      </c>
      <c r="F651" s="4" t="str">
        <f>HYPERLINK("http://141.218.60.56/~jnz1568/getInfo.php?workbook=06_02.xlsx&amp;sheet=A0&amp;row=651&amp;col=6&amp;number=&amp;sourceID=27","")</f>
        <v/>
      </c>
      <c r="G651" s="4" t="str">
        <f>HYPERLINK("http://141.218.60.56/~jnz1568/getInfo.php?workbook=06_02.xlsx&amp;sheet=A0&amp;row=651&amp;col=7&amp;number=&amp;sourceID=34","")</f>
        <v/>
      </c>
      <c r="H651" s="4" t="str">
        <f>HYPERLINK("http://141.218.60.56/~jnz1568/getInfo.php?workbook=06_02.xlsx&amp;sheet=A0&amp;row=651&amp;col=8&amp;number=&amp;sourceID=34","")</f>
        <v/>
      </c>
      <c r="I651" s="4" t="str">
        <f>HYPERLINK("http://141.218.60.56/~jnz1568/getInfo.php?workbook=06_02.xlsx&amp;sheet=A0&amp;row=651&amp;col=9&amp;number=&amp;sourceID=34","")</f>
        <v/>
      </c>
      <c r="J651" s="4" t="str">
        <f>HYPERLINK("http://141.218.60.56/~jnz1568/getInfo.php?workbook=06_02.xlsx&amp;sheet=A0&amp;row=651&amp;col=10&amp;number=&amp;sourceID=34","")</f>
        <v/>
      </c>
      <c r="K651" s="4" t="str">
        <f>HYPERLINK("http://141.218.60.56/~jnz1568/getInfo.php?workbook=06_02.xlsx&amp;sheet=A0&amp;row=651&amp;col=11&amp;number=7179000&amp;sourceID=30","7179000")</f>
        <v>7179000</v>
      </c>
      <c r="L651" s="4" t="str">
        <f>HYPERLINK("http://141.218.60.56/~jnz1568/getInfo.php?workbook=06_02.xlsx&amp;sheet=A0&amp;row=651&amp;col=12&amp;number=&amp;sourceID=30","")</f>
        <v/>
      </c>
      <c r="M651" s="4" t="str">
        <f>HYPERLINK("http://141.218.60.56/~jnz1568/getInfo.php?workbook=06_02.xlsx&amp;sheet=A0&amp;row=651&amp;col=13&amp;number=&amp;sourceID=30","")</f>
        <v/>
      </c>
      <c r="N651" s="4" t="str">
        <f>HYPERLINK("http://141.218.60.56/~jnz1568/getInfo.php?workbook=06_02.xlsx&amp;sheet=A0&amp;row=651&amp;col=14&amp;number=1.717e-12&amp;sourceID=30","1.717e-12")</f>
        <v>1.717e-12</v>
      </c>
      <c r="O651" s="4" t="str">
        <f>HYPERLINK("http://141.218.60.56/~jnz1568/getInfo.php?workbook=06_02.xlsx&amp;sheet=A0&amp;row=651&amp;col=15&amp;number=7180000&amp;sourceID=32","7180000")</f>
        <v>7180000</v>
      </c>
      <c r="P651" s="4" t="str">
        <f>HYPERLINK("http://141.218.60.56/~jnz1568/getInfo.php?workbook=06_02.xlsx&amp;sheet=A0&amp;row=651&amp;col=16&amp;number=&amp;sourceID=32","")</f>
        <v/>
      </c>
      <c r="Q651" s="4" t="str">
        <f>HYPERLINK("http://141.218.60.56/~jnz1568/getInfo.php?workbook=06_02.xlsx&amp;sheet=A0&amp;row=651&amp;col=17&amp;number=&amp;sourceID=32","")</f>
        <v/>
      </c>
      <c r="R651" s="4" t="str">
        <f>HYPERLINK("http://141.218.60.56/~jnz1568/getInfo.php?workbook=06_02.xlsx&amp;sheet=A0&amp;row=651&amp;col=18&amp;number=9.15e-13&amp;sourceID=32","9.15e-13")</f>
        <v>9.15e-13</v>
      </c>
    </row>
    <row r="652" spans="1:18">
      <c r="A652" s="3">
        <v>6</v>
      </c>
      <c r="B652" s="3">
        <v>2</v>
      </c>
      <c r="C652" s="3">
        <v>40</v>
      </c>
      <c r="D652" s="3">
        <v>26</v>
      </c>
      <c r="E652" s="3">
        <f>((1/(INDEX(E0!J$4:J$52,C652,1)-INDEX(E0!J$4:J$52,D652,1))))*100000000</f>
        <v>0</v>
      </c>
      <c r="F652" s="4" t="str">
        <f>HYPERLINK("http://141.218.60.56/~jnz1568/getInfo.php?workbook=06_02.xlsx&amp;sheet=A0&amp;row=652&amp;col=6&amp;number=&amp;sourceID=27","")</f>
        <v/>
      </c>
      <c r="G652" s="4" t="str">
        <f>HYPERLINK("http://141.218.60.56/~jnz1568/getInfo.php?workbook=06_02.xlsx&amp;sheet=A0&amp;row=652&amp;col=7&amp;number=&amp;sourceID=34","")</f>
        <v/>
      </c>
      <c r="H652" s="4" t="str">
        <f>HYPERLINK("http://141.218.60.56/~jnz1568/getInfo.php?workbook=06_02.xlsx&amp;sheet=A0&amp;row=652&amp;col=8&amp;number=&amp;sourceID=34","")</f>
        <v/>
      </c>
      <c r="I652" s="4" t="str">
        <f>HYPERLINK("http://141.218.60.56/~jnz1568/getInfo.php?workbook=06_02.xlsx&amp;sheet=A0&amp;row=652&amp;col=9&amp;number=&amp;sourceID=34","")</f>
        <v/>
      </c>
      <c r="J652" s="4" t="str">
        <f>HYPERLINK("http://141.218.60.56/~jnz1568/getInfo.php?workbook=06_02.xlsx&amp;sheet=A0&amp;row=652&amp;col=10&amp;number=&amp;sourceID=34","")</f>
        <v/>
      </c>
      <c r="K652" s="4" t="str">
        <f>HYPERLINK("http://141.218.60.56/~jnz1568/getInfo.php?workbook=06_02.xlsx&amp;sheet=A0&amp;row=652&amp;col=11&amp;number=&amp;sourceID=30","")</f>
        <v/>
      </c>
      <c r="L652" s="4" t="str">
        <f>HYPERLINK("http://141.218.60.56/~jnz1568/getInfo.php?workbook=06_02.xlsx&amp;sheet=A0&amp;row=652&amp;col=12&amp;number=244.5&amp;sourceID=30","244.5")</f>
        <v>244.5</v>
      </c>
      <c r="M652" s="4" t="str">
        <f>HYPERLINK("http://141.218.60.56/~jnz1568/getInfo.php?workbook=06_02.xlsx&amp;sheet=A0&amp;row=652&amp;col=13&amp;number=1.216e-05&amp;sourceID=30","1.216e-05")</f>
        <v>1.216e-05</v>
      </c>
      <c r="N652" s="4" t="str">
        <f>HYPERLINK("http://141.218.60.56/~jnz1568/getInfo.php?workbook=06_02.xlsx&amp;sheet=A0&amp;row=652&amp;col=14&amp;number=&amp;sourceID=30","")</f>
        <v/>
      </c>
      <c r="O652" s="4" t="str">
        <f>HYPERLINK("http://141.218.60.56/~jnz1568/getInfo.php?workbook=06_02.xlsx&amp;sheet=A0&amp;row=652&amp;col=15&amp;number=&amp;sourceID=32","")</f>
        <v/>
      </c>
      <c r="P652" s="4" t="str">
        <f>HYPERLINK("http://141.218.60.56/~jnz1568/getInfo.php?workbook=06_02.xlsx&amp;sheet=A0&amp;row=652&amp;col=16&amp;number=458.6&amp;sourceID=32","458.6")</f>
        <v>458.6</v>
      </c>
      <c r="Q652" s="4" t="str">
        <f>HYPERLINK("http://141.218.60.56/~jnz1568/getInfo.php?workbook=06_02.xlsx&amp;sheet=A0&amp;row=652&amp;col=17&amp;number=4.478e-06&amp;sourceID=32","4.478e-06")</f>
        <v>4.478e-06</v>
      </c>
      <c r="R652" s="4" t="str">
        <f>HYPERLINK("http://141.218.60.56/~jnz1568/getInfo.php?workbook=06_02.xlsx&amp;sheet=A0&amp;row=652&amp;col=18&amp;number=&amp;sourceID=32","")</f>
        <v/>
      </c>
    </row>
    <row r="653" spans="1:18">
      <c r="A653" s="3">
        <v>6</v>
      </c>
      <c r="B653" s="3">
        <v>2</v>
      </c>
      <c r="C653" s="3">
        <v>40</v>
      </c>
      <c r="D653" s="3">
        <v>27</v>
      </c>
      <c r="E653" s="3">
        <f>((1/(INDEX(E0!J$4:J$52,C653,1)-INDEX(E0!J$4:J$52,D653,1))))*100000000</f>
        <v>0</v>
      </c>
      <c r="F653" s="4" t="str">
        <f>HYPERLINK("http://141.218.60.56/~jnz1568/getInfo.php?workbook=06_02.xlsx&amp;sheet=A0&amp;row=653&amp;col=6&amp;number=&amp;sourceID=27","")</f>
        <v/>
      </c>
      <c r="G653" s="4" t="str">
        <f>HYPERLINK("http://141.218.60.56/~jnz1568/getInfo.php?workbook=06_02.xlsx&amp;sheet=A0&amp;row=653&amp;col=7&amp;number=&amp;sourceID=34","")</f>
        <v/>
      </c>
      <c r="H653" s="4" t="str">
        <f>HYPERLINK("http://141.218.60.56/~jnz1568/getInfo.php?workbook=06_02.xlsx&amp;sheet=A0&amp;row=653&amp;col=8&amp;number=&amp;sourceID=34","")</f>
        <v/>
      </c>
      <c r="I653" s="4" t="str">
        <f>HYPERLINK("http://141.218.60.56/~jnz1568/getInfo.php?workbook=06_02.xlsx&amp;sheet=A0&amp;row=653&amp;col=9&amp;number=&amp;sourceID=34","")</f>
        <v/>
      </c>
      <c r="J653" s="4" t="str">
        <f>HYPERLINK("http://141.218.60.56/~jnz1568/getInfo.php?workbook=06_02.xlsx&amp;sheet=A0&amp;row=653&amp;col=10&amp;number=&amp;sourceID=34","")</f>
        <v/>
      </c>
      <c r="K653" s="4" t="str">
        <f>HYPERLINK("http://141.218.60.56/~jnz1568/getInfo.php?workbook=06_02.xlsx&amp;sheet=A0&amp;row=653&amp;col=11&amp;number=&amp;sourceID=30","")</f>
        <v/>
      </c>
      <c r="L653" s="4" t="str">
        <f>HYPERLINK("http://141.218.60.56/~jnz1568/getInfo.php?workbook=06_02.xlsx&amp;sheet=A0&amp;row=653&amp;col=12&amp;number=1639&amp;sourceID=30","1639")</f>
        <v>1639</v>
      </c>
      <c r="M653" s="4" t="str">
        <f>HYPERLINK("http://141.218.60.56/~jnz1568/getInfo.php?workbook=06_02.xlsx&amp;sheet=A0&amp;row=653&amp;col=13&amp;number=1.168e-05&amp;sourceID=30","1.168e-05")</f>
        <v>1.168e-05</v>
      </c>
      <c r="N653" s="4" t="str">
        <f>HYPERLINK("http://141.218.60.56/~jnz1568/getInfo.php?workbook=06_02.xlsx&amp;sheet=A0&amp;row=653&amp;col=14&amp;number=&amp;sourceID=30","")</f>
        <v/>
      </c>
      <c r="O653" s="4" t="str">
        <f>HYPERLINK("http://141.218.60.56/~jnz1568/getInfo.php?workbook=06_02.xlsx&amp;sheet=A0&amp;row=653&amp;col=15&amp;number=&amp;sourceID=32","")</f>
        <v/>
      </c>
      <c r="P653" s="4" t="str">
        <f>HYPERLINK("http://141.218.60.56/~jnz1568/getInfo.php?workbook=06_02.xlsx&amp;sheet=A0&amp;row=653&amp;col=16&amp;number=1639&amp;sourceID=32","1639")</f>
        <v>1639</v>
      </c>
      <c r="Q653" s="4" t="str">
        <f>HYPERLINK("http://141.218.60.56/~jnz1568/getInfo.php?workbook=06_02.xlsx&amp;sheet=A0&amp;row=653&amp;col=17&amp;number=1.277e-05&amp;sourceID=32","1.277e-05")</f>
        <v>1.277e-05</v>
      </c>
      <c r="R653" s="4" t="str">
        <f>HYPERLINK("http://141.218.60.56/~jnz1568/getInfo.php?workbook=06_02.xlsx&amp;sheet=A0&amp;row=653&amp;col=18&amp;number=&amp;sourceID=32","")</f>
        <v/>
      </c>
    </row>
    <row r="654" spans="1:18">
      <c r="A654" s="3">
        <v>6</v>
      </c>
      <c r="B654" s="3">
        <v>2</v>
      </c>
      <c r="C654" s="3">
        <v>40</v>
      </c>
      <c r="D654" s="3">
        <v>28</v>
      </c>
      <c r="E654" s="3">
        <f>((1/(INDEX(E0!J$4:J$52,C654,1)-INDEX(E0!J$4:J$52,D654,1))))*100000000</f>
        <v>0</v>
      </c>
      <c r="F654" s="4" t="str">
        <f>HYPERLINK("http://141.218.60.56/~jnz1568/getInfo.php?workbook=06_02.xlsx&amp;sheet=A0&amp;row=654&amp;col=6&amp;number=&amp;sourceID=27","")</f>
        <v/>
      </c>
      <c r="G654" s="4" t="str">
        <f>HYPERLINK("http://141.218.60.56/~jnz1568/getInfo.php?workbook=06_02.xlsx&amp;sheet=A0&amp;row=654&amp;col=7&amp;number=&amp;sourceID=34","")</f>
        <v/>
      </c>
      <c r="H654" s="4" t="str">
        <f>HYPERLINK("http://141.218.60.56/~jnz1568/getInfo.php?workbook=06_02.xlsx&amp;sheet=A0&amp;row=654&amp;col=8&amp;number=&amp;sourceID=34","")</f>
        <v/>
      </c>
      <c r="I654" s="4" t="str">
        <f>HYPERLINK("http://141.218.60.56/~jnz1568/getInfo.php?workbook=06_02.xlsx&amp;sheet=A0&amp;row=654&amp;col=9&amp;number=&amp;sourceID=34","")</f>
        <v/>
      </c>
      <c r="J654" s="4" t="str">
        <f>HYPERLINK("http://141.218.60.56/~jnz1568/getInfo.php?workbook=06_02.xlsx&amp;sheet=A0&amp;row=654&amp;col=10&amp;number=&amp;sourceID=34","")</f>
        <v/>
      </c>
      <c r="K654" s="4" t="str">
        <f>HYPERLINK("http://141.218.60.56/~jnz1568/getInfo.php?workbook=06_02.xlsx&amp;sheet=A0&amp;row=654&amp;col=11&amp;number=&amp;sourceID=30","")</f>
        <v/>
      </c>
      <c r="L654" s="4" t="str">
        <f>HYPERLINK("http://141.218.60.56/~jnz1568/getInfo.php?workbook=06_02.xlsx&amp;sheet=A0&amp;row=654&amp;col=12&amp;number=472.7&amp;sourceID=30","472.7")</f>
        <v>472.7</v>
      </c>
      <c r="M654" s="4" t="str">
        <f>HYPERLINK("http://141.218.60.56/~jnz1568/getInfo.php?workbook=06_02.xlsx&amp;sheet=A0&amp;row=654&amp;col=13&amp;number=3.978e-06&amp;sourceID=30","3.978e-06")</f>
        <v>3.978e-06</v>
      </c>
      <c r="N654" s="4" t="str">
        <f>HYPERLINK("http://141.218.60.56/~jnz1568/getInfo.php?workbook=06_02.xlsx&amp;sheet=A0&amp;row=654&amp;col=14&amp;number=&amp;sourceID=30","")</f>
        <v/>
      </c>
      <c r="O654" s="4" t="str">
        <f>HYPERLINK("http://141.218.60.56/~jnz1568/getInfo.php?workbook=06_02.xlsx&amp;sheet=A0&amp;row=654&amp;col=15&amp;number=&amp;sourceID=32","")</f>
        <v/>
      </c>
      <c r="P654" s="4" t="str">
        <f>HYPERLINK("http://141.218.60.56/~jnz1568/getInfo.php?workbook=06_02.xlsx&amp;sheet=A0&amp;row=654&amp;col=16&amp;number=258.5&amp;sourceID=32","258.5")</f>
        <v>258.5</v>
      </c>
      <c r="Q654" s="4" t="str">
        <f>HYPERLINK("http://141.218.60.56/~jnz1568/getInfo.php?workbook=06_02.xlsx&amp;sheet=A0&amp;row=654&amp;col=17&amp;number=1.097e-05&amp;sourceID=32","1.097e-05")</f>
        <v>1.097e-05</v>
      </c>
      <c r="R654" s="4" t="str">
        <f>HYPERLINK("http://141.218.60.56/~jnz1568/getInfo.php?workbook=06_02.xlsx&amp;sheet=A0&amp;row=654&amp;col=18&amp;number=&amp;sourceID=32","")</f>
        <v/>
      </c>
    </row>
    <row r="655" spans="1:18">
      <c r="A655" s="3">
        <v>6</v>
      </c>
      <c r="B655" s="3">
        <v>2</v>
      </c>
      <c r="C655" s="3">
        <v>40</v>
      </c>
      <c r="D655" s="3">
        <v>29</v>
      </c>
      <c r="E655" s="3">
        <f>((1/(INDEX(E0!J$4:J$52,C655,1)-INDEX(E0!J$4:J$52,D655,1))))*100000000</f>
        <v>0</v>
      </c>
      <c r="F655" s="4" t="str">
        <f>HYPERLINK("http://141.218.60.56/~jnz1568/getInfo.php?workbook=06_02.xlsx&amp;sheet=A0&amp;row=655&amp;col=6&amp;number=&amp;sourceID=27","")</f>
        <v/>
      </c>
      <c r="G655" s="4" t="str">
        <f>HYPERLINK("http://141.218.60.56/~jnz1568/getInfo.php?workbook=06_02.xlsx&amp;sheet=A0&amp;row=655&amp;col=7&amp;number=&amp;sourceID=34","")</f>
        <v/>
      </c>
      <c r="H655" s="4" t="str">
        <f>HYPERLINK("http://141.218.60.56/~jnz1568/getInfo.php?workbook=06_02.xlsx&amp;sheet=A0&amp;row=655&amp;col=8&amp;number=&amp;sourceID=34","")</f>
        <v/>
      </c>
      <c r="I655" s="4" t="str">
        <f>HYPERLINK("http://141.218.60.56/~jnz1568/getInfo.php?workbook=06_02.xlsx&amp;sheet=A0&amp;row=655&amp;col=9&amp;number=&amp;sourceID=34","")</f>
        <v/>
      </c>
      <c r="J655" s="4" t="str">
        <f>HYPERLINK("http://141.218.60.56/~jnz1568/getInfo.php?workbook=06_02.xlsx&amp;sheet=A0&amp;row=655&amp;col=10&amp;number=&amp;sourceID=34","")</f>
        <v/>
      </c>
      <c r="K655" s="4" t="str">
        <f>HYPERLINK("http://141.218.60.56/~jnz1568/getInfo.php?workbook=06_02.xlsx&amp;sheet=A0&amp;row=655&amp;col=11&amp;number=&amp;sourceID=30","")</f>
        <v/>
      </c>
      <c r="L655" s="4" t="str">
        <f>HYPERLINK("http://141.218.60.56/~jnz1568/getInfo.php?workbook=06_02.xlsx&amp;sheet=A0&amp;row=655&amp;col=12&amp;number=34.14&amp;sourceID=30","34.14")</f>
        <v>34.14</v>
      </c>
      <c r="M655" s="4" t="str">
        <f>HYPERLINK("http://141.218.60.56/~jnz1568/getInfo.php?workbook=06_02.xlsx&amp;sheet=A0&amp;row=655&amp;col=13&amp;number=&amp;sourceID=30","")</f>
        <v/>
      </c>
      <c r="N655" s="4" t="str">
        <f>HYPERLINK("http://141.218.60.56/~jnz1568/getInfo.php?workbook=06_02.xlsx&amp;sheet=A0&amp;row=655&amp;col=14&amp;number=&amp;sourceID=30","")</f>
        <v/>
      </c>
      <c r="O655" s="4" t="str">
        <f>HYPERLINK("http://141.218.60.56/~jnz1568/getInfo.php?workbook=06_02.xlsx&amp;sheet=A0&amp;row=655&amp;col=15&amp;number=&amp;sourceID=32","")</f>
        <v/>
      </c>
      <c r="P655" s="4" t="str">
        <f>HYPERLINK("http://141.218.60.56/~jnz1568/getInfo.php?workbook=06_02.xlsx&amp;sheet=A0&amp;row=655&amp;col=16&amp;number=&amp;sourceID=32","")</f>
        <v/>
      </c>
      <c r="Q655" s="4" t="str">
        <f>HYPERLINK("http://141.218.60.56/~jnz1568/getInfo.php?workbook=06_02.xlsx&amp;sheet=A0&amp;row=655&amp;col=17&amp;number=&amp;sourceID=32","")</f>
        <v/>
      </c>
      <c r="R655" s="4" t="str">
        <f>HYPERLINK("http://141.218.60.56/~jnz1568/getInfo.php?workbook=06_02.xlsx&amp;sheet=A0&amp;row=655&amp;col=18&amp;number=&amp;sourceID=32","")</f>
        <v/>
      </c>
    </row>
    <row r="656" spans="1:18">
      <c r="A656" s="3">
        <v>6</v>
      </c>
      <c r="B656" s="3">
        <v>2</v>
      </c>
      <c r="C656" s="3">
        <v>40</v>
      </c>
      <c r="D656" s="3">
        <v>30</v>
      </c>
      <c r="E656" s="3">
        <f>((1/(INDEX(E0!J$4:J$52,C656,1)-INDEX(E0!J$4:J$52,D656,1))))*100000000</f>
        <v>0</v>
      </c>
      <c r="F656" s="4" t="str">
        <f>HYPERLINK("http://141.218.60.56/~jnz1568/getInfo.php?workbook=06_02.xlsx&amp;sheet=A0&amp;row=656&amp;col=6&amp;number=&amp;sourceID=27","")</f>
        <v/>
      </c>
      <c r="G656" s="4" t="str">
        <f>HYPERLINK("http://141.218.60.56/~jnz1568/getInfo.php?workbook=06_02.xlsx&amp;sheet=A0&amp;row=656&amp;col=7&amp;number=&amp;sourceID=34","")</f>
        <v/>
      </c>
      <c r="H656" s="4" t="str">
        <f>HYPERLINK("http://141.218.60.56/~jnz1568/getInfo.php?workbook=06_02.xlsx&amp;sheet=A0&amp;row=656&amp;col=8&amp;number=&amp;sourceID=34","")</f>
        <v/>
      </c>
      <c r="I656" s="4" t="str">
        <f>HYPERLINK("http://141.218.60.56/~jnz1568/getInfo.php?workbook=06_02.xlsx&amp;sheet=A0&amp;row=656&amp;col=9&amp;number=&amp;sourceID=34","")</f>
        <v/>
      </c>
      <c r="J656" s="4" t="str">
        <f>HYPERLINK("http://141.218.60.56/~jnz1568/getInfo.php?workbook=06_02.xlsx&amp;sheet=A0&amp;row=656&amp;col=10&amp;number=&amp;sourceID=34","")</f>
        <v/>
      </c>
      <c r="K656" s="4" t="str">
        <f>HYPERLINK("http://141.218.60.56/~jnz1568/getInfo.php?workbook=06_02.xlsx&amp;sheet=A0&amp;row=656&amp;col=11&amp;number=465200&amp;sourceID=30","465200")</f>
        <v>465200</v>
      </c>
      <c r="L656" s="4" t="str">
        <f>HYPERLINK("http://141.218.60.56/~jnz1568/getInfo.php?workbook=06_02.xlsx&amp;sheet=A0&amp;row=656&amp;col=12&amp;number=&amp;sourceID=30","")</f>
        <v/>
      </c>
      <c r="M656" s="4" t="str">
        <f>HYPERLINK("http://141.218.60.56/~jnz1568/getInfo.php?workbook=06_02.xlsx&amp;sheet=A0&amp;row=656&amp;col=13&amp;number=&amp;sourceID=30","")</f>
        <v/>
      </c>
      <c r="N656" s="4" t="str">
        <f>HYPERLINK("http://141.218.60.56/~jnz1568/getInfo.php?workbook=06_02.xlsx&amp;sheet=A0&amp;row=656&amp;col=14&amp;number=0.001622&amp;sourceID=30","0.001622")</f>
        <v>0.001622</v>
      </c>
      <c r="O656" s="4" t="str">
        <f>HYPERLINK("http://141.218.60.56/~jnz1568/getInfo.php?workbook=06_02.xlsx&amp;sheet=A0&amp;row=656&amp;col=15&amp;number=635900&amp;sourceID=32","635900")</f>
        <v>635900</v>
      </c>
      <c r="P656" s="4" t="str">
        <f>HYPERLINK("http://141.218.60.56/~jnz1568/getInfo.php?workbook=06_02.xlsx&amp;sheet=A0&amp;row=656&amp;col=16&amp;number=&amp;sourceID=32","")</f>
        <v/>
      </c>
      <c r="Q656" s="4" t="str">
        <f>HYPERLINK("http://141.218.60.56/~jnz1568/getInfo.php?workbook=06_02.xlsx&amp;sheet=A0&amp;row=656&amp;col=17&amp;number=&amp;sourceID=32","")</f>
        <v/>
      </c>
      <c r="R656" s="4" t="str">
        <f>HYPERLINK("http://141.218.60.56/~jnz1568/getInfo.php?workbook=06_02.xlsx&amp;sheet=A0&amp;row=656&amp;col=18&amp;number=0.001593&amp;sourceID=32","0.001593")</f>
        <v>0.001593</v>
      </c>
    </row>
    <row r="657" spans="1:18">
      <c r="A657" s="3">
        <v>6</v>
      </c>
      <c r="B657" s="3">
        <v>2</v>
      </c>
      <c r="C657" s="3">
        <v>40</v>
      </c>
      <c r="D657" s="3">
        <v>31</v>
      </c>
      <c r="E657" s="3">
        <f>((1/(INDEX(E0!J$4:J$52,C657,1)-INDEX(E0!J$4:J$52,D657,1))))*100000000</f>
        <v>0</v>
      </c>
      <c r="F657" s="4" t="str">
        <f>HYPERLINK("http://141.218.60.56/~jnz1568/getInfo.php?workbook=06_02.xlsx&amp;sheet=A0&amp;row=657&amp;col=6&amp;number=&amp;sourceID=27","")</f>
        <v/>
      </c>
      <c r="G657" s="4" t="str">
        <f>HYPERLINK("http://141.218.60.56/~jnz1568/getInfo.php?workbook=06_02.xlsx&amp;sheet=A0&amp;row=657&amp;col=7&amp;number=&amp;sourceID=34","")</f>
        <v/>
      </c>
      <c r="H657" s="4" t="str">
        <f>HYPERLINK("http://141.218.60.56/~jnz1568/getInfo.php?workbook=06_02.xlsx&amp;sheet=A0&amp;row=657&amp;col=8&amp;number=&amp;sourceID=34","")</f>
        <v/>
      </c>
      <c r="I657" s="4" t="str">
        <f>HYPERLINK("http://141.218.60.56/~jnz1568/getInfo.php?workbook=06_02.xlsx&amp;sheet=A0&amp;row=657&amp;col=9&amp;number=&amp;sourceID=34","")</f>
        <v/>
      </c>
      <c r="J657" s="4" t="str">
        <f>HYPERLINK("http://141.218.60.56/~jnz1568/getInfo.php?workbook=06_02.xlsx&amp;sheet=A0&amp;row=657&amp;col=10&amp;number=&amp;sourceID=34","")</f>
        <v/>
      </c>
      <c r="K657" s="4" t="str">
        <f>HYPERLINK("http://141.218.60.56/~jnz1568/getInfo.php?workbook=06_02.xlsx&amp;sheet=A0&amp;row=657&amp;col=11&amp;number=&amp;sourceID=30","")</f>
        <v/>
      </c>
      <c r="L657" s="4" t="str">
        <f>HYPERLINK("http://141.218.60.56/~jnz1568/getInfo.php?workbook=06_02.xlsx&amp;sheet=A0&amp;row=657&amp;col=12&amp;number=0.1818&amp;sourceID=30","0.1818")</f>
        <v>0.1818</v>
      </c>
      <c r="M657" s="4" t="str">
        <f>HYPERLINK("http://141.218.60.56/~jnz1568/getInfo.php?workbook=06_02.xlsx&amp;sheet=A0&amp;row=657&amp;col=13&amp;number=2.098e-07&amp;sourceID=30","2.098e-07")</f>
        <v>2.098e-07</v>
      </c>
      <c r="N657" s="4" t="str">
        <f>HYPERLINK("http://141.218.60.56/~jnz1568/getInfo.php?workbook=06_02.xlsx&amp;sheet=A0&amp;row=657&amp;col=14&amp;number=&amp;sourceID=30","")</f>
        <v/>
      </c>
      <c r="O657" s="4" t="str">
        <f>HYPERLINK("http://141.218.60.56/~jnz1568/getInfo.php?workbook=06_02.xlsx&amp;sheet=A0&amp;row=657&amp;col=15&amp;number=&amp;sourceID=32","")</f>
        <v/>
      </c>
      <c r="P657" s="4" t="str">
        <f>HYPERLINK("http://141.218.60.56/~jnz1568/getInfo.php?workbook=06_02.xlsx&amp;sheet=A0&amp;row=657&amp;col=16&amp;number=0.2063&amp;sourceID=32","0.2063")</f>
        <v>0.2063</v>
      </c>
      <c r="Q657" s="4" t="str">
        <f>HYPERLINK("http://141.218.60.56/~jnz1568/getInfo.php?workbook=06_02.xlsx&amp;sheet=A0&amp;row=657&amp;col=17&amp;number=4.003e-07&amp;sourceID=32","4.003e-07")</f>
        <v>4.003e-07</v>
      </c>
      <c r="R657" s="4" t="str">
        <f>HYPERLINK("http://141.218.60.56/~jnz1568/getInfo.php?workbook=06_02.xlsx&amp;sheet=A0&amp;row=657&amp;col=18&amp;number=&amp;sourceID=32","")</f>
        <v/>
      </c>
    </row>
    <row r="658" spans="1:18">
      <c r="A658" s="3">
        <v>6</v>
      </c>
      <c r="B658" s="3">
        <v>2</v>
      </c>
      <c r="C658" s="3">
        <v>40</v>
      </c>
      <c r="D658" s="3">
        <v>32</v>
      </c>
      <c r="E658" s="3">
        <f>((1/(INDEX(E0!J$4:J$52,C658,1)-INDEX(E0!J$4:J$52,D658,1))))*100000000</f>
        <v>0</v>
      </c>
      <c r="F658" s="4" t="str">
        <f>HYPERLINK("http://141.218.60.56/~jnz1568/getInfo.php?workbook=06_02.xlsx&amp;sheet=A0&amp;row=658&amp;col=6&amp;number=&amp;sourceID=27","")</f>
        <v/>
      </c>
      <c r="G658" s="4" t="str">
        <f>HYPERLINK("http://141.218.60.56/~jnz1568/getInfo.php?workbook=06_02.xlsx&amp;sheet=A0&amp;row=658&amp;col=7&amp;number=&amp;sourceID=34","")</f>
        <v/>
      </c>
      <c r="H658" s="4" t="str">
        <f>HYPERLINK("http://141.218.60.56/~jnz1568/getInfo.php?workbook=06_02.xlsx&amp;sheet=A0&amp;row=658&amp;col=8&amp;number=&amp;sourceID=34","")</f>
        <v/>
      </c>
      <c r="I658" s="4" t="str">
        <f>HYPERLINK("http://141.218.60.56/~jnz1568/getInfo.php?workbook=06_02.xlsx&amp;sheet=A0&amp;row=658&amp;col=9&amp;number=&amp;sourceID=34","")</f>
        <v/>
      </c>
      <c r="J658" s="4" t="str">
        <f>HYPERLINK("http://141.218.60.56/~jnz1568/getInfo.php?workbook=06_02.xlsx&amp;sheet=A0&amp;row=658&amp;col=10&amp;number=&amp;sourceID=34","")</f>
        <v/>
      </c>
      <c r="K658" s="4" t="str">
        <f>HYPERLINK("http://141.218.60.56/~jnz1568/getInfo.php?workbook=06_02.xlsx&amp;sheet=A0&amp;row=658&amp;col=11&amp;number=0.006775&amp;sourceID=30","0.006775")</f>
        <v>0.006775</v>
      </c>
      <c r="L658" s="4" t="str">
        <f>HYPERLINK("http://141.218.60.56/~jnz1568/getInfo.php?workbook=06_02.xlsx&amp;sheet=A0&amp;row=658&amp;col=12&amp;number=&amp;sourceID=30","")</f>
        <v/>
      </c>
      <c r="M658" s="4" t="str">
        <f>HYPERLINK("http://141.218.60.56/~jnz1568/getInfo.php?workbook=06_02.xlsx&amp;sheet=A0&amp;row=658&amp;col=13&amp;number=&amp;sourceID=30","")</f>
        <v/>
      </c>
      <c r="N658" s="4" t="str">
        <f>HYPERLINK("http://141.218.60.56/~jnz1568/getInfo.php?workbook=06_02.xlsx&amp;sheet=A0&amp;row=658&amp;col=14&amp;number=0&amp;sourceID=30","0")</f>
        <v>0</v>
      </c>
      <c r="O658" s="4" t="str">
        <f>HYPERLINK("http://141.218.60.56/~jnz1568/getInfo.php?workbook=06_02.xlsx&amp;sheet=A0&amp;row=658&amp;col=15&amp;number=0.007203&amp;sourceID=32","0.007203")</f>
        <v>0.007203</v>
      </c>
      <c r="P658" s="4" t="str">
        <f>HYPERLINK("http://141.218.60.56/~jnz1568/getInfo.php?workbook=06_02.xlsx&amp;sheet=A0&amp;row=658&amp;col=16&amp;number=&amp;sourceID=32","")</f>
        <v/>
      </c>
      <c r="Q658" s="4" t="str">
        <f>HYPERLINK("http://141.218.60.56/~jnz1568/getInfo.php?workbook=06_02.xlsx&amp;sheet=A0&amp;row=658&amp;col=17&amp;number=&amp;sourceID=32","")</f>
        <v/>
      </c>
      <c r="R658" s="4" t="str">
        <f>HYPERLINK("http://141.218.60.56/~jnz1568/getInfo.php?workbook=06_02.xlsx&amp;sheet=A0&amp;row=658&amp;col=18&amp;number=0&amp;sourceID=32","0")</f>
        <v>0</v>
      </c>
    </row>
    <row r="659" spans="1:18">
      <c r="A659" s="3">
        <v>6</v>
      </c>
      <c r="B659" s="3">
        <v>2</v>
      </c>
      <c r="C659" s="3">
        <v>40</v>
      </c>
      <c r="D659" s="3">
        <v>33</v>
      </c>
      <c r="E659" s="3">
        <f>((1/(INDEX(E0!J$4:J$52,C659,1)-INDEX(E0!J$4:J$52,D659,1))))*100000000</f>
        <v>0</v>
      </c>
      <c r="F659" s="4" t="str">
        <f>HYPERLINK("http://141.218.60.56/~jnz1568/getInfo.php?workbook=06_02.xlsx&amp;sheet=A0&amp;row=659&amp;col=6&amp;number=&amp;sourceID=27","")</f>
        <v/>
      </c>
      <c r="G659" s="4" t="str">
        <f>HYPERLINK("http://141.218.60.56/~jnz1568/getInfo.php?workbook=06_02.xlsx&amp;sheet=A0&amp;row=659&amp;col=7&amp;number=&amp;sourceID=34","")</f>
        <v/>
      </c>
      <c r="H659" s="4" t="str">
        <f>HYPERLINK("http://141.218.60.56/~jnz1568/getInfo.php?workbook=06_02.xlsx&amp;sheet=A0&amp;row=659&amp;col=8&amp;number=&amp;sourceID=34","")</f>
        <v/>
      </c>
      <c r="I659" s="4" t="str">
        <f>HYPERLINK("http://141.218.60.56/~jnz1568/getInfo.php?workbook=06_02.xlsx&amp;sheet=A0&amp;row=659&amp;col=9&amp;number=&amp;sourceID=34","")</f>
        <v/>
      </c>
      <c r="J659" s="4" t="str">
        <f>HYPERLINK("http://141.218.60.56/~jnz1568/getInfo.php?workbook=06_02.xlsx&amp;sheet=A0&amp;row=659&amp;col=10&amp;number=&amp;sourceID=34","")</f>
        <v/>
      </c>
      <c r="K659" s="4" t="str">
        <f>HYPERLINK("http://141.218.60.56/~jnz1568/getInfo.php?workbook=06_02.xlsx&amp;sheet=A0&amp;row=659&amp;col=11&amp;number=&amp;sourceID=30","")</f>
        <v/>
      </c>
      <c r="L659" s="4" t="str">
        <f>HYPERLINK("http://141.218.60.56/~jnz1568/getInfo.php?workbook=06_02.xlsx&amp;sheet=A0&amp;row=659&amp;col=12&amp;number=&amp;sourceID=30","")</f>
        <v/>
      </c>
      <c r="M659" s="4" t="str">
        <f>HYPERLINK("http://141.218.60.56/~jnz1568/getInfo.php?workbook=06_02.xlsx&amp;sheet=A0&amp;row=659&amp;col=13&amp;number=&amp;sourceID=30","")</f>
        <v/>
      </c>
      <c r="N659" s="4" t="str">
        <f>HYPERLINK("http://141.218.60.56/~jnz1568/getInfo.php?workbook=06_02.xlsx&amp;sheet=A0&amp;row=659&amp;col=14&amp;number=0&amp;sourceID=30","0")</f>
        <v>0</v>
      </c>
      <c r="O659" s="4" t="str">
        <f>HYPERLINK("http://141.218.60.56/~jnz1568/getInfo.php?workbook=06_02.xlsx&amp;sheet=A0&amp;row=659&amp;col=15&amp;number=&amp;sourceID=32","")</f>
        <v/>
      </c>
      <c r="P659" s="4" t="str">
        <f>HYPERLINK("http://141.218.60.56/~jnz1568/getInfo.php?workbook=06_02.xlsx&amp;sheet=A0&amp;row=659&amp;col=16&amp;number=&amp;sourceID=32","")</f>
        <v/>
      </c>
      <c r="Q659" s="4" t="str">
        <f>HYPERLINK("http://141.218.60.56/~jnz1568/getInfo.php?workbook=06_02.xlsx&amp;sheet=A0&amp;row=659&amp;col=17&amp;number=&amp;sourceID=32","")</f>
        <v/>
      </c>
      <c r="R659" s="4" t="str">
        <f>HYPERLINK("http://141.218.60.56/~jnz1568/getInfo.php?workbook=06_02.xlsx&amp;sheet=A0&amp;row=659&amp;col=18&amp;number=0&amp;sourceID=32","0")</f>
        <v>0</v>
      </c>
    </row>
    <row r="660" spans="1:18">
      <c r="A660" s="3">
        <v>6</v>
      </c>
      <c r="B660" s="3">
        <v>2</v>
      </c>
      <c r="C660" s="3">
        <v>40</v>
      </c>
      <c r="D660" s="3">
        <v>34</v>
      </c>
      <c r="E660" s="3">
        <f>((1/(INDEX(E0!J$4:J$52,C660,1)-INDEX(E0!J$4:J$52,D660,1))))*100000000</f>
        <v>0</v>
      </c>
      <c r="F660" s="4" t="str">
        <f>HYPERLINK("http://141.218.60.56/~jnz1568/getInfo.php?workbook=06_02.xlsx&amp;sheet=A0&amp;row=660&amp;col=6&amp;number=&amp;sourceID=27","")</f>
        <v/>
      </c>
      <c r="G660" s="4" t="str">
        <f>HYPERLINK("http://141.218.60.56/~jnz1568/getInfo.php?workbook=06_02.xlsx&amp;sheet=A0&amp;row=660&amp;col=7&amp;number=&amp;sourceID=34","")</f>
        <v/>
      </c>
      <c r="H660" s="4" t="str">
        <f>HYPERLINK("http://141.218.60.56/~jnz1568/getInfo.php?workbook=06_02.xlsx&amp;sheet=A0&amp;row=660&amp;col=8&amp;number=&amp;sourceID=34","")</f>
        <v/>
      </c>
      <c r="I660" s="4" t="str">
        <f>HYPERLINK("http://141.218.60.56/~jnz1568/getInfo.php?workbook=06_02.xlsx&amp;sheet=A0&amp;row=660&amp;col=9&amp;number=&amp;sourceID=34","")</f>
        <v/>
      </c>
      <c r="J660" s="4" t="str">
        <f>HYPERLINK("http://141.218.60.56/~jnz1568/getInfo.php?workbook=06_02.xlsx&amp;sheet=A0&amp;row=660&amp;col=10&amp;number=&amp;sourceID=34","")</f>
        <v/>
      </c>
      <c r="K660" s="4" t="str">
        <f>HYPERLINK("http://141.218.60.56/~jnz1568/getInfo.php?workbook=06_02.xlsx&amp;sheet=A0&amp;row=660&amp;col=11&amp;number=&amp;sourceID=30","")</f>
        <v/>
      </c>
      <c r="L660" s="4" t="str">
        <f>HYPERLINK("http://141.218.60.56/~jnz1568/getInfo.php?workbook=06_02.xlsx&amp;sheet=A0&amp;row=660&amp;col=12&amp;number=8.321e-05&amp;sourceID=30","8.321e-05")</f>
        <v>8.321e-05</v>
      </c>
      <c r="M660" s="4" t="str">
        <f>HYPERLINK("http://141.218.60.56/~jnz1568/getInfo.php?workbook=06_02.xlsx&amp;sheet=A0&amp;row=660&amp;col=13&amp;number=&amp;sourceID=30","")</f>
        <v/>
      </c>
      <c r="N660" s="4" t="str">
        <f>HYPERLINK("http://141.218.60.56/~jnz1568/getInfo.php?workbook=06_02.xlsx&amp;sheet=A0&amp;row=660&amp;col=14&amp;number=&amp;sourceID=30","")</f>
        <v/>
      </c>
      <c r="O660" s="4" t="str">
        <f>HYPERLINK("http://141.218.60.56/~jnz1568/getInfo.php?workbook=06_02.xlsx&amp;sheet=A0&amp;row=660&amp;col=15&amp;number=&amp;sourceID=32","")</f>
        <v/>
      </c>
      <c r="P660" s="4" t="str">
        <f>HYPERLINK("http://141.218.60.56/~jnz1568/getInfo.php?workbook=06_02.xlsx&amp;sheet=A0&amp;row=660&amp;col=16&amp;number=0.0001087&amp;sourceID=32","0.0001087")</f>
        <v>0.0001087</v>
      </c>
      <c r="Q660" s="4" t="str">
        <f>HYPERLINK("http://141.218.60.56/~jnz1568/getInfo.php?workbook=06_02.xlsx&amp;sheet=A0&amp;row=660&amp;col=17&amp;number=&amp;sourceID=32","")</f>
        <v/>
      </c>
      <c r="R660" s="4" t="str">
        <f>HYPERLINK("http://141.218.60.56/~jnz1568/getInfo.php?workbook=06_02.xlsx&amp;sheet=A0&amp;row=660&amp;col=18&amp;number=&amp;sourceID=32","")</f>
        <v/>
      </c>
    </row>
    <row r="661" spans="1:18">
      <c r="A661" s="3">
        <v>6</v>
      </c>
      <c r="B661" s="3">
        <v>2</v>
      </c>
      <c r="C661" s="3">
        <v>40</v>
      </c>
      <c r="D661" s="3">
        <v>35</v>
      </c>
      <c r="E661" s="3">
        <f>((1/(INDEX(E0!J$4:J$52,C661,1)-INDEX(E0!J$4:J$52,D661,1))))*100000000</f>
        <v>0</v>
      </c>
      <c r="F661" s="4" t="str">
        <f>HYPERLINK("http://141.218.60.56/~jnz1568/getInfo.php?workbook=06_02.xlsx&amp;sheet=A0&amp;row=661&amp;col=6&amp;number=&amp;sourceID=27","")</f>
        <v/>
      </c>
      <c r="G661" s="4" t="str">
        <f>HYPERLINK("http://141.218.60.56/~jnz1568/getInfo.php?workbook=06_02.xlsx&amp;sheet=A0&amp;row=661&amp;col=7&amp;number=&amp;sourceID=34","")</f>
        <v/>
      </c>
      <c r="H661" s="4" t="str">
        <f>HYPERLINK("http://141.218.60.56/~jnz1568/getInfo.php?workbook=06_02.xlsx&amp;sheet=A0&amp;row=661&amp;col=8&amp;number=&amp;sourceID=34","")</f>
        <v/>
      </c>
      <c r="I661" s="4" t="str">
        <f>HYPERLINK("http://141.218.60.56/~jnz1568/getInfo.php?workbook=06_02.xlsx&amp;sheet=A0&amp;row=661&amp;col=9&amp;number=&amp;sourceID=34","")</f>
        <v/>
      </c>
      <c r="J661" s="4" t="str">
        <f>HYPERLINK("http://141.218.60.56/~jnz1568/getInfo.php?workbook=06_02.xlsx&amp;sheet=A0&amp;row=661&amp;col=10&amp;number=&amp;sourceID=34","")</f>
        <v/>
      </c>
      <c r="K661" s="4" t="str">
        <f>HYPERLINK("http://141.218.60.56/~jnz1568/getInfo.php?workbook=06_02.xlsx&amp;sheet=A0&amp;row=661&amp;col=11&amp;number=&amp;sourceID=30","")</f>
        <v/>
      </c>
      <c r="L661" s="4" t="str">
        <f>HYPERLINK("http://141.218.60.56/~jnz1568/getInfo.php?workbook=06_02.xlsx&amp;sheet=A0&amp;row=661&amp;col=12&amp;number=8.318e-05&amp;sourceID=30","8.318e-05")</f>
        <v>8.318e-05</v>
      </c>
      <c r="M661" s="4" t="str">
        <f>HYPERLINK("http://141.218.60.56/~jnz1568/getInfo.php?workbook=06_02.xlsx&amp;sheet=A0&amp;row=661&amp;col=13&amp;number=9.099e-12&amp;sourceID=30","9.099e-12")</f>
        <v>9.099e-12</v>
      </c>
      <c r="N661" s="4" t="str">
        <f>HYPERLINK("http://141.218.60.56/~jnz1568/getInfo.php?workbook=06_02.xlsx&amp;sheet=A0&amp;row=661&amp;col=14&amp;number=&amp;sourceID=30","")</f>
        <v/>
      </c>
      <c r="O661" s="4" t="str">
        <f>HYPERLINK("http://141.218.60.56/~jnz1568/getInfo.php?workbook=06_02.xlsx&amp;sheet=A0&amp;row=661&amp;col=15&amp;number=&amp;sourceID=32","")</f>
        <v/>
      </c>
      <c r="P661" s="4" t="str">
        <f>HYPERLINK("http://141.218.60.56/~jnz1568/getInfo.php?workbook=06_02.xlsx&amp;sheet=A0&amp;row=661&amp;col=16&amp;number=0.000108&amp;sourceID=32","0.000108")</f>
        <v>0.000108</v>
      </c>
      <c r="Q661" s="4" t="str">
        <f>HYPERLINK("http://141.218.60.56/~jnz1568/getInfo.php?workbook=06_02.xlsx&amp;sheet=A0&amp;row=661&amp;col=17&amp;number=1.102e-11&amp;sourceID=32","1.102e-11")</f>
        <v>1.102e-11</v>
      </c>
      <c r="R661" s="4" t="str">
        <f>HYPERLINK("http://141.218.60.56/~jnz1568/getInfo.php?workbook=06_02.xlsx&amp;sheet=A0&amp;row=661&amp;col=18&amp;number=&amp;sourceID=32","")</f>
        <v/>
      </c>
    </row>
    <row r="662" spans="1:18">
      <c r="A662" s="3">
        <v>6</v>
      </c>
      <c r="B662" s="3">
        <v>2</v>
      </c>
      <c r="C662" s="3">
        <v>40</v>
      </c>
      <c r="D662" s="3">
        <v>36</v>
      </c>
      <c r="E662" s="3">
        <f>((1/(INDEX(E0!J$4:J$52,C662,1)-INDEX(E0!J$4:J$52,D662,1))))*100000000</f>
        <v>0</v>
      </c>
      <c r="F662" s="4" t="str">
        <f>HYPERLINK("http://141.218.60.56/~jnz1568/getInfo.php?workbook=06_02.xlsx&amp;sheet=A0&amp;row=662&amp;col=6&amp;number=&amp;sourceID=27","")</f>
        <v/>
      </c>
      <c r="G662" s="4" t="str">
        <f>HYPERLINK("http://141.218.60.56/~jnz1568/getInfo.php?workbook=06_02.xlsx&amp;sheet=A0&amp;row=662&amp;col=7&amp;number=&amp;sourceID=34","")</f>
        <v/>
      </c>
      <c r="H662" s="4" t="str">
        <f>HYPERLINK("http://141.218.60.56/~jnz1568/getInfo.php?workbook=06_02.xlsx&amp;sheet=A0&amp;row=662&amp;col=8&amp;number=&amp;sourceID=34","")</f>
        <v/>
      </c>
      <c r="I662" s="4" t="str">
        <f>HYPERLINK("http://141.218.60.56/~jnz1568/getInfo.php?workbook=06_02.xlsx&amp;sheet=A0&amp;row=662&amp;col=9&amp;number=&amp;sourceID=34","")</f>
        <v/>
      </c>
      <c r="J662" s="4" t="str">
        <f>HYPERLINK("http://141.218.60.56/~jnz1568/getInfo.php?workbook=06_02.xlsx&amp;sheet=A0&amp;row=662&amp;col=10&amp;number=&amp;sourceID=34","")</f>
        <v/>
      </c>
      <c r="K662" s="4" t="str">
        <f>HYPERLINK("http://141.218.60.56/~jnz1568/getInfo.php?workbook=06_02.xlsx&amp;sheet=A0&amp;row=662&amp;col=11&amp;number=&amp;sourceID=30","")</f>
        <v/>
      </c>
      <c r="L662" s="4" t="str">
        <f>HYPERLINK("http://141.218.60.56/~jnz1568/getInfo.php?workbook=06_02.xlsx&amp;sheet=A0&amp;row=662&amp;col=12&amp;number=1.147e-05&amp;sourceID=30","1.147e-05")</f>
        <v>1.147e-05</v>
      </c>
      <c r="M662" s="4" t="str">
        <f>HYPERLINK("http://141.218.60.56/~jnz1568/getInfo.php?workbook=06_02.xlsx&amp;sheet=A0&amp;row=662&amp;col=13&amp;number=8.946e-11&amp;sourceID=30","8.946e-11")</f>
        <v>8.946e-11</v>
      </c>
      <c r="N662" s="4" t="str">
        <f>HYPERLINK("http://141.218.60.56/~jnz1568/getInfo.php?workbook=06_02.xlsx&amp;sheet=A0&amp;row=662&amp;col=14&amp;number=&amp;sourceID=30","")</f>
        <v/>
      </c>
      <c r="O662" s="4" t="str">
        <f>HYPERLINK("http://141.218.60.56/~jnz1568/getInfo.php?workbook=06_02.xlsx&amp;sheet=A0&amp;row=662&amp;col=15&amp;number=&amp;sourceID=32","")</f>
        <v/>
      </c>
      <c r="P662" s="4" t="str">
        <f>HYPERLINK("http://141.218.60.56/~jnz1568/getInfo.php?workbook=06_02.xlsx&amp;sheet=A0&amp;row=662&amp;col=16&amp;number=1.471e-05&amp;sourceID=32","1.471e-05")</f>
        <v>1.471e-05</v>
      </c>
      <c r="Q662" s="4" t="str">
        <f>HYPERLINK("http://141.218.60.56/~jnz1568/getInfo.php?workbook=06_02.xlsx&amp;sheet=A0&amp;row=662&amp;col=17&amp;number=1.077e-10&amp;sourceID=32","1.077e-10")</f>
        <v>1.077e-10</v>
      </c>
      <c r="R662" s="4" t="str">
        <f>HYPERLINK("http://141.218.60.56/~jnz1568/getInfo.php?workbook=06_02.xlsx&amp;sheet=A0&amp;row=662&amp;col=18&amp;number=&amp;sourceID=32","")</f>
        <v/>
      </c>
    </row>
    <row r="663" spans="1:18">
      <c r="A663" s="3">
        <v>6</v>
      </c>
      <c r="B663" s="3">
        <v>2</v>
      </c>
      <c r="C663" s="3">
        <v>40</v>
      </c>
      <c r="D663" s="3">
        <v>37</v>
      </c>
      <c r="E663" s="3">
        <f>((1/(INDEX(E0!J$4:J$52,C663,1)-INDEX(E0!J$4:J$52,D663,1))))*100000000</f>
        <v>0</v>
      </c>
      <c r="F663" s="4" t="str">
        <f>HYPERLINK("http://141.218.60.56/~jnz1568/getInfo.php?workbook=06_02.xlsx&amp;sheet=A0&amp;row=663&amp;col=6&amp;number=&amp;sourceID=27","")</f>
        <v/>
      </c>
      <c r="G663" s="4" t="str">
        <f>HYPERLINK("http://141.218.60.56/~jnz1568/getInfo.php?workbook=06_02.xlsx&amp;sheet=A0&amp;row=663&amp;col=7&amp;number=&amp;sourceID=34","")</f>
        <v/>
      </c>
      <c r="H663" s="4" t="str">
        <f>HYPERLINK("http://141.218.60.56/~jnz1568/getInfo.php?workbook=06_02.xlsx&amp;sheet=A0&amp;row=663&amp;col=8&amp;number=&amp;sourceID=34","")</f>
        <v/>
      </c>
      <c r="I663" s="4" t="str">
        <f>HYPERLINK("http://141.218.60.56/~jnz1568/getInfo.php?workbook=06_02.xlsx&amp;sheet=A0&amp;row=663&amp;col=9&amp;number=&amp;sourceID=34","")</f>
        <v/>
      </c>
      <c r="J663" s="4" t="str">
        <f>HYPERLINK("http://141.218.60.56/~jnz1568/getInfo.php?workbook=06_02.xlsx&amp;sheet=A0&amp;row=663&amp;col=10&amp;number=&amp;sourceID=34","")</f>
        <v/>
      </c>
      <c r="K663" s="4" t="str">
        <f>HYPERLINK("http://141.218.60.56/~jnz1568/getInfo.php?workbook=06_02.xlsx&amp;sheet=A0&amp;row=663&amp;col=11&amp;number=5.545&amp;sourceID=30","5.545")</f>
        <v>5.545</v>
      </c>
      <c r="L663" s="4" t="str">
        <f>HYPERLINK("http://141.218.60.56/~jnz1568/getInfo.php?workbook=06_02.xlsx&amp;sheet=A0&amp;row=663&amp;col=12&amp;number=&amp;sourceID=30","")</f>
        <v/>
      </c>
      <c r="M663" s="4" t="str">
        <f>HYPERLINK("http://141.218.60.56/~jnz1568/getInfo.php?workbook=06_02.xlsx&amp;sheet=A0&amp;row=663&amp;col=13&amp;number=&amp;sourceID=30","")</f>
        <v/>
      </c>
      <c r="N663" s="4" t="str">
        <f>HYPERLINK("http://141.218.60.56/~jnz1568/getInfo.php?workbook=06_02.xlsx&amp;sheet=A0&amp;row=663&amp;col=14&amp;number=0&amp;sourceID=30","0")</f>
        <v>0</v>
      </c>
      <c r="O663" s="4" t="str">
        <f>HYPERLINK("http://141.218.60.56/~jnz1568/getInfo.php?workbook=06_02.xlsx&amp;sheet=A0&amp;row=663&amp;col=15&amp;number=&amp;sourceID=32","")</f>
        <v/>
      </c>
      <c r="P663" s="4" t="str">
        <f>HYPERLINK("http://141.218.60.56/~jnz1568/getInfo.php?workbook=06_02.xlsx&amp;sheet=A0&amp;row=663&amp;col=16&amp;number=&amp;sourceID=32","")</f>
        <v/>
      </c>
      <c r="Q663" s="4" t="str">
        <f>HYPERLINK("http://141.218.60.56/~jnz1568/getInfo.php?workbook=06_02.xlsx&amp;sheet=A0&amp;row=663&amp;col=17&amp;number=&amp;sourceID=32","")</f>
        <v/>
      </c>
      <c r="R663" s="4" t="str">
        <f>HYPERLINK("http://141.218.60.56/~jnz1568/getInfo.php?workbook=06_02.xlsx&amp;sheet=A0&amp;row=663&amp;col=18&amp;number=&amp;sourceID=32","")</f>
        <v/>
      </c>
    </row>
    <row r="664" spans="1:18">
      <c r="A664" s="3">
        <v>6</v>
      </c>
      <c r="B664" s="3">
        <v>2</v>
      </c>
      <c r="C664" s="3">
        <v>40</v>
      </c>
      <c r="D664" s="3">
        <v>38</v>
      </c>
      <c r="E664" s="3">
        <f>((1/(INDEX(E0!J$4:J$52,C664,1)-INDEX(E0!J$4:J$52,D664,1))))*100000000</f>
        <v>0</v>
      </c>
      <c r="F664" s="4" t="str">
        <f>HYPERLINK("http://141.218.60.56/~jnz1568/getInfo.php?workbook=06_02.xlsx&amp;sheet=A0&amp;row=664&amp;col=6&amp;number=&amp;sourceID=27","")</f>
        <v/>
      </c>
      <c r="G664" s="4" t="str">
        <f>HYPERLINK("http://141.218.60.56/~jnz1568/getInfo.php?workbook=06_02.xlsx&amp;sheet=A0&amp;row=664&amp;col=7&amp;number=&amp;sourceID=34","")</f>
        <v/>
      </c>
      <c r="H664" s="4" t="str">
        <f>HYPERLINK("http://141.218.60.56/~jnz1568/getInfo.php?workbook=06_02.xlsx&amp;sheet=A0&amp;row=664&amp;col=8&amp;number=&amp;sourceID=34","")</f>
        <v/>
      </c>
      <c r="I664" s="4" t="str">
        <f>HYPERLINK("http://141.218.60.56/~jnz1568/getInfo.php?workbook=06_02.xlsx&amp;sheet=A0&amp;row=664&amp;col=9&amp;number=&amp;sourceID=34","")</f>
        <v/>
      </c>
      <c r="J664" s="4" t="str">
        <f>HYPERLINK("http://141.218.60.56/~jnz1568/getInfo.php?workbook=06_02.xlsx&amp;sheet=A0&amp;row=664&amp;col=10&amp;number=&amp;sourceID=34","")</f>
        <v/>
      </c>
      <c r="K664" s="4" t="str">
        <f>HYPERLINK("http://141.218.60.56/~jnz1568/getInfo.php?workbook=06_02.xlsx&amp;sheet=A0&amp;row=664&amp;col=11&amp;number=1.012&amp;sourceID=30","1.012")</f>
        <v>1.012</v>
      </c>
      <c r="L664" s="4" t="str">
        <f>HYPERLINK("http://141.218.60.56/~jnz1568/getInfo.php?workbook=06_02.xlsx&amp;sheet=A0&amp;row=664&amp;col=12&amp;number=&amp;sourceID=30","")</f>
        <v/>
      </c>
      <c r="M664" s="4" t="str">
        <f>HYPERLINK("http://141.218.60.56/~jnz1568/getInfo.php?workbook=06_02.xlsx&amp;sheet=A0&amp;row=664&amp;col=13&amp;number=&amp;sourceID=30","")</f>
        <v/>
      </c>
      <c r="N664" s="4" t="str">
        <f>HYPERLINK("http://141.218.60.56/~jnz1568/getInfo.php?workbook=06_02.xlsx&amp;sheet=A0&amp;row=664&amp;col=14&amp;number=0&amp;sourceID=30","0")</f>
        <v>0</v>
      </c>
      <c r="O664" s="4" t="str">
        <f>HYPERLINK("http://141.218.60.56/~jnz1568/getInfo.php?workbook=06_02.xlsx&amp;sheet=A0&amp;row=664&amp;col=15&amp;number=&amp;sourceID=32","")</f>
        <v/>
      </c>
      <c r="P664" s="4" t="str">
        <f>HYPERLINK("http://141.218.60.56/~jnz1568/getInfo.php?workbook=06_02.xlsx&amp;sheet=A0&amp;row=664&amp;col=16&amp;number=&amp;sourceID=32","")</f>
        <v/>
      </c>
      <c r="Q664" s="4" t="str">
        <f>HYPERLINK("http://141.218.60.56/~jnz1568/getInfo.php?workbook=06_02.xlsx&amp;sheet=A0&amp;row=664&amp;col=17&amp;number=&amp;sourceID=32","")</f>
        <v/>
      </c>
      <c r="R664" s="4" t="str">
        <f>HYPERLINK("http://141.218.60.56/~jnz1568/getInfo.php?workbook=06_02.xlsx&amp;sheet=A0&amp;row=664&amp;col=18&amp;number=&amp;sourceID=32","")</f>
        <v/>
      </c>
    </row>
    <row r="665" spans="1:18">
      <c r="A665" s="3">
        <v>6</v>
      </c>
      <c r="B665" s="3">
        <v>2</v>
      </c>
      <c r="C665" s="3">
        <v>40</v>
      </c>
      <c r="D665" s="3">
        <v>39</v>
      </c>
      <c r="E665" s="3">
        <f>((1/(INDEX(E0!J$4:J$52,C665,1)-INDEX(E0!J$4:J$52,D665,1))))*100000000</f>
        <v>0</v>
      </c>
      <c r="F665" s="4" t="str">
        <f>HYPERLINK("http://141.218.60.56/~jnz1568/getInfo.php?workbook=06_02.xlsx&amp;sheet=A0&amp;row=665&amp;col=6&amp;number=&amp;sourceID=27","")</f>
        <v/>
      </c>
      <c r="G665" s="4" t="str">
        <f>HYPERLINK("http://141.218.60.56/~jnz1568/getInfo.php?workbook=06_02.xlsx&amp;sheet=A0&amp;row=665&amp;col=7&amp;number=&amp;sourceID=34","")</f>
        <v/>
      </c>
      <c r="H665" s="4" t="str">
        <f>HYPERLINK("http://141.218.60.56/~jnz1568/getInfo.php?workbook=06_02.xlsx&amp;sheet=A0&amp;row=665&amp;col=8&amp;number=&amp;sourceID=34","")</f>
        <v/>
      </c>
      <c r="I665" s="4" t="str">
        <f>HYPERLINK("http://141.218.60.56/~jnz1568/getInfo.php?workbook=06_02.xlsx&amp;sheet=A0&amp;row=665&amp;col=9&amp;number=&amp;sourceID=34","")</f>
        <v/>
      </c>
      <c r="J665" s="4" t="str">
        <f>HYPERLINK("http://141.218.60.56/~jnz1568/getInfo.php?workbook=06_02.xlsx&amp;sheet=A0&amp;row=665&amp;col=10&amp;number=&amp;sourceID=34","")</f>
        <v/>
      </c>
      <c r="K665" s="4" t="str">
        <f>HYPERLINK("http://141.218.60.56/~jnz1568/getInfo.php?workbook=06_02.xlsx&amp;sheet=A0&amp;row=665&amp;col=11&amp;number=0.02565&amp;sourceID=30","0.02565")</f>
        <v>0.02565</v>
      </c>
      <c r="L665" s="4" t="str">
        <f>HYPERLINK("http://141.218.60.56/~jnz1568/getInfo.php?workbook=06_02.xlsx&amp;sheet=A0&amp;row=665&amp;col=12&amp;number=&amp;sourceID=30","")</f>
        <v/>
      </c>
      <c r="M665" s="4" t="str">
        <f>HYPERLINK("http://141.218.60.56/~jnz1568/getInfo.php?workbook=06_02.xlsx&amp;sheet=A0&amp;row=665&amp;col=13&amp;number=&amp;sourceID=30","")</f>
        <v/>
      </c>
      <c r="N665" s="4" t="str">
        <f>HYPERLINK("http://141.218.60.56/~jnz1568/getInfo.php?workbook=06_02.xlsx&amp;sheet=A0&amp;row=665&amp;col=14&amp;number=0&amp;sourceID=30","0")</f>
        <v>0</v>
      </c>
      <c r="O665" s="4" t="str">
        <f>HYPERLINK("http://141.218.60.56/~jnz1568/getInfo.php?workbook=06_02.xlsx&amp;sheet=A0&amp;row=665&amp;col=15&amp;number=&amp;sourceID=32","")</f>
        <v/>
      </c>
      <c r="P665" s="4" t="str">
        <f>HYPERLINK("http://141.218.60.56/~jnz1568/getInfo.php?workbook=06_02.xlsx&amp;sheet=A0&amp;row=665&amp;col=16&amp;number=&amp;sourceID=32","")</f>
        <v/>
      </c>
      <c r="Q665" s="4" t="str">
        <f>HYPERLINK("http://141.218.60.56/~jnz1568/getInfo.php?workbook=06_02.xlsx&amp;sheet=A0&amp;row=665&amp;col=17&amp;number=&amp;sourceID=32","")</f>
        <v/>
      </c>
      <c r="R665" s="4" t="str">
        <f>HYPERLINK("http://141.218.60.56/~jnz1568/getInfo.php?workbook=06_02.xlsx&amp;sheet=A0&amp;row=665&amp;col=18&amp;number=&amp;sourceID=32","")</f>
        <v/>
      </c>
    </row>
    <row r="666" spans="1:18">
      <c r="A666" s="3">
        <v>6</v>
      </c>
      <c r="B666" s="3">
        <v>2</v>
      </c>
      <c r="C666" s="3">
        <v>41</v>
      </c>
      <c r="D666" s="3">
        <v>2</v>
      </c>
      <c r="E666" s="3">
        <f>((1/(INDEX(E0!J$4:J$52,C666,1)-INDEX(E0!J$4:J$52,D666,1))))*100000000</f>
        <v>0</v>
      </c>
      <c r="F666" s="4" t="str">
        <f>HYPERLINK("http://141.218.60.56/~jnz1568/getInfo.php?workbook=06_02.xlsx&amp;sheet=A0&amp;row=666&amp;col=6&amp;number=&amp;sourceID=27","")</f>
        <v/>
      </c>
      <c r="G666" s="4" t="str">
        <f>HYPERLINK("http://141.218.60.56/~jnz1568/getInfo.php?workbook=06_02.xlsx&amp;sheet=A0&amp;row=666&amp;col=7&amp;number=&amp;sourceID=34","")</f>
        <v/>
      </c>
      <c r="H666" s="4" t="str">
        <f>HYPERLINK("http://141.218.60.56/~jnz1568/getInfo.php?workbook=06_02.xlsx&amp;sheet=A0&amp;row=666&amp;col=8&amp;number=&amp;sourceID=34","")</f>
        <v/>
      </c>
      <c r="I666" s="4" t="str">
        <f>HYPERLINK("http://141.218.60.56/~jnz1568/getInfo.php?workbook=06_02.xlsx&amp;sheet=A0&amp;row=666&amp;col=9&amp;number=&amp;sourceID=34","")</f>
        <v/>
      </c>
      <c r="J666" s="4" t="str">
        <f>HYPERLINK("http://141.218.60.56/~jnz1568/getInfo.php?workbook=06_02.xlsx&amp;sheet=A0&amp;row=666&amp;col=10&amp;number=&amp;sourceID=34","")</f>
        <v/>
      </c>
      <c r="K666" s="4" t="str">
        <f>HYPERLINK("http://141.218.60.56/~jnz1568/getInfo.php?workbook=06_02.xlsx&amp;sheet=A0&amp;row=666&amp;col=11&amp;number=&amp;sourceID=30","")</f>
        <v/>
      </c>
      <c r="L666" s="4" t="str">
        <f>HYPERLINK("http://141.218.60.56/~jnz1568/getInfo.php?workbook=06_02.xlsx&amp;sheet=A0&amp;row=666&amp;col=12&amp;number=&amp;sourceID=30","")</f>
        <v/>
      </c>
      <c r="M666" s="4" t="str">
        <f>HYPERLINK("http://141.218.60.56/~jnz1568/getInfo.php?workbook=06_02.xlsx&amp;sheet=A0&amp;row=666&amp;col=13&amp;number=&amp;sourceID=30","")</f>
        <v/>
      </c>
      <c r="N666" s="4" t="str">
        <f>HYPERLINK("http://141.218.60.56/~jnz1568/getInfo.php?workbook=06_02.xlsx&amp;sheet=A0&amp;row=666&amp;col=14&amp;number=6.625e-12&amp;sourceID=30","6.625e-12")</f>
        <v>6.625e-12</v>
      </c>
      <c r="O666" s="4" t="str">
        <f>HYPERLINK("http://141.218.60.56/~jnz1568/getInfo.php?workbook=06_02.xlsx&amp;sheet=A0&amp;row=666&amp;col=15&amp;number=&amp;sourceID=32","")</f>
        <v/>
      </c>
      <c r="P666" s="4" t="str">
        <f>HYPERLINK("http://141.218.60.56/~jnz1568/getInfo.php?workbook=06_02.xlsx&amp;sheet=A0&amp;row=666&amp;col=16&amp;number=&amp;sourceID=32","")</f>
        <v/>
      </c>
      <c r="Q666" s="4" t="str">
        <f>HYPERLINK("http://141.218.60.56/~jnz1568/getInfo.php?workbook=06_02.xlsx&amp;sheet=A0&amp;row=666&amp;col=17&amp;number=&amp;sourceID=32","")</f>
        <v/>
      </c>
      <c r="R666" s="4" t="str">
        <f>HYPERLINK("http://141.218.60.56/~jnz1568/getInfo.php?workbook=06_02.xlsx&amp;sheet=A0&amp;row=666&amp;col=18&amp;number=1.019e-08&amp;sourceID=32","1.019e-08")</f>
        <v>1.019e-08</v>
      </c>
    </row>
    <row r="667" spans="1:18">
      <c r="A667" s="3">
        <v>6</v>
      </c>
      <c r="B667" s="3">
        <v>2</v>
      </c>
      <c r="C667" s="3">
        <v>41</v>
      </c>
      <c r="D667" s="3">
        <v>4</v>
      </c>
      <c r="E667" s="3">
        <f>((1/(INDEX(E0!J$4:J$52,C667,1)-INDEX(E0!J$4:J$52,D667,1))))*100000000</f>
        <v>0</v>
      </c>
      <c r="F667" s="4" t="str">
        <f>HYPERLINK("http://141.218.60.56/~jnz1568/getInfo.php?workbook=06_02.xlsx&amp;sheet=A0&amp;row=667&amp;col=6&amp;number=&amp;sourceID=27","")</f>
        <v/>
      </c>
      <c r="G667" s="4" t="str">
        <f>HYPERLINK("http://141.218.60.56/~jnz1568/getInfo.php?workbook=06_02.xlsx&amp;sheet=A0&amp;row=667&amp;col=7&amp;number=&amp;sourceID=34","")</f>
        <v/>
      </c>
      <c r="H667" s="4" t="str">
        <f>HYPERLINK("http://141.218.60.56/~jnz1568/getInfo.php?workbook=06_02.xlsx&amp;sheet=A0&amp;row=667&amp;col=8&amp;number=&amp;sourceID=34","")</f>
        <v/>
      </c>
      <c r="I667" s="4" t="str">
        <f>HYPERLINK("http://141.218.60.56/~jnz1568/getInfo.php?workbook=06_02.xlsx&amp;sheet=A0&amp;row=667&amp;col=9&amp;number=&amp;sourceID=34","")</f>
        <v/>
      </c>
      <c r="J667" s="4" t="str">
        <f>HYPERLINK("http://141.218.60.56/~jnz1568/getInfo.php?workbook=06_02.xlsx&amp;sheet=A0&amp;row=667&amp;col=10&amp;number=&amp;sourceID=34","")</f>
        <v/>
      </c>
      <c r="K667" s="4" t="str">
        <f>HYPERLINK("http://141.218.60.56/~jnz1568/getInfo.php?workbook=06_02.xlsx&amp;sheet=A0&amp;row=667&amp;col=11&amp;number=&amp;sourceID=30","")</f>
        <v/>
      </c>
      <c r="L667" s="4" t="str">
        <f>HYPERLINK("http://141.218.60.56/~jnz1568/getInfo.php?workbook=06_02.xlsx&amp;sheet=A0&amp;row=667&amp;col=12&amp;number=363000&amp;sourceID=30","363000")</f>
        <v>363000</v>
      </c>
      <c r="M667" s="4" t="str">
        <f>HYPERLINK("http://141.218.60.56/~jnz1568/getInfo.php?workbook=06_02.xlsx&amp;sheet=A0&amp;row=667&amp;col=13&amp;number=&amp;sourceID=30","")</f>
        <v/>
      </c>
      <c r="N667" s="4" t="str">
        <f>HYPERLINK("http://141.218.60.56/~jnz1568/getInfo.php?workbook=06_02.xlsx&amp;sheet=A0&amp;row=667&amp;col=14&amp;number=&amp;sourceID=30","")</f>
        <v/>
      </c>
      <c r="O667" s="4" t="str">
        <f>HYPERLINK("http://141.218.60.56/~jnz1568/getInfo.php?workbook=06_02.xlsx&amp;sheet=A0&amp;row=667&amp;col=15&amp;number=&amp;sourceID=32","")</f>
        <v/>
      </c>
      <c r="P667" s="4" t="str">
        <f>HYPERLINK("http://141.218.60.56/~jnz1568/getInfo.php?workbook=06_02.xlsx&amp;sheet=A0&amp;row=667&amp;col=16&amp;number=134500&amp;sourceID=32","134500")</f>
        <v>134500</v>
      </c>
      <c r="Q667" s="4" t="str">
        <f>HYPERLINK("http://141.218.60.56/~jnz1568/getInfo.php?workbook=06_02.xlsx&amp;sheet=A0&amp;row=667&amp;col=17&amp;number=&amp;sourceID=32","")</f>
        <v/>
      </c>
      <c r="R667" s="4" t="str">
        <f>HYPERLINK("http://141.218.60.56/~jnz1568/getInfo.php?workbook=06_02.xlsx&amp;sheet=A0&amp;row=667&amp;col=18&amp;number=&amp;sourceID=32","")</f>
        <v/>
      </c>
    </row>
    <row r="668" spans="1:18">
      <c r="A668" s="3">
        <v>6</v>
      </c>
      <c r="B668" s="3">
        <v>2</v>
      </c>
      <c r="C668" s="3">
        <v>41</v>
      </c>
      <c r="D668" s="3">
        <v>6</v>
      </c>
      <c r="E668" s="3">
        <f>((1/(INDEX(E0!J$4:J$52,C668,1)-INDEX(E0!J$4:J$52,D668,1))))*100000000</f>
        <v>0</v>
      </c>
      <c r="F668" s="4" t="str">
        <f>HYPERLINK("http://141.218.60.56/~jnz1568/getInfo.php?workbook=06_02.xlsx&amp;sheet=A0&amp;row=668&amp;col=6&amp;number=&amp;sourceID=27","")</f>
        <v/>
      </c>
      <c r="G668" s="4" t="str">
        <f>HYPERLINK("http://141.218.60.56/~jnz1568/getInfo.php?workbook=06_02.xlsx&amp;sheet=A0&amp;row=668&amp;col=7&amp;number=&amp;sourceID=34","")</f>
        <v/>
      </c>
      <c r="H668" s="4" t="str">
        <f>HYPERLINK("http://141.218.60.56/~jnz1568/getInfo.php?workbook=06_02.xlsx&amp;sheet=A0&amp;row=668&amp;col=8&amp;number=&amp;sourceID=34","")</f>
        <v/>
      </c>
      <c r="I668" s="4" t="str">
        <f>HYPERLINK("http://141.218.60.56/~jnz1568/getInfo.php?workbook=06_02.xlsx&amp;sheet=A0&amp;row=668&amp;col=9&amp;number=&amp;sourceID=34","")</f>
        <v/>
      </c>
      <c r="J668" s="4" t="str">
        <f>HYPERLINK("http://141.218.60.56/~jnz1568/getInfo.php?workbook=06_02.xlsx&amp;sheet=A0&amp;row=668&amp;col=10&amp;number=&amp;sourceID=34","")</f>
        <v/>
      </c>
      <c r="K668" s="4" t="str">
        <f>HYPERLINK("http://141.218.60.56/~jnz1568/getInfo.php?workbook=06_02.xlsx&amp;sheet=A0&amp;row=668&amp;col=11&amp;number=&amp;sourceID=30","")</f>
        <v/>
      </c>
      <c r="L668" s="4" t="str">
        <f>HYPERLINK("http://141.218.60.56/~jnz1568/getInfo.php?workbook=06_02.xlsx&amp;sheet=A0&amp;row=668&amp;col=12&amp;number=180500&amp;sourceID=30","180500")</f>
        <v>180500</v>
      </c>
      <c r="M668" s="4" t="str">
        <f>HYPERLINK("http://141.218.60.56/~jnz1568/getInfo.php?workbook=06_02.xlsx&amp;sheet=A0&amp;row=668&amp;col=13&amp;number=0.0002219&amp;sourceID=30","0.0002219")</f>
        <v>0.0002219</v>
      </c>
      <c r="N668" s="4" t="str">
        <f>HYPERLINK("http://141.218.60.56/~jnz1568/getInfo.php?workbook=06_02.xlsx&amp;sheet=A0&amp;row=668&amp;col=14&amp;number=&amp;sourceID=30","")</f>
        <v/>
      </c>
      <c r="O668" s="4" t="str">
        <f>HYPERLINK("http://141.218.60.56/~jnz1568/getInfo.php?workbook=06_02.xlsx&amp;sheet=A0&amp;row=668&amp;col=15&amp;number=&amp;sourceID=32","")</f>
        <v/>
      </c>
      <c r="P668" s="4" t="str">
        <f>HYPERLINK("http://141.218.60.56/~jnz1568/getInfo.php?workbook=06_02.xlsx&amp;sheet=A0&amp;row=668&amp;col=16&amp;number=68540&amp;sourceID=32","68540")</f>
        <v>68540</v>
      </c>
      <c r="Q668" s="4" t="str">
        <f>HYPERLINK("http://141.218.60.56/~jnz1568/getInfo.php?workbook=06_02.xlsx&amp;sheet=A0&amp;row=668&amp;col=17&amp;number=2.102e-05&amp;sourceID=32","2.102e-05")</f>
        <v>2.102e-05</v>
      </c>
      <c r="R668" s="4" t="str">
        <f>HYPERLINK("http://141.218.60.56/~jnz1568/getInfo.php?workbook=06_02.xlsx&amp;sheet=A0&amp;row=668&amp;col=18&amp;number=&amp;sourceID=32","")</f>
        <v/>
      </c>
    </row>
    <row r="669" spans="1:18">
      <c r="A669" s="3">
        <v>6</v>
      </c>
      <c r="B669" s="3">
        <v>2</v>
      </c>
      <c r="C669" s="3">
        <v>41</v>
      </c>
      <c r="D669" s="3">
        <v>7</v>
      </c>
      <c r="E669" s="3">
        <f>((1/(INDEX(E0!J$4:J$52,C669,1)-INDEX(E0!J$4:J$52,D669,1))))*100000000</f>
        <v>0</v>
      </c>
      <c r="F669" s="4" t="str">
        <f>HYPERLINK("http://141.218.60.56/~jnz1568/getInfo.php?workbook=06_02.xlsx&amp;sheet=A0&amp;row=669&amp;col=6&amp;number=&amp;sourceID=27","")</f>
        <v/>
      </c>
      <c r="G669" s="4" t="str">
        <f>HYPERLINK("http://141.218.60.56/~jnz1568/getInfo.php?workbook=06_02.xlsx&amp;sheet=A0&amp;row=669&amp;col=7&amp;number=&amp;sourceID=34","")</f>
        <v/>
      </c>
      <c r="H669" s="4" t="str">
        <f>HYPERLINK("http://141.218.60.56/~jnz1568/getInfo.php?workbook=06_02.xlsx&amp;sheet=A0&amp;row=669&amp;col=8&amp;number=&amp;sourceID=34","")</f>
        <v/>
      </c>
      <c r="I669" s="4" t="str">
        <f>HYPERLINK("http://141.218.60.56/~jnz1568/getInfo.php?workbook=06_02.xlsx&amp;sheet=A0&amp;row=669&amp;col=9&amp;number=&amp;sourceID=34","")</f>
        <v/>
      </c>
      <c r="J669" s="4" t="str">
        <f>HYPERLINK("http://141.218.60.56/~jnz1568/getInfo.php?workbook=06_02.xlsx&amp;sheet=A0&amp;row=669&amp;col=10&amp;number=&amp;sourceID=34","")</f>
        <v/>
      </c>
      <c r="K669" s="4" t="str">
        <f>HYPERLINK("http://141.218.60.56/~jnz1568/getInfo.php?workbook=06_02.xlsx&amp;sheet=A0&amp;row=669&amp;col=11&amp;number=&amp;sourceID=30","")</f>
        <v/>
      </c>
      <c r="L669" s="4" t="str">
        <f>HYPERLINK("http://141.218.60.56/~jnz1568/getInfo.php?workbook=06_02.xlsx&amp;sheet=A0&amp;row=669&amp;col=12&amp;number=113500&amp;sourceID=30","113500")</f>
        <v>113500</v>
      </c>
      <c r="M669" s="4" t="str">
        <f>HYPERLINK("http://141.218.60.56/~jnz1568/getInfo.php?workbook=06_02.xlsx&amp;sheet=A0&amp;row=669&amp;col=13&amp;number=&amp;sourceID=30","")</f>
        <v/>
      </c>
      <c r="N669" s="4" t="str">
        <f>HYPERLINK("http://141.218.60.56/~jnz1568/getInfo.php?workbook=06_02.xlsx&amp;sheet=A0&amp;row=669&amp;col=14&amp;number=&amp;sourceID=30","")</f>
        <v/>
      </c>
      <c r="O669" s="4" t="str">
        <f>HYPERLINK("http://141.218.60.56/~jnz1568/getInfo.php?workbook=06_02.xlsx&amp;sheet=A0&amp;row=669&amp;col=15&amp;number=&amp;sourceID=32","")</f>
        <v/>
      </c>
      <c r="P669" s="4" t="str">
        <f>HYPERLINK("http://141.218.60.56/~jnz1568/getInfo.php?workbook=06_02.xlsx&amp;sheet=A0&amp;row=669&amp;col=16&amp;number=443200&amp;sourceID=32","443200")</f>
        <v>443200</v>
      </c>
      <c r="Q669" s="4" t="str">
        <f>HYPERLINK("http://141.218.60.56/~jnz1568/getInfo.php?workbook=06_02.xlsx&amp;sheet=A0&amp;row=669&amp;col=17&amp;number=&amp;sourceID=32","")</f>
        <v/>
      </c>
      <c r="R669" s="4" t="str">
        <f>HYPERLINK("http://141.218.60.56/~jnz1568/getInfo.php?workbook=06_02.xlsx&amp;sheet=A0&amp;row=669&amp;col=18&amp;number=&amp;sourceID=32","")</f>
        <v/>
      </c>
    </row>
    <row r="670" spans="1:18">
      <c r="A670" s="3">
        <v>6</v>
      </c>
      <c r="B670" s="3">
        <v>2</v>
      </c>
      <c r="C670" s="3">
        <v>41</v>
      </c>
      <c r="D670" s="3">
        <v>8</v>
      </c>
      <c r="E670" s="3">
        <f>((1/(INDEX(E0!J$4:J$52,C670,1)-INDEX(E0!J$4:J$52,D670,1))))*100000000</f>
        <v>0</v>
      </c>
      <c r="F670" s="4" t="str">
        <f>HYPERLINK("http://141.218.60.56/~jnz1568/getInfo.php?workbook=06_02.xlsx&amp;sheet=A0&amp;row=670&amp;col=6&amp;number=&amp;sourceID=27","")</f>
        <v/>
      </c>
      <c r="G670" s="4" t="str">
        <f>HYPERLINK("http://141.218.60.56/~jnz1568/getInfo.php?workbook=06_02.xlsx&amp;sheet=A0&amp;row=670&amp;col=7&amp;number=&amp;sourceID=34","")</f>
        <v/>
      </c>
      <c r="H670" s="4" t="str">
        <f>HYPERLINK("http://141.218.60.56/~jnz1568/getInfo.php?workbook=06_02.xlsx&amp;sheet=A0&amp;row=670&amp;col=8&amp;number=&amp;sourceID=34","")</f>
        <v/>
      </c>
      <c r="I670" s="4" t="str">
        <f>HYPERLINK("http://141.218.60.56/~jnz1568/getInfo.php?workbook=06_02.xlsx&amp;sheet=A0&amp;row=670&amp;col=9&amp;number=&amp;sourceID=34","")</f>
        <v/>
      </c>
      <c r="J670" s="4" t="str">
        <f>HYPERLINK("http://141.218.60.56/~jnz1568/getInfo.php?workbook=06_02.xlsx&amp;sheet=A0&amp;row=670&amp;col=10&amp;number=&amp;sourceID=34","")</f>
        <v/>
      </c>
      <c r="K670" s="4" t="str">
        <f>HYPERLINK("http://141.218.60.56/~jnz1568/getInfo.php?workbook=06_02.xlsx&amp;sheet=A0&amp;row=670&amp;col=11&amp;number=&amp;sourceID=30","")</f>
        <v/>
      </c>
      <c r="L670" s="4" t="str">
        <f>HYPERLINK("http://141.218.60.56/~jnz1568/getInfo.php?workbook=06_02.xlsx&amp;sheet=A0&amp;row=670&amp;col=12&amp;number=&amp;sourceID=30","")</f>
        <v/>
      </c>
      <c r="M670" s="4" t="str">
        <f>HYPERLINK("http://141.218.60.56/~jnz1568/getInfo.php?workbook=06_02.xlsx&amp;sheet=A0&amp;row=670&amp;col=13&amp;number=&amp;sourceID=30","")</f>
        <v/>
      </c>
      <c r="N670" s="4" t="str">
        <f>HYPERLINK("http://141.218.60.56/~jnz1568/getInfo.php?workbook=06_02.xlsx&amp;sheet=A0&amp;row=670&amp;col=14&amp;number=2.6e-14&amp;sourceID=30","2.6e-14")</f>
        <v>2.6e-14</v>
      </c>
      <c r="O670" s="4" t="str">
        <f>HYPERLINK("http://141.218.60.56/~jnz1568/getInfo.php?workbook=06_02.xlsx&amp;sheet=A0&amp;row=670&amp;col=15&amp;number=&amp;sourceID=32","")</f>
        <v/>
      </c>
      <c r="P670" s="4" t="str">
        <f>HYPERLINK("http://141.218.60.56/~jnz1568/getInfo.php?workbook=06_02.xlsx&amp;sheet=A0&amp;row=670&amp;col=16&amp;number=&amp;sourceID=32","")</f>
        <v/>
      </c>
      <c r="Q670" s="4" t="str">
        <f>HYPERLINK("http://141.218.60.56/~jnz1568/getInfo.php?workbook=06_02.xlsx&amp;sheet=A0&amp;row=670&amp;col=17&amp;number=&amp;sourceID=32","")</f>
        <v/>
      </c>
      <c r="R670" s="4" t="str">
        <f>HYPERLINK("http://141.218.60.56/~jnz1568/getInfo.php?workbook=06_02.xlsx&amp;sheet=A0&amp;row=670&amp;col=18&amp;number=2.479e-09&amp;sourceID=32","2.479e-09")</f>
        <v>2.479e-09</v>
      </c>
    </row>
    <row r="671" spans="1:18">
      <c r="A671" s="3">
        <v>6</v>
      </c>
      <c r="B671" s="3">
        <v>2</v>
      </c>
      <c r="C671" s="3">
        <v>41</v>
      </c>
      <c r="D671" s="3">
        <v>10</v>
      </c>
      <c r="E671" s="3">
        <f>((1/(INDEX(E0!J$4:J$52,C671,1)-INDEX(E0!J$4:J$52,D671,1))))*100000000</f>
        <v>0</v>
      </c>
      <c r="F671" s="4" t="str">
        <f>HYPERLINK("http://141.218.60.56/~jnz1568/getInfo.php?workbook=06_02.xlsx&amp;sheet=A0&amp;row=671&amp;col=6&amp;number=&amp;sourceID=27","")</f>
        <v/>
      </c>
      <c r="G671" s="4" t="str">
        <f>HYPERLINK("http://141.218.60.56/~jnz1568/getInfo.php?workbook=06_02.xlsx&amp;sheet=A0&amp;row=671&amp;col=7&amp;number=&amp;sourceID=34","")</f>
        <v/>
      </c>
      <c r="H671" s="4" t="str">
        <f>HYPERLINK("http://141.218.60.56/~jnz1568/getInfo.php?workbook=06_02.xlsx&amp;sheet=A0&amp;row=671&amp;col=8&amp;number=&amp;sourceID=34","")</f>
        <v/>
      </c>
      <c r="I671" s="4" t="str">
        <f>HYPERLINK("http://141.218.60.56/~jnz1568/getInfo.php?workbook=06_02.xlsx&amp;sheet=A0&amp;row=671&amp;col=9&amp;number=&amp;sourceID=34","")</f>
        <v/>
      </c>
      <c r="J671" s="4" t="str">
        <f>HYPERLINK("http://141.218.60.56/~jnz1568/getInfo.php?workbook=06_02.xlsx&amp;sheet=A0&amp;row=671&amp;col=10&amp;number=&amp;sourceID=34","")</f>
        <v/>
      </c>
      <c r="K671" s="4" t="str">
        <f>HYPERLINK("http://141.218.60.56/~jnz1568/getInfo.php?workbook=06_02.xlsx&amp;sheet=A0&amp;row=671&amp;col=11&amp;number=&amp;sourceID=30","")</f>
        <v/>
      </c>
      <c r="L671" s="4" t="str">
        <f>HYPERLINK("http://141.218.60.56/~jnz1568/getInfo.php?workbook=06_02.xlsx&amp;sheet=A0&amp;row=671&amp;col=12&amp;number=614.1&amp;sourceID=30","614.1")</f>
        <v>614.1</v>
      </c>
      <c r="M671" s="4" t="str">
        <f>HYPERLINK("http://141.218.60.56/~jnz1568/getInfo.php?workbook=06_02.xlsx&amp;sheet=A0&amp;row=671&amp;col=13&amp;number=&amp;sourceID=30","")</f>
        <v/>
      </c>
      <c r="N671" s="4" t="str">
        <f>HYPERLINK("http://141.218.60.56/~jnz1568/getInfo.php?workbook=06_02.xlsx&amp;sheet=A0&amp;row=671&amp;col=14&amp;number=&amp;sourceID=30","")</f>
        <v/>
      </c>
      <c r="O671" s="4" t="str">
        <f>HYPERLINK("http://141.218.60.56/~jnz1568/getInfo.php?workbook=06_02.xlsx&amp;sheet=A0&amp;row=671&amp;col=15&amp;number=&amp;sourceID=32","")</f>
        <v/>
      </c>
      <c r="P671" s="4" t="str">
        <f>HYPERLINK("http://141.218.60.56/~jnz1568/getInfo.php?workbook=06_02.xlsx&amp;sheet=A0&amp;row=671&amp;col=16&amp;number=364&amp;sourceID=32","364")</f>
        <v>364</v>
      </c>
      <c r="Q671" s="4" t="str">
        <f>HYPERLINK("http://141.218.60.56/~jnz1568/getInfo.php?workbook=06_02.xlsx&amp;sheet=A0&amp;row=671&amp;col=17&amp;number=&amp;sourceID=32","")</f>
        <v/>
      </c>
      <c r="R671" s="4" t="str">
        <f>HYPERLINK("http://141.218.60.56/~jnz1568/getInfo.php?workbook=06_02.xlsx&amp;sheet=A0&amp;row=671&amp;col=18&amp;number=&amp;sourceID=32","")</f>
        <v/>
      </c>
    </row>
    <row r="672" spans="1:18">
      <c r="A672" s="3">
        <v>6</v>
      </c>
      <c r="B672" s="3">
        <v>2</v>
      </c>
      <c r="C672" s="3">
        <v>41</v>
      </c>
      <c r="D672" s="3">
        <v>12</v>
      </c>
      <c r="E672" s="3">
        <f>((1/(INDEX(E0!J$4:J$52,C672,1)-INDEX(E0!J$4:J$52,D672,1))))*100000000</f>
        <v>0</v>
      </c>
      <c r="F672" s="4" t="str">
        <f>HYPERLINK("http://141.218.60.56/~jnz1568/getInfo.php?workbook=06_02.xlsx&amp;sheet=A0&amp;row=672&amp;col=6&amp;number=&amp;sourceID=27","")</f>
        <v/>
      </c>
      <c r="G672" s="4" t="str">
        <f>HYPERLINK("http://141.218.60.56/~jnz1568/getInfo.php?workbook=06_02.xlsx&amp;sheet=A0&amp;row=672&amp;col=7&amp;number=&amp;sourceID=34","")</f>
        <v/>
      </c>
      <c r="H672" s="4" t="str">
        <f>HYPERLINK("http://141.218.60.56/~jnz1568/getInfo.php?workbook=06_02.xlsx&amp;sheet=A0&amp;row=672&amp;col=8&amp;number=&amp;sourceID=34","")</f>
        <v/>
      </c>
      <c r="I672" s="4" t="str">
        <f>HYPERLINK("http://141.218.60.56/~jnz1568/getInfo.php?workbook=06_02.xlsx&amp;sheet=A0&amp;row=672&amp;col=9&amp;number=&amp;sourceID=34","")</f>
        <v/>
      </c>
      <c r="J672" s="4" t="str">
        <f>HYPERLINK("http://141.218.60.56/~jnz1568/getInfo.php?workbook=06_02.xlsx&amp;sheet=A0&amp;row=672&amp;col=10&amp;number=&amp;sourceID=34","")</f>
        <v/>
      </c>
      <c r="K672" s="4" t="str">
        <f>HYPERLINK("http://141.218.60.56/~jnz1568/getInfo.php?workbook=06_02.xlsx&amp;sheet=A0&amp;row=672&amp;col=11&amp;number=&amp;sourceID=30","")</f>
        <v/>
      </c>
      <c r="L672" s="4" t="str">
        <f>HYPERLINK("http://141.218.60.56/~jnz1568/getInfo.php?workbook=06_02.xlsx&amp;sheet=A0&amp;row=672&amp;col=12&amp;number=300.4&amp;sourceID=30","300.4")</f>
        <v>300.4</v>
      </c>
      <c r="M672" s="4" t="str">
        <f>HYPERLINK("http://141.218.60.56/~jnz1568/getInfo.php?workbook=06_02.xlsx&amp;sheet=A0&amp;row=672&amp;col=13&amp;number=6.914e-06&amp;sourceID=30","6.914e-06")</f>
        <v>6.914e-06</v>
      </c>
      <c r="N672" s="4" t="str">
        <f>HYPERLINK("http://141.218.60.56/~jnz1568/getInfo.php?workbook=06_02.xlsx&amp;sheet=A0&amp;row=672&amp;col=14&amp;number=&amp;sourceID=30","")</f>
        <v/>
      </c>
      <c r="O672" s="4" t="str">
        <f>HYPERLINK("http://141.218.60.56/~jnz1568/getInfo.php?workbook=06_02.xlsx&amp;sheet=A0&amp;row=672&amp;col=15&amp;number=&amp;sourceID=32","")</f>
        <v/>
      </c>
      <c r="P672" s="4" t="str">
        <f>HYPERLINK("http://141.218.60.56/~jnz1568/getInfo.php?workbook=06_02.xlsx&amp;sheet=A0&amp;row=672&amp;col=16&amp;number=184.4&amp;sourceID=32","184.4")</f>
        <v>184.4</v>
      </c>
      <c r="Q672" s="4" t="str">
        <f>HYPERLINK("http://141.218.60.56/~jnz1568/getInfo.php?workbook=06_02.xlsx&amp;sheet=A0&amp;row=672&amp;col=17&amp;number=4.682e-07&amp;sourceID=32","4.682e-07")</f>
        <v>4.682e-07</v>
      </c>
      <c r="R672" s="4" t="str">
        <f>HYPERLINK("http://141.218.60.56/~jnz1568/getInfo.php?workbook=06_02.xlsx&amp;sheet=A0&amp;row=672&amp;col=18&amp;number=&amp;sourceID=32","")</f>
        <v/>
      </c>
    </row>
    <row r="673" spans="1:18">
      <c r="A673" s="3">
        <v>6</v>
      </c>
      <c r="B673" s="3">
        <v>2</v>
      </c>
      <c r="C673" s="3">
        <v>41</v>
      </c>
      <c r="D673" s="3">
        <v>13</v>
      </c>
      <c r="E673" s="3">
        <f>((1/(INDEX(E0!J$4:J$52,C673,1)-INDEX(E0!J$4:J$52,D673,1))))*100000000</f>
        <v>0</v>
      </c>
      <c r="F673" s="4" t="str">
        <f>HYPERLINK("http://141.218.60.56/~jnz1568/getInfo.php?workbook=06_02.xlsx&amp;sheet=A0&amp;row=673&amp;col=6&amp;number=&amp;sourceID=27","")</f>
        <v/>
      </c>
      <c r="G673" s="4" t="str">
        <f>HYPERLINK("http://141.218.60.56/~jnz1568/getInfo.php?workbook=06_02.xlsx&amp;sheet=A0&amp;row=673&amp;col=7&amp;number=&amp;sourceID=34","")</f>
        <v/>
      </c>
      <c r="H673" s="4" t="str">
        <f>HYPERLINK("http://141.218.60.56/~jnz1568/getInfo.php?workbook=06_02.xlsx&amp;sheet=A0&amp;row=673&amp;col=8&amp;number=&amp;sourceID=34","")</f>
        <v/>
      </c>
      <c r="I673" s="4" t="str">
        <f>HYPERLINK("http://141.218.60.56/~jnz1568/getInfo.php?workbook=06_02.xlsx&amp;sheet=A0&amp;row=673&amp;col=9&amp;number=&amp;sourceID=34","")</f>
        <v/>
      </c>
      <c r="J673" s="4" t="str">
        <f>HYPERLINK("http://141.218.60.56/~jnz1568/getInfo.php?workbook=06_02.xlsx&amp;sheet=A0&amp;row=673&amp;col=10&amp;number=&amp;sourceID=34","")</f>
        <v/>
      </c>
      <c r="K673" s="4" t="str">
        <f>HYPERLINK("http://141.218.60.56/~jnz1568/getInfo.php?workbook=06_02.xlsx&amp;sheet=A0&amp;row=673&amp;col=11&amp;number=&amp;sourceID=30","")</f>
        <v/>
      </c>
      <c r="L673" s="4" t="str">
        <f>HYPERLINK("http://141.218.60.56/~jnz1568/getInfo.php?workbook=06_02.xlsx&amp;sheet=A0&amp;row=673&amp;col=12&amp;number=&amp;sourceID=30","")</f>
        <v/>
      </c>
      <c r="M673" s="4" t="str">
        <f>HYPERLINK("http://141.218.60.56/~jnz1568/getInfo.php?workbook=06_02.xlsx&amp;sheet=A0&amp;row=673&amp;col=13&amp;number=&amp;sourceID=30","")</f>
        <v/>
      </c>
      <c r="N673" s="4" t="str">
        <f>HYPERLINK("http://141.218.60.56/~jnz1568/getInfo.php?workbook=06_02.xlsx&amp;sheet=A0&amp;row=673&amp;col=14&amp;number=0.01256&amp;sourceID=30","0.01256")</f>
        <v>0.01256</v>
      </c>
      <c r="O673" s="4" t="str">
        <f>HYPERLINK("http://141.218.60.56/~jnz1568/getInfo.php?workbook=06_02.xlsx&amp;sheet=A0&amp;row=673&amp;col=15&amp;number=&amp;sourceID=32","")</f>
        <v/>
      </c>
      <c r="P673" s="4" t="str">
        <f>HYPERLINK("http://141.218.60.56/~jnz1568/getInfo.php?workbook=06_02.xlsx&amp;sheet=A0&amp;row=673&amp;col=16&amp;number=&amp;sourceID=32","")</f>
        <v/>
      </c>
      <c r="Q673" s="4" t="str">
        <f>HYPERLINK("http://141.218.60.56/~jnz1568/getInfo.php?workbook=06_02.xlsx&amp;sheet=A0&amp;row=673&amp;col=17&amp;number=&amp;sourceID=32","")</f>
        <v/>
      </c>
      <c r="R673" s="4" t="str">
        <f>HYPERLINK("http://141.218.60.56/~jnz1568/getInfo.php?workbook=06_02.xlsx&amp;sheet=A0&amp;row=673&amp;col=18&amp;number=0.3147&amp;sourceID=32","0.3147")</f>
        <v>0.3147</v>
      </c>
    </row>
    <row r="674" spans="1:18">
      <c r="A674" s="3">
        <v>6</v>
      </c>
      <c r="B674" s="3">
        <v>2</v>
      </c>
      <c r="C674" s="3">
        <v>41</v>
      </c>
      <c r="D674" s="3">
        <v>14</v>
      </c>
      <c r="E674" s="3">
        <f>((1/(INDEX(E0!J$4:J$52,C674,1)-INDEX(E0!J$4:J$52,D674,1))))*100000000</f>
        <v>0</v>
      </c>
      <c r="F674" s="4" t="str">
        <f>HYPERLINK("http://141.218.60.56/~jnz1568/getInfo.php?workbook=06_02.xlsx&amp;sheet=A0&amp;row=674&amp;col=6&amp;number=&amp;sourceID=27","")</f>
        <v/>
      </c>
      <c r="G674" s="4" t="str">
        <f>HYPERLINK("http://141.218.60.56/~jnz1568/getInfo.php?workbook=06_02.xlsx&amp;sheet=A0&amp;row=674&amp;col=7&amp;number=&amp;sourceID=34","")</f>
        <v/>
      </c>
      <c r="H674" s="4" t="str">
        <f>HYPERLINK("http://141.218.60.56/~jnz1568/getInfo.php?workbook=06_02.xlsx&amp;sheet=A0&amp;row=674&amp;col=8&amp;number=&amp;sourceID=34","")</f>
        <v/>
      </c>
      <c r="I674" s="4" t="str">
        <f>HYPERLINK("http://141.218.60.56/~jnz1568/getInfo.php?workbook=06_02.xlsx&amp;sheet=A0&amp;row=674&amp;col=9&amp;number=&amp;sourceID=34","")</f>
        <v/>
      </c>
      <c r="J674" s="4" t="str">
        <f>HYPERLINK("http://141.218.60.56/~jnz1568/getInfo.php?workbook=06_02.xlsx&amp;sheet=A0&amp;row=674&amp;col=10&amp;number=&amp;sourceID=34","")</f>
        <v/>
      </c>
      <c r="K674" s="4" t="str">
        <f>HYPERLINK("http://141.218.60.56/~jnz1568/getInfo.php?workbook=06_02.xlsx&amp;sheet=A0&amp;row=674&amp;col=11&amp;number=1942000000&amp;sourceID=30","1942000000")</f>
        <v>1942000000</v>
      </c>
      <c r="L674" s="4" t="str">
        <f>HYPERLINK("http://141.218.60.56/~jnz1568/getInfo.php?workbook=06_02.xlsx&amp;sheet=A0&amp;row=674&amp;col=12&amp;number=&amp;sourceID=30","")</f>
        <v/>
      </c>
      <c r="M674" s="4" t="str">
        <f>HYPERLINK("http://141.218.60.56/~jnz1568/getInfo.php?workbook=06_02.xlsx&amp;sheet=A0&amp;row=674&amp;col=13&amp;number=&amp;sourceID=30","")</f>
        <v/>
      </c>
      <c r="N674" s="4" t="str">
        <f>HYPERLINK("http://141.218.60.56/~jnz1568/getInfo.php?workbook=06_02.xlsx&amp;sheet=A0&amp;row=674&amp;col=14&amp;number=0.2847&amp;sourceID=30","0.2847")</f>
        <v>0.2847</v>
      </c>
      <c r="O674" s="4" t="str">
        <f>HYPERLINK("http://141.218.60.56/~jnz1568/getInfo.php?workbook=06_02.xlsx&amp;sheet=A0&amp;row=674&amp;col=15&amp;number=635700000&amp;sourceID=32","635700000")</f>
        <v>635700000</v>
      </c>
      <c r="P674" s="4" t="str">
        <f>HYPERLINK("http://141.218.60.56/~jnz1568/getInfo.php?workbook=06_02.xlsx&amp;sheet=A0&amp;row=674&amp;col=16&amp;number=&amp;sourceID=32","")</f>
        <v/>
      </c>
      <c r="Q674" s="4" t="str">
        <f>HYPERLINK("http://141.218.60.56/~jnz1568/getInfo.php?workbook=06_02.xlsx&amp;sheet=A0&amp;row=674&amp;col=17&amp;number=&amp;sourceID=32","")</f>
        <v/>
      </c>
      <c r="R674" s="4" t="str">
        <f>HYPERLINK("http://141.218.60.56/~jnz1568/getInfo.php?workbook=06_02.xlsx&amp;sheet=A0&amp;row=674&amp;col=18&amp;number=0.905&amp;sourceID=32","0.905")</f>
        <v>0.905</v>
      </c>
    </row>
    <row r="675" spans="1:18">
      <c r="A675" s="3">
        <v>6</v>
      </c>
      <c r="B675" s="3">
        <v>2</v>
      </c>
      <c r="C675" s="3">
        <v>41</v>
      </c>
      <c r="D675" s="3">
        <v>15</v>
      </c>
      <c r="E675" s="3">
        <f>((1/(INDEX(E0!J$4:J$52,C675,1)-INDEX(E0!J$4:J$52,D675,1))))*100000000</f>
        <v>0</v>
      </c>
      <c r="F675" s="4" t="str">
        <f>HYPERLINK("http://141.218.60.56/~jnz1568/getInfo.php?workbook=06_02.xlsx&amp;sheet=A0&amp;row=675&amp;col=6&amp;number=&amp;sourceID=27","")</f>
        <v/>
      </c>
      <c r="G675" s="4" t="str">
        <f>HYPERLINK("http://141.218.60.56/~jnz1568/getInfo.php?workbook=06_02.xlsx&amp;sheet=A0&amp;row=675&amp;col=7&amp;number=&amp;sourceID=34","")</f>
        <v/>
      </c>
      <c r="H675" s="4" t="str">
        <f>HYPERLINK("http://141.218.60.56/~jnz1568/getInfo.php?workbook=06_02.xlsx&amp;sheet=A0&amp;row=675&amp;col=8&amp;number=&amp;sourceID=34","")</f>
        <v/>
      </c>
      <c r="I675" s="4" t="str">
        <f>HYPERLINK("http://141.218.60.56/~jnz1568/getInfo.php?workbook=06_02.xlsx&amp;sheet=A0&amp;row=675&amp;col=9&amp;number=&amp;sourceID=34","")</f>
        <v/>
      </c>
      <c r="J675" s="4" t="str">
        <f>HYPERLINK("http://141.218.60.56/~jnz1568/getInfo.php?workbook=06_02.xlsx&amp;sheet=A0&amp;row=675&amp;col=10&amp;number=&amp;sourceID=34","")</f>
        <v/>
      </c>
      <c r="K675" s="4" t="str">
        <f>HYPERLINK("http://141.218.60.56/~jnz1568/getInfo.php?workbook=06_02.xlsx&amp;sheet=A0&amp;row=675&amp;col=11&amp;number=226100000&amp;sourceID=30","226100000")</f>
        <v>226100000</v>
      </c>
      <c r="L675" s="4" t="str">
        <f>HYPERLINK("http://141.218.60.56/~jnz1568/getInfo.php?workbook=06_02.xlsx&amp;sheet=A0&amp;row=675&amp;col=12&amp;number=&amp;sourceID=30","")</f>
        <v/>
      </c>
      <c r="M675" s="4" t="str">
        <f>HYPERLINK("http://141.218.60.56/~jnz1568/getInfo.php?workbook=06_02.xlsx&amp;sheet=A0&amp;row=675&amp;col=13&amp;number=&amp;sourceID=30","")</f>
        <v/>
      </c>
      <c r="N675" s="4" t="str">
        <f>HYPERLINK("http://141.218.60.56/~jnz1568/getInfo.php?workbook=06_02.xlsx&amp;sheet=A0&amp;row=675&amp;col=14&amp;number=0.007499&amp;sourceID=30","0.007499")</f>
        <v>0.007499</v>
      </c>
      <c r="O675" s="4" t="str">
        <f>HYPERLINK("http://141.218.60.56/~jnz1568/getInfo.php?workbook=06_02.xlsx&amp;sheet=A0&amp;row=675&amp;col=15&amp;number=99140000&amp;sourceID=32","99140000")</f>
        <v>99140000</v>
      </c>
      <c r="P675" s="4" t="str">
        <f>HYPERLINK("http://141.218.60.56/~jnz1568/getInfo.php?workbook=06_02.xlsx&amp;sheet=A0&amp;row=675&amp;col=16&amp;number=&amp;sourceID=32","")</f>
        <v/>
      </c>
      <c r="Q675" s="4" t="str">
        <f>HYPERLINK("http://141.218.60.56/~jnz1568/getInfo.php?workbook=06_02.xlsx&amp;sheet=A0&amp;row=675&amp;col=17&amp;number=&amp;sourceID=32","")</f>
        <v/>
      </c>
      <c r="R675" s="4" t="str">
        <f>HYPERLINK("http://141.218.60.56/~jnz1568/getInfo.php?workbook=06_02.xlsx&amp;sheet=A0&amp;row=675&amp;col=18&amp;number=0.332&amp;sourceID=32","0.332")</f>
        <v>0.332</v>
      </c>
    </row>
    <row r="676" spans="1:18">
      <c r="A676" s="3">
        <v>6</v>
      </c>
      <c r="B676" s="3">
        <v>2</v>
      </c>
      <c r="C676" s="3">
        <v>41</v>
      </c>
      <c r="D676" s="3">
        <v>16</v>
      </c>
      <c r="E676" s="3">
        <f>((1/(INDEX(E0!J$4:J$52,C676,1)-INDEX(E0!J$4:J$52,D676,1))))*100000000</f>
        <v>0</v>
      </c>
      <c r="F676" s="4" t="str">
        <f>HYPERLINK("http://141.218.60.56/~jnz1568/getInfo.php?workbook=06_02.xlsx&amp;sheet=A0&amp;row=676&amp;col=6&amp;number=&amp;sourceID=27","")</f>
        <v/>
      </c>
      <c r="G676" s="4" t="str">
        <f>HYPERLINK("http://141.218.60.56/~jnz1568/getInfo.php?workbook=06_02.xlsx&amp;sheet=A0&amp;row=676&amp;col=7&amp;number=&amp;sourceID=34","")</f>
        <v/>
      </c>
      <c r="H676" s="4" t="str">
        <f>HYPERLINK("http://141.218.60.56/~jnz1568/getInfo.php?workbook=06_02.xlsx&amp;sheet=A0&amp;row=676&amp;col=8&amp;number=&amp;sourceID=34","")</f>
        <v/>
      </c>
      <c r="I676" s="4" t="str">
        <f>HYPERLINK("http://141.218.60.56/~jnz1568/getInfo.php?workbook=06_02.xlsx&amp;sheet=A0&amp;row=676&amp;col=9&amp;number=&amp;sourceID=34","")</f>
        <v/>
      </c>
      <c r="J676" s="4" t="str">
        <f>HYPERLINK("http://141.218.60.56/~jnz1568/getInfo.php?workbook=06_02.xlsx&amp;sheet=A0&amp;row=676&amp;col=10&amp;number=&amp;sourceID=34","")</f>
        <v/>
      </c>
      <c r="K676" s="4" t="str">
        <f>HYPERLINK("http://141.218.60.56/~jnz1568/getInfo.php?workbook=06_02.xlsx&amp;sheet=A0&amp;row=676&amp;col=11&amp;number=678700000&amp;sourceID=30","678700000")</f>
        <v>678700000</v>
      </c>
      <c r="L676" s="4" t="str">
        <f>HYPERLINK("http://141.218.60.56/~jnz1568/getInfo.php?workbook=06_02.xlsx&amp;sheet=A0&amp;row=676&amp;col=12&amp;number=&amp;sourceID=30","")</f>
        <v/>
      </c>
      <c r="M676" s="4" t="str">
        <f>HYPERLINK("http://141.218.60.56/~jnz1568/getInfo.php?workbook=06_02.xlsx&amp;sheet=A0&amp;row=676&amp;col=13&amp;number=&amp;sourceID=30","")</f>
        <v/>
      </c>
      <c r="N676" s="4" t="str">
        <f>HYPERLINK("http://141.218.60.56/~jnz1568/getInfo.php?workbook=06_02.xlsx&amp;sheet=A0&amp;row=676&amp;col=14&amp;number=0.01571&amp;sourceID=30","0.01571")</f>
        <v>0.01571</v>
      </c>
      <c r="O676" s="4" t="str">
        <f>HYPERLINK("http://141.218.60.56/~jnz1568/getInfo.php?workbook=06_02.xlsx&amp;sheet=A0&amp;row=676&amp;col=15&amp;number=2107000000&amp;sourceID=32","2107000000")</f>
        <v>2107000000</v>
      </c>
      <c r="P676" s="4" t="str">
        <f>HYPERLINK("http://141.218.60.56/~jnz1568/getInfo.php?workbook=06_02.xlsx&amp;sheet=A0&amp;row=676&amp;col=16&amp;number=&amp;sourceID=32","")</f>
        <v/>
      </c>
      <c r="Q676" s="4" t="str">
        <f>HYPERLINK("http://141.218.60.56/~jnz1568/getInfo.php?workbook=06_02.xlsx&amp;sheet=A0&amp;row=676&amp;col=17&amp;number=&amp;sourceID=32","")</f>
        <v/>
      </c>
      <c r="R676" s="4" t="str">
        <f>HYPERLINK("http://141.218.60.56/~jnz1568/getInfo.php?workbook=06_02.xlsx&amp;sheet=A0&amp;row=676&amp;col=18&amp;number=1.105&amp;sourceID=32","1.105")</f>
        <v>1.105</v>
      </c>
    </row>
    <row r="677" spans="1:18">
      <c r="A677" s="3">
        <v>6</v>
      </c>
      <c r="B677" s="3">
        <v>2</v>
      </c>
      <c r="C677" s="3">
        <v>41</v>
      </c>
      <c r="D677" s="3">
        <v>17</v>
      </c>
      <c r="E677" s="3">
        <f>((1/(INDEX(E0!J$4:J$52,C677,1)-INDEX(E0!J$4:J$52,D677,1))))*100000000</f>
        <v>0</v>
      </c>
      <c r="F677" s="4" t="str">
        <f>HYPERLINK("http://141.218.60.56/~jnz1568/getInfo.php?workbook=06_02.xlsx&amp;sheet=A0&amp;row=677&amp;col=6&amp;number=&amp;sourceID=27","")</f>
        <v/>
      </c>
      <c r="G677" s="4" t="str">
        <f>HYPERLINK("http://141.218.60.56/~jnz1568/getInfo.php?workbook=06_02.xlsx&amp;sheet=A0&amp;row=677&amp;col=7&amp;number=&amp;sourceID=34","")</f>
        <v/>
      </c>
      <c r="H677" s="4" t="str">
        <f>HYPERLINK("http://141.218.60.56/~jnz1568/getInfo.php?workbook=06_02.xlsx&amp;sheet=A0&amp;row=677&amp;col=8&amp;number=&amp;sourceID=34","")</f>
        <v/>
      </c>
      <c r="I677" s="4" t="str">
        <f>HYPERLINK("http://141.218.60.56/~jnz1568/getInfo.php?workbook=06_02.xlsx&amp;sheet=A0&amp;row=677&amp;col=9&amp;number=&amp;sourceID=34","")</f>
        <v/>
      </c>
      <c r="J677" s="4" t="str">
        <f>HYPERLINK("http://141.218.60.56/~jnz1568/getInfo.php?workbook=06_02.xlsx&amp;sheet=A0&amp;row=677&amp;col=10&amp;number=&amp;sourceID=34","")</f>
        <v/>
      </c>
      <c r="K677" s="4" t="str">
        <f>HYPERLINK("http://141.218.60.56/~jnz1568/getInfo.php?workbook=06_02.xlsx&amp;sheet=A0&amp;row=677&amp;col=11&amp;number=&amp;sourceID=30","")</f>
        <v/>
      </c>
      <c r="L677" s="4" t="str">
        <f>HYPERLINK("http://141.218.60.56/~jnz1568/getInfo.php?workbook=06_02.xlsx&amp;sheet=A0&amp;row=677&amp;col=12&amp;number=196.6&amp;sourceID=30","196.6")</f>
        <v>196.6</v>
      </c>
      <c r="M677" s="4" t="str">
        <f>HYPERLINK("http://141.218.60.56/~jnz1568/getInfo.php?workbook=06_02.xlsx&amp;sheet=A0&amp;row=677&amp;col=13&amp;number=&amp;sourceID=30","")</f>
        <v/>
      </c>
      <c r="N677" s="4" t="str">
        <f>HYPERLINK("http://141.218.60.56/~jnz1568/getInfo.php?workbook=06_02.xlsx&amp;sheet=A0&amp;row=677&amp;col=14&amp;number=&amp;sourceID=30","")</f>
        <v/>
      </c>
      <c r="O677" s="4" t="str">
        <f>HYPERLINK("http://141.218.60.56/~jnz1568/getInfo.php?workbook=06_02.xlsx&amp;sheet=A0&amp;row=677&amp;col=15&amp;number=&amp;sourceID=32","")</f>
        <v/>
      </c>
      <c r="P677" s="4" t="str">
        <f>HYPERLINK("http://141.218.60.56/~jnz1568/getInfo.php?workbook=06_02.xlsx&amp;sheet=A0&amp;row=677&amp;col=16&amp;number=123.4&amp;sourceID=32","123.4")</f>
        <v>123.4</v>
      </c>
      <c r="Q677" s="4" t="str">
        <f>HYPERLINK("http://141.218.60.56/~jnz1568/getInfo.php?workbook=06_02.xlsx&amp;sheet=A0&amp;row=677&amp;col=17&amp;number=&amp;sourceID=32","")</f>
        <v/>
      </c>
      <c r="R677" s="4" t="str">
        <f>HYPERLINK("http://141.218.60.56/~jnz1568/getInfo.php?workbook=06_02.xlsx&amp;sheet=A0&amp;row=677&amp;col=18&amp;number=&amp;sourceID=32","")</f>
        <v/>
      </c>
    </row>
    <row r="678" spans="1:18">
      <c r="A678" s="3">
        <v>6</v>
      </c>
      <c r="B678" s="3">
        <v>2</v>
      </c>
      <c r="C678" s="3">
        <v>41</v>
      </c>
      <c r="D678" s="3">
        <v>18</v>
      </c>
      <c r="E678" s="3">
        <f>((1/(INDEX(E0!J$4:J$52,C678,1)-INDEX(E0!J$4:J$52,D678,1))))*100000000</f>
        <v>0</v>
      </c>
      <c r="F678" s="4" t="str">
        <f>HYPERLINK("http://141.218.60.56/~jnz1568/getInfo.php?workbook=06_02.xlsx&amp;sheet=A0&amp;row=678&amp;col=6&amp;number=&amp;sourceID=27","")</f>
        <v/>
      </c>
      <c r="G678" s="4" t="str">
        <f>HYPERLINK("http://141.218.60.56/~jnz1568/getInfo.php?workbook=06_02.xlsx&amp;sheet=A0&amp;row=678&amp;col=7&amp;number=&amp;sourceID=34","")</f>
        <v/>
      </c>
      <c r="H678" s="4" t="str">
        <f>HYPERLINK("http://141.218.60.56/~jnz1568/getInfo.php?workbook=06_02.xlsx&amp;sheet=A0&amp;row=678&amp;col=8&amp;number=&amp;sourceID=34","")</f>
        <v/>
      </c>
      <c r="I678" s="4" t="str">
        <f>HYPERLINK("http://141.218.60.56/~jnz1568/getInfo.php?workbook=06_02.xlsx&amp;sheet=A0&amp;row=678&amp;col=9&amp;number=&amp;sourceID=34","")</f>
        <v/>
      </c>
      <c r="J678" s="4" t="str">
        <f>HYPERLINK("http://141.218.60.56/~jnz1568/getInfo.php?workbook=06_02.xlsx&amp;sheet=A0&amp;row=678&amp;col=10&amp;number=&amp;sourceID=34","")</f>
        <v/>
      </c>
      <c r="K678" s="4" t="str">
        <f>HYPERLINK("http://141.218.60.56/~jnz1568/getInfo.php?workbook=06_02.xlsx&amp;sheet=A0&amp;row=678&amp;col=11&amp;number=&amp;sourceID=30","")</f>
        <v/>
      </c>
      <c r="L678" s="4" t="str">
        <f>HYPERLINK("http://141.218.60.56/~jnz1568/getInfo.php?workbook=06_02.xlsx&amp;sheet=A0&amp;row=678&amp;col=12&amp;number=&amp;sourceID=30","")</f>
        <v/>
      </c>
      <c r="M678" s="4" t="str">
        <f>HYPERLINK("http://141.218.60.56/~jnz1568/getInfo.php?workbook=06_02.xlsx&amp;sheet=A0&amp;row=678&amp;col=13&amp;number=&amp;sourceID=30","")</f>
        <v/>
      </c>
      <c r="N678" s="4" t="str">
        <f>HYPERLINK("http://141.218.60.56/~jnz1568/getInfo.php?workbook=06_02.xlsx&amp;sheet=A0&amp;row=678&amp;col=14&amp;number=7.79e-13&amp;sourceID=30","7.79e-13")</f>
        <v>7.79e-13</v>
      </c>
      <c r="O678" s="4" t="str">
        <f>HYPERLINK("http://141.218.60.56/~jnz1568/getInfo.php?workbook=06_02.xlsx&amp;sheet=A0&amp;row=678&amp;col=15&amp;number=&amp;sourceID=32","")</f>
        <v/>
      </c>
      <c r="P678" s="4" t="str">
        <f>HYPERLINK("http://141.218.60.56/~jnz1568/getInfo.php?workbook=06_02.xlsx&amp;sheet=A0&amp;row=678&amp;col=16&amp;number=&amp;sourceID=32","")</f>
        <v/>
      </c>
      <c r="Q678" s="4" t="str">
        <f>HYPERLINK("http://141.218.60.56/~jnz1568/getInfo.php?workbook=06_02.xlsx&amp;sheet=A0&amp;row=678&amp;col=17&amp;number=&amp;sourceID=32","")</f>
        <v/>
      </c>
      <c r="R678" s="4" t="str">
        <f>HYPERLINK("http://141.218.60.56/~jnz1568/getInfo.php?workbook=06_02.xlsx&amp;sheet=A0&amp;row=678&amp;col=18&amp;number=1.533e-10&amp;sourceID=32","1.533e-10")</f>
        <v>1.533e-10</v>
      </c>
    </row>
    <row r="679" spans="1:18">
      <c r="A679" s="3">
        <v>6</v>
      </c>
      <c r="B679" s="3">
        <v>2</v>
      </c>
      <c r="C679" s="3">
        <v>41</v>
      </c>
      <c r="D679" s="3">
        <v>21</v>
      </c>
      <c r="E679" s="3">
        <f>((1/(INDEX(E0!J$4:J$52,C679,1)-INDEX(E0!J$4:J$52,D679,1))))*100000000</f>
        <v>0</v>
      </c>
      <c r="F679" s="4" t="str">
        <f>HYPERLINK("http://141.218.60.56/~jnz1568/getInfo.php?workbook=06_02.xlsx&amp;sheet=A0&amp;row=679&amp;col=6&amp;number=&amp;sourceID=27","")</f>
        <v/>
      </c>
      <c r="G679" s="4" t="str">
        <f>HYPERLINK("http://141.218.60.56/~jnz1568/getInfo.php?workbook=06_02.xlsx&amp;sheet=A0&amp;row=679&amp;col=7&amp;number=&amp;sourceID=34","")</f>
        <v/>
      </c>
      <c r="H679" s="4" t="str">
        <f>HYPERLINK("http://141.218.60.56/~jnz1568/getInfo.php?workbook=06_02.xlsx&amp;sheet=A0&amp;row=679&amp;col=8&amp;number=&amp;sourceID=34","")</f>
        <v/>
      </c>
      <c r="I679" s="4" t="str">
        <f>HYPERLINK("http://141.218.60.56/~jnz1568/getInfo.php?workbook=06_02.xlsx&amp;sheet=A0&amp;row=679&amp;col=9&amp;number=&amp;sourceID=34","")</f>
        <v/>
      </c>
      <c r="J679" s="4" t="str">
        <f>HYPERLINK("http://141.218.60.56/~jnz1568/getInfo.php?workbook=06_02.xlsx&amp;sheet=A0&amp;row=679&amp;col=10&amp;number=&amp;sourceID=34","")</f>
        <v/>
      </c>
      <c r="K679" s="4" t="str">
        <f>HYPERLINK("http://141.218.60.56/~jnz1568/getInfo.php?workbook=06_02.xlsx&amp;sheet=A0&amp;row=679&amp;col=11&amp;number=&amp;sourceID=30","")</f>
        <v/>
      </c>
      <c r="L679" s="4" t="str">
        <f>HYPERLINK("http://141.218.60.56/~jnz1568/getInfo.php?workbook=06_02.xlsx&amp;sheet=A0&amp;row=679&amp;col=12&amp;number=7747&amp;sourceID=30","7747")</f>
        <v>7747</v>
      </c>
      <c r="M679" s="4" t="str">
        <f>HYPERLINK("http://141.218.60.56/~jnz1568/getInfo.php?workbook=06_02.xlsx&amp;sheet=A0&amp;row=679&amp;col=13&amp;number=&amp;sourceID=30","")</f>
        <v/>
      </c>
      <c r="N679" s="4" t="str">
        <f>HYPERLINK("http://141.218.60.56/~jnz1568/getInfo.php?workbook=06_02.xlsx&amp;sheet=A0&amp;row=679&amp;col=14&amp;number=&amp;sourceID=30","")</f>
        <v/>
      </c>
      <c r="O679" s="4" t="str">
        <f>HYPERLINK("http://141.218.60.56/~jnz1568/getInfo.php?workbook=06_02.xlsx&amp;sheet=A0&amp;row=679&amp;col=15&amp;number=&amp;sourceID=32","")</f>
        <v/>
      </c>
      <c r="P679" s="4" t="str">
        <f>HYPERLINK("http://141.218.60.56/~jnz1568/getInfo.php?workbook=06_02.xlsx&amp;sheet=A0&amp;row=679&amp;col=16&amp;number=3340&amp;sourceID=32","3340")</f>
        <v>3340</v>
      </c>
      <c r="Q679" s="4" t="str">
        <f>HYPERLINK("http://141.218.60.56/~jnz1568/getInfo.php?workbook=06_02.xlsx&amp;sheet=A0&amp;row=679&amp;col=17&amp;number=&amp;sourceID=32","")</f>
        <v/>
      </c>
      <c r="R679" s="4" t="str">
        <f>HYPERLINK("http://141.218.60.56/~jnz1568/getInfo.php?workbook=06_02.xlsx&amp;sheet=A0&amp;row=679&amp;col=18&amp;number=&amp;sourceID=32","")</f>
        <v/>
      </c>
    </row>
    <row r="680" spans="1:18">
      <c r="A680" s="3">
        <v>6</v>
      </c>
      <c r="B680" s="3">
        <v>2</v>
      </c>
      <c r="C680" s="3">
        <v>41</v>
      </c>
      <c r="D680" s="3">
        <v>22</v>
      </c>
      <c r="E680" s="3">
        <f>((1/(INDEX(E0!J$4:J$52,C680,1)-INDEX(E0!J$4:J$52,D680,1))))*100000000</f>
        <v>0</v>
      </c>
      <c r="F680" s="4" t="str">
        <f>HYPERLINK("http://141.218.60.56/~jnz1568/getInfo.php?workbook=06_02.xlsx&amp;sheet=A0&amp;row=680&amp;col=6&amp;number=&amp;sourceID=27","")</f>
        <v/>
      </c>
      <c r="G680" s="4" t="str">
        <f>HYPERLINK("http://141.218.60.56/~jnz1568/getInfo.php?workbook=06_02.xlsx&amp;sheet=A0&amp;row=680&amp;col=7&amp;number=&amp;sourceID=34","")</f>
        <v/>
      </c>
      <c r="H680" s="4" t="str">
        <f>HYPERLINK("http://141.218.60.56/~jnz1568/getInfo.php?workbook=06_02.xlsx&amp;sheet=A0&amp;row=680&amp;col=8&amp;number=&amp;sourceID=34","")</f>
        <v/>
      </c>
      <c r="I680" s="4" t="str">
        <f>HYPERLINK("http://141.218.60.56/~jnz1568/getInfo.php?workbook=06_02.xlsx&amp;sheet=A0&amp;row=680&amp;col=9&amp;number=&amp;sourceID=34","")</f>
        <v/>
      </c>
      <c r="J680" s="4" t="str">
        <f>HYPERLINK("http://141.218.60.56/~jnz1568/getInfo.php?workbook=06_02.xlsx&amp;sheet=A0&amp;row=680&amp;col=10&amp;number=&amp;sourceID=34","")</f>
        <v/>
      </c>
      <c r="K680" s="4" t="str">
        <f>HYPERLINK("http://141.218.60.56/~jnz1568/getInfo.php?workbook=06_02.xlsx&amp;sheet=A0&amp;row=680&amp;col=11&amp;number=&amp;sourceID=30","")</f>
        <v/>
      </c>
      <c r="L680" s="4" t="str">
        <f>HYPERLINK("http://141.218.60.56/~jnz1568/getInfo.php?workbook=06_02.xlsx&amp;sheet=A0&amp;row=680&amp;col=12&amp;number=3839&amp;sourceID=30","3839")</f>
        <v>3839</v>
      </c>
      <c r="M680" s="4" t="str">
        <f>HYPERLINK("http://141.218.60.56/~jnz1568/getInfo.php?workbook=06_02.xlsx&amp;sheet=A0&amp;row=680&amp;col=13&amp;number=2.704e-07&amp;sourceID=30","2.704e-07")</f>
        <v>2.704e-07</v>
      </c>
      <c r="N680" s="4" t="str">
        <f>HYPERLINK("http://141.218.60.56/~jnz1568/getInfo.php?workbook=06_02.xlsx&amp;sheet=A0&amp;row=680&amp;col=14&amp;number=&amp;sourceID=30","")</f>
        <v/>
      </c>
      <c r="O680" s="4" t="str">
        <f>HYPERLINK("http://141.218.60.56/~jnz1568/getInfo.php?workbook=06_02.xlsx&amp;sheet=A0&amp;row=680&amp;col=15&amp;number=&amp;sourceID=32","")</f>
        <v/>
      </c>
      <c r="P680" s="4" t="str">
        <f>HYPERLINK("http://141.218.60.56/~jnz1568/getInfo.php?workbook=06_02.xlsx&amp;sheet=A0&amp;row=680&amp;col=16&amp;number=1703&amp;sourceID=32","1703")</f>
        <v>1703</v>
      </c>
      <c r="Q680" s="4" t="str">
        <f>HYPERLINK("http://141.218.60.56/~jnz1568/getInfo.php?workbook=06_02.xlsx&amp;sheet=A0&amp;row=680&amp;col=17&amp;number=2.918e-08&amp;sourceID=32","2.918e-08")</f>
        <v>2.918e-08</v>
      </c>
      <c r="R680" s="4" t="str">
        <f>HYPERLINK("http://141.218.60.56/~jnz1568/getInfo.php?workbook=06_02.xlsx&amp;sheet=A0&amp;row=680&amp;col=18&amp;number=&amp;sourceID=32","")</f>
        <v/>
      </c>
    </row>
    <row r="681" spans="1:18">
      <c r="A681" s="3">
        <v>6</v>
      </c>
      <c r="B681" s="3">
        <v>2</v>
      </c>
      <c r="C681" s="3">
        <v>41</v>
      </c>
      <c r="D681" s="3">
        <v>23</v>
      </c>
      <c r="E681" s="3">
        <f>((1/(INDEX(E0!J$4:J$52,C681,1)-INDEX(E0!J$4:J$52,D681,1))))*100000000</f>
        <v>0</v>
      </c>
      <c r="F681" s="4" t="str">
        <f>HYPERLINK("http://141.218.60.56/~jnz1568/getInfo.php?workbook=06_02.xlsx&amp;sheet=A0&amp;row=681&amp;col=6&amp;number=&amp;sourceID=27","")</f>
        <v/>
      </c>
      <c r="G681" s="4" t="str">
        <f>HYPERLINK("http://141.218.60.56/~jnz1568/getInfo.php?workbook=06_02.xlsx&amp;sheet=A0&amp;row=681&amp;col=7&amp;number=&amp;sourceID=34","")</f>
        <v/>
      </c>
      <c r="H681" s="4" t="str">
        <f>HYPERLINK("http://141.218.60.56/~jnz1568/getInfo.php?workbook=06_02.xlsx&amp;sheet=A0&amp;row=681&amp;col=8&amp;number=&amp;sourceID=34","")</f>
        <v/>
      </c>
      <c r="I681" s="4" t="str">
        <f>HYPERLINK("http://141.218.60.56/~jnz1568/getInfo.php?workbook=06_02.xlsx&amp;sheet=A0&amp;row=681&amp;col=9&amp;number=&amp;sourceID=34","")</f>
        <v/>
      </c>
      <c r="J681" s="4" t="str">
        <f>HYPERLINK("http://141.218.60.56/~jnz1568/getInfo.php?workbook=06_02.xlsx&amp;sheet=A0&amp;row=681&amp;col=10&amp;number=&amp;sourceID=34","")</f>
        <v/>
      </c>
      <c r="K681" s="4" t="str">
        <f>HYPERLINK("http://141.218.60.56/~jnz1568/getInfo.php?workbook=06_02.xlsx&amp;sheet=A0&amp;row=681&amp;col=11&amp;number=&amp;sourceID=30","")</f>
        <v/>
      </c>
      <c r="L681" s="4" t="str">
        <f>HYPERLINK("http://141.218.60.56/~jnz1568/getInfo.php?workbook=06_02.xlsx&amp;sheet=A0&amp;row=681&amp;col=12&amp;number=&amp;sourceID=30","")</f>
        <v/>
      </c>
      <c r="M681" s="4" t="str">
        <f>HYPERLINK("http://141.218.60.56/~jnz1568/getInfo.php?workbook=06_02.xlsx&amp;sheet=A0&amp;row=681&amp;col=13&amp;number=&amp;sourceID=30","")</f>
        <v/>
      </c>
      <c r="N681" s="4" t="str">
        <f>HYPERLINK("http://141.218.60.56/~jnz1568/getInfo.php?workbook=06_02.xlsx&amp;sheet=A0&amp;row=681&amp;col=14&amp;number=0.0007143&amp;sourceID=30","0.0007143")</f>
        <v>0.0007143</v>
      </c>
      <c r="O681" s="4" t="str">
        <f>HYPERLINK("http://141.218.60.56/~jnz1568/getInfo.php?workbook=06_02.xlsx&amp;sheet=A0&amp;row=681&amp;col=15&amp;number=&amp;sourceID=32","")</f>
        <v/>
      </c>
      <c r="P681" s="4" t="str">
        <f>HYPERLINK("http://141.218.60.56/~jnz1568/getInfo.php?workbook=06_02.xlsx&amp;sheet=A0&amp;row=681&amp;col=16&amp;number=&amp;sourceID=32","")</f>
        <v/>
      </c>
      <c r="Q681" s="4" t="str">
        <f>HYPERLINK("http://141.218.60.56/~jnz1568/getInfo.php?workbook=06_02.xlsx&amp;sheet=A0&amp;row=681&amp;col=17&amp;number=&amp;sourceID=32","")</f>
        <v/>
      </c>
      <c r="R681" s="4" t="str">
        <f>HYPERLINK("http://141.218.60.56/~jnz1568/getInfo.php?workbook=06_02.xlsx&amp;sheet=A0&amp;row=681&amp;col=18&amp;number=0.01787&amp;sourceID=32","0.01787")</f>
        <v>0.01787</v>
      </c>
    </row>
    <row r="682" spans="1:18">
      <c r="A682" s="3">
        <v>6</v>
      </c>
      <c r="B682" s="3">
        <v>2</v>
      </c>
      <c r="C682" s="3">
        <v>41</v>
      </c>
      <c r="D682" s="3">
        <v>24</v>
      </c>
      <c r="E682" s="3">
        <f>((1/(INDEX(E0!J$4:J$52,C682,1)-INDEX(E0!J$4:J$52,D682,1))))*100000000</f>
        <v>0</v>
      </c>
      <c r="F682" s="4" t="str">
        <f>HYPERLINK("http://141.218.60.56/~jnz1568/getInfo.php?workbook=06_02.xlsx&amp;sheet=A0&amp;row=682&amp;col=6&amp;number=&amp;sourceID=27","")</f>
        <v/>
      </c>
      <c r="G682" s="4" t="str">
        <f>HYPERLINK("http://141.218.60.56/~jnz1568/getInfo.php?workbook=06_02.xlsx&amp;sheet=A0&amp;row=682&amp;col=7&amp;number=&amp;sourceID=34","")</f>
        <v/>
      </c>
      <c r="H682" s="4" t="str">
        <f>HYPERLINK("http://141.218.60.56/~jnz1568/getInfo.php?workbook=06_02.xlsx&amp;sheet=A0&amp;row=682&amp;col=8&amp;number=&amp;sourceID=34","")</f>
        <v/>
      </c>
      <c r="I682" s="4" t="str">
        <f>HYPERLINK("http://141.218.60.56/~jnz1568/getInfo.php?workbook=06_02.xlsx&amp;sheet=A0&amp;row=682&amp;col=9&amp;number=&amp;sourceID=34","")</f>
        <v/>
      </c>
      <c r="J682" s="4" t="str">
        <f>HYPERLINK("http://141.218.60.56/~jnz1568/getInfo.php?workbook=06_02.xlsx&amp;sheet=A0&amp;row=682&amp;col=10&amp;number=&amp;sourceID=34","")</f>
        <v/>
      </c>
      <c r="K682" s="4" t="str">
        <f>HYPERLINK("http://141.218.60.56/~jnz1568/getInfo.php?workbook=06_02.xlsx&amp;sheet=A0&amp;row=682&amp;col=11&amp;number=1084000000&amp;sourceID=30","1084000000")</f>
        <v>1084000000</v>
      </c>
      <c r="L682" s="4" t="str">
        <f>HYPERLINK("http://141.218.60.56/~jnz1568/getInfo.php?workbook=06_02.xlsx&amp;sheet=A0&amp;row=682&amp;col=12&amp;number=&amp;sourceID=30","")</f>
        <v/>
      </c>
      <c r="M682" s="4" t="str">
        <f>HYPERLINK("http://141.218.60.56/~jnz1568/getInfo.php?workbook=06_02.xlsx&amp;sheet=A0&amp;row=682&amp;col=13&amp;number=&amp;sourceID=30","")</f>
        <v/>
      </c>
      <c r="N682" s="4" t="str">
        <f>HYPERLINK("http://141.218.60.56/~jnz1568/getInfo.php?workbook=06_02.xlsx&amp;sheet=A0&amp;row=682&amp;col=14&amp;number=0.01609&amp;sourceID=30","0.01609")</f>
        <v>0.01609</v>
      </c>
      <c r="O682" s="4" t="str">
        <f>HYPERLINK("http://141.218.60.56/~jnz1568/getInfo.php?workbook=06_02.xlsx&amp;sheet=A0&amp;row=682&amp;col=15&amp;number=380300000&amp;sourceID=32","380300000")</f>
        <v>380300000</v>
      </c>
      <c r="P682" s="4" t="str">
        <f>HYPERLINK("http://141.218.60.56/~jnz1568/getInfo.php?workbook=06_02.xlsx&amp;sheet=A0&amp;row=682&amp;col=16&amp;number=&amp;sourceID=32","")</f>
        <v/>
      </c>
      <c r="Q682" s="4" t="str">
        <f>HYPERLINK("http://141.218.60.56/~jnz1568/getInfo.php?workbook=06_02.xlsx&amp;sheet=A0&amp;row=682&amp;col=17&amp;number=&amp;sourceID=32","")</f>
        <v/>
      </c>
      <c r="R682" s="4" t="str">
        <f>HYPERLINK("http://141.218.60.56/~jnz1568/getInfo.php?workbook=06_02.xlsx&amp;sheet=A0&amp;row=682&amp;col=18&amp;number=0.05309&amp;sourceID=32","0.05309")</f>
        <v>0.05309</v>
      </c>
    </row>
    <row r="683" spans="1:18">
      <c r="A683" s="3">
        <v>6</v>
      </c>
      <c r="B683" s="3">
        <v>2</v>
      </c>
      <c r="C683" s="3">
        <v>41</v>
      </c>
      <c r="D683" s="3">
        <v>25</v>
      </c>
      <c r="E683" s="3">
        <f>((1/(INDEX(E0!J$4:J$52,C683,1)-INDEX(E0!J$4:J$52,D683,1))))*100000000</f>
        <v>0</v>
      </c>
      <c r="F683" s="4" t="str">
        <f>HYPERLINK("http://141.218.60.56/~jnz1568/getInfo.php?workbook=06_02.xlsx&amp;sheet=A0&amp;row=683&amp;col=6&amp;number=&amp;sourceID=27","")</f>
        <v/>
      </c>
      <c r="G683" s="4" t="str">
        <f>HYPERLINK("http://141.218.60.56/~jnz1568/getInfo.php?workbook=06_02.xlsx&amp;sheet=A0&amp;row=683&amp;col=7&amp;number=&amp;sourceID=34","")</f>
        <v/>
      </c>
      <c r="H683" s="4" t="str">
        <f>HYPERLINK("http://141.218.60.56/~jnz1568/getInfo.php?workbook=06_02.xlsx&amp;sheet=A0&amp;row=683&amp;col=8&amp;number=&amp;sourceID=34","")</f>
        <v/>
      </c>
      <c r="I683" s="4" t="str">
        <f>HYPERLINK("http://141.218.60.56/~jnz1568/getInfo.php?workbook=06_02.xlsx&amp;sheet=A0&amp;row=683&amp;col=9&amp;number=&amp;sourceID=34","")</f>
        <v/>
      </c>
      <c r="J683" s="4" t="str">
        <f>HYPERLINK("http://141.218.60.56/~jnz1568/getInfo.php?workbook=06_02.xlsx&amp;sheet=A0&amp;row=683&amp;col=10&amp;number=&amp;sourceID=34","")</f>
        <v/>
      </c>
      <c r="K683" s="4" t="str">
        <f>HYPERLINK("http://141.218.60.56/~jnz1568/getInfo.php?workbook=06_02.xlsx&amp;sheet=A0&amp;row=683&amp;col=11&amp;number=128200000&amp;sourceID=30","128200000")</f>
        <v>128200000</v>
      </c>
      <c r="L683" s="4" t="str">
        <f>HYPERLINK("http://141.218.60.56/~jnz1568/getInfo.php?workbook=06_02.xlsx&amp;sheet=A0&amp;row=683&amp;col=12&amp;number=&amp;sourceID=30","")</f>
        <v/>
      </c>
      <c r="M683" s="4" t="str">
        <f>HYPERLINK("http://141.218.60.56/~jnz1568/getInfo.php?workbook=06_02.xlsx&amp;sheet=A0&amp;row=683&amp;col=13&amp;number=&amp;sourceID=30","")</f>
        <v/>
      </c>
      <c r="N683" s="4" t="str">
        <f>HYPERLINK("http://141.218.60.56/~jnz1568/getInfo.php?workbook=06_02.xlsx&amp;sheet=A0&amp;row=683&amp;col=14&amp;number=0.0004266&amp;sourceID=30","0.0004266")</f>
        <v>0.0004266</v>
      </c>
      <c r="O683" s="4" t="str">
        <f>HYPERLINK("http://141.218.60.56/~jnz1568/getInfo.php?workbook=06_02.xlsx&amp;sheet=A0&amp;row=683&amp;col=15&amp;number=56200000&amp;sourceID=32","56200000")</f>
        <v>56200000</v>
      </c>
      <c r="P683" s="4" t="str">
        <f>HYPERLINK("http://141.218.60.56/~jnz1568/getInfo.php?workbook=06_02.xlsx&amp;sheet=A0&amp;row=683&amp;col=16&amp;number=&amp;sourceID=32","")</f>
        <v/>
      </c>
      <c r="Q683" s="4" t="str">
        <f>HYPERLINK("http://141.218.60.56/~jnz1568/getInfo.php?workbook=06_02.xlsx&amp;sheet=A0&amp;row=683&amp;col=17&amp;number=&amp;sourceID=32","")</f>
        <v/>
      </c>
      <c r="R683" s="4" t="str">
        <f>HYPERLINK("http://141.218.60.56/~jnz1568/getInfo.php?workbook=06_02.xlsx&amp;sheet=A0&amp;row=683&amp;col=18&amp;number=0.01884&amp;sourceID=32","0.01884")</f>
        <v>0.01884</v>
      </c>
    </row>
    <row r="684" spans="1:18">
      <c r="A684" s="3">
        <v>6</v>
      </c>
      <c r="B684" s="3">
        <v>2</v>
      </c>
      <c r="C684" s="3">
        <v>41</v>
      </c>
      <c r="D684" s="3">
        <v>26</v>
      </c>
      <c r="E684" s="3">
        <f>((1/(INDEX(E0!J$4:J$52,C684,1)-INDEX(E0!J$4:J$52,D684,1))))*100000000</f>
        <v>0</v>
      </c>
      <c r="F684" s="4" t="str">
        <f>HYPERLINK("http://141.218.60.56/~jnz1568/getInfo.php?workbook=06_02.xlsx&amp;sheet=A0&amp;row=684&amp;col=6&amp;number=&amp;sourceID=27","")</f>
        <v/>
      </c>
      <c r="G684" s="4" t="str">
        <f>HYPERLINK("http://141.218.60.56/~jnz1568/getInfo.php?workbook=06_02.xlsx&amp;sheet=A0&amp;row=684&amp;col=7&amp;number=&amp;sourceID=34","")</f>
        <v/>
      </c>
      <c r="H684" s="4" t="str">
        <f>HYPERLINK("http://141.218.60.56/~jnz1568/getInfo.php?workbook=06_02.xlsx&amp;sheet=A0&amp;row=684&amp;col=8&amp;number=&amp;sourceID=34","")</f>
        <v/>
      </c>
      <c r="I684" s="4" t="str">
        <f>HYPERLINK("http://141.218.60.56/~jnz1568/getInfo.php?workbook=06_02.xlsx&amp;sheet=A0&amp;row=684&amp;col=9&amp;number=&amp;sourceID=34","")</f>
        <v/>
      </c>
      <c r="J684" s="4" t="str">
        <f>HYPERLINK("http://141.218.60.56/~jnz1568/getInfo.php?workbook=06_02.xlsx&amp;sheet=A0&amp;row=684&amp;col=10&amp;number=&amp;sourceID=34","")</f>
        <v/>
      </c>
      <c r="K684" s="4" t="str">
        <f>HYPERLINK("http://141.218.60.56/~jnz1568/getInfo.php?workbook=06_02.xlsx&amp;sheet=A0&amp;row=684&amp;col=11&amp;number=&amp;sourceID=30","")</f>
        <v/>
      </c>
      <c r="L684" s="4" t="str">
        <f>HYPERLINK("http://141.218.60.56/~jnz1568/getInfo.php?workbook=06_02.xlsx&amp;sheet=A0&amp;row=684&amp;col=12&amp;number=9.661&amp;sourceID=30","9.661")</f>
        <v>9.661</v>
      </c>
      <c r="M684" s="4" t="str">
        <f>HYPERLINK("http://141.218.60.56/~jnz1568/getInfo.php?workbook=06_02.xlsx&amp;sheet=A0&amp;row=684&amp;col=13&amp;number=1.774e-06&amp;sourceID=30","1.774e-06")</f>
        <v>1.774e-06</v>
      </c>
      <c r="N684" s="4" t="str">
        <f>HYPERLINK("http://141.218.60.56/~jnz1568/getInfo.php?workbook=06_02.xlsx&amp;sheet=A0&amp;row=684&amp;col=14&amp;number=&amp;sourceID=30","")</f>
        <v/>
      </c>
      <c r="O684" s="4" t="str">
        <f>HYPERLINK("http://141.218.60.56/~jnz1568/getInfo.php?workbook=06_02.xlsx&amp;sheet=A0&amp;row=684&amp;col=15&amp;number=&amp;sourceID=32","")</f>
        <v/>
      </c>
      <c r="P684" s="4" t="str">
        <f>HYPERLINK("http://141.218.60.56/~jnz1568/getInfo.php?workbook=06_02.xlsx&amp;sheet=A0&amp;row=684&amp;col=16&amp;number=62.83&amp;sourceID=32","62.83")</f>
        <v>62.83</v>
      </c>
      <c r="Q684" s="4" t="str">
        <f>HYPERLINK("http://141.218.60.56/~jnz1568/getInfo.php?workbook=06_02.xlsx&amp;sheet=A0&amp;row=684&amp;col=17&amp;number=4.513e-07&amp;sourceID=32","4.513e-07")</f>
        <v>4.513e-07</v>
      </c>
      <c r="R684" s="4" t="str">
        <f>HYPERLINK("http://141.218.60.56/~jnz1568/getInfo.php?workbook=06_02.xlsx&amp;sheet=A0&amp;row=684&amp;col=18&amp;number=&amp;sourceID=32","")</f>
        <v/>
      </c>
    </row>
    <row r="685" spans="1:18">
      <c r="A685" s="3">
        <v>6</v>
      </c>
      <c r="B685" s="3">
        <v>2</v>
      </c>
      <c r="C685" s="3">
        <v>41</v>
      </c>
      <c r="D685" s="3">
        <v>27</v>
      </c>
      <c r="E685" s="3">
        <f>((1/(INDEX(E0!J$4:J$52,C685,1)-INDEX(E0!J$4:J$52,D685,1))))*100000000</f>
        <v>0</v>
      </c>
      <c r="F685" s="4" t="str">
        <f>HYPERLINK("http://141.218.60.56/~jnz1568/getInfo.php?workbook=06_02.xlsx&amp;sheet=A0&amp;row=685&amp;col=6&amp;number=&amp;sourceID=27","")</f>
        <v/>
      </c>
      <c r="G685" s="4" t="str">
        <f>HYPERLINK("http://141.218.60.56/~jnz1568/getInfo.php?workbook=06_02.xlsx&amp;sheet=A0&amp;row=685&amp;col=7&amp;number=&amp;sourceID=34","")</f>
        <v/>
      </c>
      <c r="H685" s="4" t="str">
        <f>HYPERLINK("http://141.218.60.56/~jnz1568/getInfo.php?workbook=06_02.xlsx&amp;sheet=A0&amp;row=685&amp;col=8&amp;number=&amp;sourceID=34","")</f>
        <v/>
      </c>
      <c r="I685" s="4" t="str">
        <f>HYPERLINK("http://141.218.60.56/~jnz1568/getInfo.php?workbook=06_02.xlsx&amp;sheet=A0&amp;row=685&amp;col=9&amp;number=&amp;sourceID=34","")</f>
        <v/>
      </c>
      <c r="J685" s="4" t="str">
        <f>HYPERLINK("http://141.218.60.56/~jnz1568/getInfo.php?workbook=06_02.xlsx&amp;sheet=A0&amp;row=685&amp;col=10&amp;number=&amp;sourceID=34","")</f>
        <v/>
      </c>
      <c r="K685" s="4" t="str">
        <f>HYPERLINK("http://141.218.60.56/~jnz1568/getInfo.php?workbook=06_02.xlsx&amp;sheet=A0&amp;row=685&amp;col=11&amp;number=&amp;sourceID=30","")</f>
        <v/>
      </c>
      <c r="L685" s="4" t="str">
        <f>HYPERLINK("http://141.218.60.56/~jnz1568/getInfo.php?workbook=06_02.xlsx&amp;sheet=A0&amp;row=685&amp;col=12&amp;number=366.1&amp;sourceID=30","366.1")</f>
        <v>366.1</v>
      </c>
      <c r="M685" s="4" t="str">
        <f>HYPERLINK("http://141.218.60.56/~jnz1568/getInfo.php?workbook=06_02.xlsx&amp;sheet=A0&amp;row=685&amp;col=13&amp;number=2.603e-08&amp;sourceID=30","2.603e-08")</f>
        <v>2.603e-08</v>
      </c>
      <c r="N685" s="4" t="str">
        <f>HYPERLINK("http://141.218.60.56/~jnz1568/getInfo.php?workbook=06_02.xlsx&amp;sheet=A0&amp;row=685&amp;col=14&amp;number=&amp;sourceID=30","")</f>
        <v/>
      </c>
      <c r="O685" s="4" t="str">
        <f>HYPERLINK("http://141.218.60.56/~jnz1568/getInfo.php?workbook=06_02.xlsx&amp;sheet=A0&amp;row=685&amp;col=15&amp;number=&amp;sourceID=32","")</f>
        <v/>
      </c>
      <c r="P685" s="4" t="str">
        <f>HYPERLINK("http://141.218.60.56/~jnz1568/getInfo.php?workbook=06_02.xlsx&amp;sheet=A0&amp;row=685&amp;col=16&amp;number=160.4&amp;sourceID=32","160.4")</f>
        <v>160.4</v>
      </c>
      <c r="Q685" s="4" t="str">
        <f>HYPERLINK("http://141.218.60.56/~jnz1568/getInfo.php?workbook=06_02.xlsx&amp;sheet=A0&amp;row=685&amp;col=17&amp;number=2.841e-06&amp;sourceID=32","2.841e-06")</f>
        <v>2.841e-06</v>
      </c>
      <c r="R685" s="4" t="str">
        <f>HYPERLINK("http://141.218.60.56/~jnz1568/getInfo.php?workbook=06_02.xlsx&amp;sheet=A0&amp;row=685&amp;col=18&amp;number=&amp;sourceID=32","")</f>
        <v/>
      </c>
    </row>
    <row r="686" spans="1:18">
      <c r="A686" s="3">
        <v>6</v>
      </c>
      <c r="B686" s="3">
        <v>2</v>
      </c>
      <c r="C686" s="3">
        <v>41</v>
      </c>
      <c r="D686" s="3">
        <v>28</v>
      </c>
      <c r="E686" s="3">
        <f>((1/(INDEX(E0!J$4:J$52,C686,1)-INDEX(E0!J$4:J$52,D686,1))))*100000000</f>
        <v>0</v>
      </c>
      <c r="F686" s="4" t="str">
        <f>HYPERLINK("http://141.218.60.56/~jnz1568/getInfo.php?workbook=06_02.xlsx&amp;sheet=A0&amp;row=686&amp;col=6&amp;number=&amp;sourceID=27","")</f>
        <v/>
      </c>
      <c r="G686" s="4" t="str">
        <f>HYPERLINK("http://141.218.60.56/~jnz1568/getInfo.php?workbook=06_02.xlsx&amp;sheet=A0&amp;row=686&amp;col=7&amp;number=&amp;sourceID=34","")</f>
        <v/>
      </c>
      <c r="H686" s="4" t="str">
        <f>HYPERLINK("http://141.218.60.56/~jnz1568/getInfo.php?workbook=06_02.xlsx&amp;sheet=A0&amp;row=686&amp;col=8&amp;number=&amp;sourceID=34","")</f>
        <v/>
      </c>
      <c r="I686" s="4" t="str">
        <f>HYPERLINK("http://141.218.60.56/~jnz1568/getInfo.php?workbook=06_02.xlsx&amp;sheet=A0&amp;row=686&amp;col=9&amp;number=&amp;sourceID=34","")</f>
        <v/>
      </c>
      <c r="J686" s="4" t="str">
        <f>HYPERLINK("http://141.218.60.56/~jnz1568/getInfo.php?workbook=06_02.xlsx&amp;sheet=A0&amp;row=686&amp;col=10&amp;number=&amp;sourceID=34","")</f>
        <v/>
      </c>
      <c r="K686" s="4" t="str">
        <f>HYPERLINK("http://141.218.60.56/~jnz1568/getInfo.php?workbook=06_02.xlsx&amp;sheet=A0&amp;row=686&amp;col=11&amp;number=&amp;sourceID=30","")</f>
        <v/>
      </c>
      <c r="L686" s="4" t="str">
        <f>HYPERLINK("http://141.218.60.56/~jnz1568/getInfo.php?workbook=06_02.xlsx&amp;sheet=A0&amp;row=686&amp;col=12&amp;number=1634&amp;sourceID=30","1634")</f>
        <v>1634</v>
      </c>
      <c r="M686" s="4" t="str">
        <f>HYPERLINK("http://141.218.60.56/~jnz1568/getInfo.php?workbook=06_02.xlsx&amp;sheet=A0&amp;row=686&amp;col=13&amp;number=1.198e-05&amp;sourceID=30","1.198e-05")</f>
        <v>1.198e-05</v>
      </c>
      <c r="N686" s="4" t="str">
        <f>HYPERLINK("http://141.218.60.56/~jnz1568/getInfo.php?workbook=06_02.xlsx&amp;sheet=A0&amp;row=686&amp;col=14&amp;number=&amp;sourceID=30","")</f>
        <v/>
      </c>
      <c r="O686" s="4" t="str">
        <f>HYPERLINK("http://141.218.60.56/~jnz1568/getInfo.php?workbook=06_02.xlsx&amp;sheet=A0&amp;row=686&amp;col=15&amp;number=&amp;sourceID=32","")</f>
        <v/>
      </c>
      <c r="P686" s="4" t="str">
        <f>HYPERLINK("http://141.218.60.56/~jnz1568/getInfo.php?workbook=06_02.xlsx&amp;sheet=A0&amp;row=686&amp;col=16&amp;number=2000&amp;sourceID=32","2000")</f>
        <v>2000</v>
      </c>
      <c r="Q686" s="4" t="str">
        <f>HYPERLINK("http://141.218.60.56/~jnz1568/getInfo.php?workbook=06_02.xlsx&amp;sheet=A0&amp;row=686&amp;col=17&amp;number=2.604e-05&amp;sourceID=32","2.604e-05")</f>
        <v>2.604e-05</v>
      </c>
      <c r="R686" s="4" t="str">
        <f>HYPERLINK("http://141.218.60.56/~jnz1568/getInfo.php?workbook=06_02.xlsx&amp;sheet=A0&amp;row=686&amp;col=18&amp;number=&amp;sourceID=32","")</f>
        <v/>
      </c>
    </row>
    <row r="687" spans="1:18">
      <c r="A687" s="3">
        <v>6</v>
      </c>
      <c r="B687" s="3">
        <v>2</v>
      </c>
      <c r="C687" s="3">
        <v>41</v>
      </c>
      <c r="D687" s="3">
        <v>29</v>
      </c>
      <c r="E687" s="3">
        <f>((1/(INDEX(E0!J$4:J$52,C687,1)-INDEX(E0!J$4:J$52,D687,1))))*100000000</f>
        <v>0</v>
      </c>
      <c r="F687" s="4" t="str">
        <f>HYPERLINK("http://141.218.60.56/~jnz1568/getInfo.php?workbook=06_02.xlsx&amp;sheet=A0&amp;row=687&amp;col=6&amp;number=&amp;sourceID=27","")</f>
        <v/>
      </c>
      <c r="G687" s="4" t="str">
        <f>HYPERLINK("http://141.218.60.56/~jnz1568/getInfo.php?workbook=06_02.xlsx&amp;sheet=A0&amp;row=687&amp;col=7&amp;number=&amp;sourceID=34","")</f>
        <v/>
      </c>
      <c r="H687" s="4" t="str">
        <f>HYPERLINK("http://141.218.60.56/~jnz1568/getInfo.php?workbook=06_02.xlsx&amp;sheet=A0&amp;row=687&amp;col=8&amp;number=&amp;sourceID=34","")</f>
        <v/>
      </c>
      <c r="I687" s="4" t="str">
        <f>HYPERLINK("http://141.218.60.56/~jnz1568/getInfo.php?workbook=06_02.xlsx&amp;sheet=A0&amp;row=687&amp;col=9&amp;number=&amp;sourceID=34","")</f>
        <v/>
      </c>
      <c r="J687" s="4" t="str">
        <f>HYPERLINK("http://141.218.60.56/~jnz1568/getInfo.php?workbook=06_02.xlsx&amp;sheet=A0&amp;row=687&amp;col=10&amp;number=&amp;sourceID=34","")</f>
        <v/>
      </c>
      <c r="K687" s="4" t="str">
        <f>HYPERLINK("http://141.218.60.56/~jnz1568/getInfo.php?workbook=06_02.xlsx&amp;sheet=A0&amp;row=687&amp;col=11&amp;number=&amp;sourceID=30","")</f>
        <v/>
      </c>
      <c r="L687" s="4" t="str">
        <f>HYPERLINK("http://141.218.60.56/~jnz1568/getInfo.php?workbook=06_02.xlsx&amp;sheet=A0&amp;row=687&amp;col=12&amp;number=381.2&amp;sourceID=30","381.2")</f>
        <v>381.2</v>
      </c>
      <c r="M687" s="4" t="str">
        <f>HYPERLINK("http://141.218.60.56/~jnz1568/getInfo.php?workbook=06_02.xlsx&amp;sheet=A0&amp;row=687&amp;col=13&amp;number=9.492e-06&amp;sourceID=30","9.492e-06")</f>
        <v>9.492e-06</v>
      </c>
      <c r="N687" s="4" t="str">
        <f>HYPERLINK("http://141.218.60.56/~jnz1568/getInfo.php?workbook=06_02.xlsx&amp;sheet=A0&amp;row=687&amp;col=14&amp;number=&amp;sourceID=30","")</f>
        <v/>
      </c>
      <c r="O687" s="4" t="str">
        <f>HYPERLINK("http://141.218.60.56/~jnz1568/getInfo.php?workbook=06_02.xlsx&amp;sheet=A0&amp;row=687&amp;col=15&amp;number=&amp;sourceID=32","")</f>
        <v/>
      </c>
      <c r="P687" s="4" t="str">
        <f>HYPERLINK("http://141.218.60.56/~jnz1568/getInfo.php?workbook=06_02.xlsx&amp;sheet=A0&amp;row=687&amp;col=16&amp;number=&amp;sourceID=32","")</f>
        <v/>
      </c>
      <c r="Q687" s="4" t="str">
        <f>HYPERLINK("http://141.218.60.56/~jnz1568/getInfo.php?workbook=06_02.xlsx&amp;sheet=A0&amp;row=687&amp;col=17&amp;number=&amp;sourceID=32","")</f>
        <v/>
      </c>
      <c r="R687" s="4" t="str">
        <f>HYPERLINK("http://141.218.60.56/~jnz1568/getInfo.php?workbook=06_02.xlsx&amp;sheet=A0&amp;row=687&amp;col=18&amp;number=&amp;sourceID=32","")</f>
        <v/>
      </c>
    </row>
    <row r="688" spans="1:18">
      <c r="A688" s="3">
        <v>6</v>
      </c>
      <c r="B688" s="3">
        <v>2</v>
      </c>
      <c r="C688" s="3">
        <v>41</v>
      </c>
      <c r="D688" s="3">
        <v>30</v>
      </c>
      <c r="E688" s="3">
        <f>((1/(INDEX(E0!J$4:J$52,C688,1)-INDEX(E0!J$4:J$52,D688,1))))*100000000</f>
        <v>0</v>
      </c>
      <c r="F688" s="4" t="str">
        <f>HYPERLINK("http://141.218.60.56/~jnz1568/getInfo.php?workbook=06_02.xlsx&amp;sheet=A0&amp;row=688&amp;col=6&amp;number=&amp;sourceID=27","")</f>
        <v/>
      </c>
      <c r="G688" s="4" t="str">
        <f>HYPERLINK("http://141.218.60.56/~jnz1568/getInfo.php?workbook=06_02.xlsx&amp;sheet=A0&amp;row=688&amp;col=7&amp;number=&amp;sourceID=34","")</f>
        <v/>
      </c>
      <c r="H688" s="4" t="str">
        <f>HYPERLINK("http://141.218.60.56/~jnz1568/getInfo.php?workbook=06_02.xlsx&amp;sheet=A0&amp;row=688&amp;col=8&amp;number=&amp;sourceID=34","")</f>
        <v/>
      </c>
      <c r="I688" s="4" t="str">
        <f>HYPERLINK("http://141.218.60.56/~jnz1568/getInfo.php?workbook=06_02.xlsx&amp;sheet=A0&amp;row=688&amp;col=9&amp;number=&amp;sourceID=34","")</f>
        <v/>
      </c>
      <c r="J688" s="4" t="str">
        <f>HYPERLINK("http://141.218.60.56/~jnz1568/getInfo.php?workbook=06_02.xlsx&amp;sheet=A0&amp;row=688&amp;col=10&amp;number=&amp;sourceID=34","")</f>
        <v/>
      </c>
      <c r="K688" s="4" t="str">
        <f>HYPERLINK("http://141.218.60.56/~jnz1568/getInfo.php?workbook=06_02.xlsx&amp;sheet=A0&amp;row=688&amp;col=11&amp;number=403600000&amp;sourceID=30","403600000")</f>
        <v>403600000</v>
      </c>
      <c r="L688" s="4" t="str">
        <f>HYPERLINK("http://141.218.60.56/~jnz1568/getInfo.php?workbook=06_02.xlsx&amp;sheet=A0&amp;row=688&amp;col=12&amp;number=&amp;sourceID=30","")</f>
        <v/>
      </c>
      <c r="M688" s="4" t="str">
        <f>HYPERLINK("http://141.218.60.56/~jnz1568/getInfo.php?workbook=06_02.xlsx&amp;sheet=A0&amp;row=688&amp;col=13&amp;number=&amp;sourceID=30","")</f>
        <v/>
      </c>
      <c r="N688" s="4" t="str">
        <f>HYPERLINK("http://141.218.60.56/~jnz1568/getInfo.php?workbook=06_02.xlsx&amp;sheet=A0&amp;row=688&amp;col=14&amp;number=0.0009963&amp;sourceID=30","0.0009963")</f>
        <v>0.0009963</v>
      </c>
      <c r="O688" s="4" t="str">
        <f>HYPERLINK("http://141.218.60.56/~jnz1568/getInfo.php?workbook=06_02.xlsx&amp;sheet=A0&amp;row=688&amp;col=15&amp;number=1180000000&amp;sourceID=32","1180000000")</f>
        <v>1180000000</v>
      </c>
      <c r="P688" s="4" t="str">
        <f>HYPERLINK("http://141.218.60.56/~jnz1568/getInfo.php?workbook=06_02.xlsx&amp;sheet=A0&amp;row=688&amp;col=16&amp;number=&amp;sourceID=32","")</f>
        <v/>
      </c>
      <c r="Q688" s="4" t="str">
        <f>HYPERLINK("http://141.218.60.56/~jnz1568/getInfo.php?workbook=06_02.xlsx&amp;sheet=A0&amp;row=688&amp;col=17&amp;number=&amp;sourceID=32","")</f>
        <v/>
      </c>
      <c r="R688" s="4" t="str">
        <f>HYPERLINK("http://141.218.60.56/~jnz1568/getInfo.php?workbook=06_02.xlsx&amp;sheet=A0&amp;row=688&amp;col=18&amp;number=0.06124&amp;sourceID=32","0.06124")</f>
        <v>0.06124</v>
      </c>
    </row>
    <row r="689" spans="1:18">
      <c r="A689" s="3">
        <v>6</v>
      </c>
      <c r="B689" s="3">
        <v>2</v>
      </c>
      <c r="C689" s="3">
        <v>41</v>
      </c>
      <c r="D689" s="3">
        <v>31</v>
      </c>
      <c r="E689" s="3">
        <f>((1/(INDEX(E0!J$4:J$52,C689,1)-INDEX(E0!J$4:J$52,D689,1))))*100000000</f>
        <v>0</v>
      </c>
      <c r="F689" s="4" t="str">
        <f>HYPERLINK("http://141.218.60.56/~jnz1568/getInfo.php?workbook=06_02.xlsx&amp;sheet=A0&amp;row=689&amp;col=6&amp;number=&amp;sourceID=27","")</f>
        <v/>
      </c>
      <c r="G689" s="4" t="str">
        <f>HYPERLINK("http://141.218.60.56/~jnz1568/getInfo.php?workbook=06_02.xlsx&amp;sheet=A0&amp;row=689&amp;col=7&amp;number=&amp;sourceID=34","")</f>
        <v/>
      </c>
      <c r="H689" s="4" t="str">
        <f>HYPERLINK("http://141.218.60.56/~jnz1568/getInfo.php?workbook=06_02.xlsx&amp;sheet=A0&amp;row=689&amp;col=8&amp;number=&amp;sourceID=34","")</f>
        <v/>
      </c>
      <c r="I689" s="4" t="str">
        <f>HYPERLINK("http://141.218.60.56/~jnz1568/getInfo.php?workbook=06_02.xlsx&amp;sheet=A0&amp;row=689&amp;col=9&amp;number=&amp;sourceID=34","")</f>
        <v/>
      </c>
      <c r="J689" s="4" t="str">
        <f>HYPERLINK("http://141.218.60.56/~jnz1568/getInfo.php?workbook=06_02.xlsx&amp;sheet=A0&amp;row=689&amp;col=10&amp;number=&amp;sourceID=34","")</f>
        <v/>
      </c>
      <c r="K689" s="4" t="str">
        <f>HYPERLINK("http://141.218.60.56/~jnz1568/getInfo.php?workbook=06_02.xlsx&amp;sheet=A0&amp;row=689&amp;col=11&amp;number=&amp;sourceID=30","")</f>
        <v/>
      </c>
      <c r="L689" s="4" t="str">
        <f>HYPERLINK("http://141.218.60.56/~jnz1568/getInfo.php?workbook=06_02.xlsx&amp;sheet=A0&amp;row=689&amp;col=12&amp;number=4004&amp;sourceID=30","4004")</f>
        <v>4004</v>
      </c>
      <c r="M689" s="4" t="str">
        <f>HYPERLINK("http://141.218.60.56/~jnz1568/getInfo.php?workbook=06_02.xlsx&amp;sheet=A0&amp;row=689&amp;col=13&amp;number=&amp;sourceID=30","")</f>
        <v/>
      </c>
      <c r="N689" s="4" t="str">
        <f>HYPERLINK("http://141.218.60.56/~jnz1568/getInfo.php?workbook=06_02.xlsx&amp;sheet=A0&amp;row=689&amp;col=14&amp;number=&amp;sourceID=30","")</f>
        <v/>
      </c>
      <c r="O689" s="4" t="str">
        <f>HYPERLINK("http://141.218.60.56/~jnz1568/getInfo.php?workbook=06_02.xlsx&amp;sheet=A0&amp;row=689&amp;col=15&amp;number=&amp;sourceID=32","")</f>
        <v/>
      </c>
      <c r="P689" s="4" t="str">
        <f>HYPERLINK("http://141.218.60.56/~jnz1568/getInfo.php?workbook=06_02.xlsx&amp;sheet=A0&amp;row=689&amp;col=16&amp;number=9803&amp;sourceID=32","9803")</f>
        <v>9803</v>
      </c>
      <c r="Q689" s="4" t="str">
        <f>HYPERLINK("http://141.218.60.56/~jnz1568/getInfo.php?workbook=06_02.xlsx&amp;sheet=A0&amp;row=689&amp;col=17&amp;number=&amp;sourceID=32","")</f>
        <v/>
      </c>
      <c r="R689" s="4" t="str">
        <f>HYPERLINK("http://141.218.60.56/~jnz1568/getInfo.php?workbook=06_02.xlsx&amp;sheet=A0&amp;row=689&amp;col=18&amp;number=&amp;sourceID=32","")</f>
        <v/>
      </c>
    </row>
    <row r="690" spans="1:18">
      <c r="A690" s="3">
        <v>6</v>
      </c>
      <c r="B690" s="3">
        <v>2</v>
      </c>
      <c r="C690" s="3">
        <v>41</v>
      </c>
      <c r="D690" s="3">
        <v>32</v>
      </c>
      <c r="E690" s="3">
        <f>((1/(INDEX(E0!J$4:J$52,C690,1)-INDEX(E0!J$4:J$52,D690,1))))*100000000</f>
        <v>0</v>
      </c>
      <c r="F690" s="4" t="str">
        <f>HYPERLINK("http://141.218.60.56/~jnz1568/getInfo.php?workbook=06_02.xlsx&amp;sheet=A0&amp;row=690&amp;col=6&amp;number=&amp;sourceID=27","")</f>
        <v/>
      </c>
      <c r="G690" s="4" t="str">
        <f>HYPERLINK("http://141.218.60.56/~jnz1568/getInfo.php?workbook=06_02.xlsx&amp;sheet=A0&amp;row=690&amp;col=7&amp;number=&amp;sourceID=34","")</f>
        <v/>
      </c>
      <c r="H690" s="4" t="str">
        <f>HYPERLINK("http://141.218.60.56/~jnz1568/getInfo.php?workbook=06_02.xlsx&amp;sheet=A0&amp;row=690&amp;col=8&amp;number=&amp;sourceID=34","")</f>
        <v/>
      </c>
      <c r="I690" s="4" t="str">
        <f>HYPERLINK("http://141.218.60.56/~jnz1568/getInfo.php?workbook=06_02.xlsx&amp;sheet=A0&amp;row=690&amp;col=9&amp;number=&amp;sourceID=34","")</f>
        <v/>
      </c>
      <c r="J690" s="4" t="str">
        <f>HYPERLINK("http://141.218.60.56/~jnz1568/getInfo.php?workbook=06_02.xlsx&amp;sheet=A0&amp;row=690&amp;col=10&amp;number=&amp;sourceID=34","")</f>
        <v/>
      </c>
      <c r="K690" s="4" t="str">
        <f>HYPERLINK("http://141.218.60.56/~jnz1568/getInfo.php?workbook=06_02.xlsx&amp;sheet=A0&amp;row=690&amp;col=11&amp;number=&amp;sourceID=30","")</f>
        <v/>
      </c>
      <c r="L690" s="4" t="str">
        <f>HYPERLINK("http://141.218.60.56/~jnz1568/getInfo.php?workbook=06_02.xlsx&amp;sheet=A0&amp;row=690&amp;col=12&amp;number=&amp;sourceID=30","")</f>
        <v/>
      </c>
      <c r="M690" s="4" t="str">
        <f>HYPERLINK("http://141.218.60.56/~jnz1568/getInfo.php?workbook=06_02.xlsx&amp;sheet=A0&amp;row=690&amp;col=13&amp;number=&amp;sourceID=30","")</f>
        <v/>
      </c>
      <c r="N690" s="4" t="str">
        <f>HYPERLINK("http://141.218.60.56/~jnz1568/getInfo.php?workbook=06_02.xlsx&amp;sheet=A0&amp;row=690&amp;col=14&amp;number=0&amp;sourceID=30","0")</f>
        <v>0</v>
      </c>
      <c r="O690" s="4" t="str">
        <f>HYPERLINK("http://141.218.60.56/~jnz1568/getInfo.php?workbook=06_02.xlsx&amp;sheet=A0&amp;row=690&amp;col=15&amp;number=&amp;sourceID=32","")</f>
        <v/>
      </c>
      <c r="P690" s="4" t="str">
        <f>HYPERLINK("http://141.218.60.56/~jnz1568/getInfo.php?workbook=06_02.xlsx&amp;sheet=A0&amp;row=690&amp;col=16&amp;number=&amp;sourceID=32","")</f>
        <v/>
      </c>
      <c r="Q690" s="4" t="str">
        <f>HYPERLINK("http://141.218.60.56/~jnz1568/getInfo.php?workbook=06_02.xlsx&amp;sheet=A0&amp;row=690&amp;col=17&amp;number=&amp;sourceID=32","")</f>
        <v/>
      </c>
      <c r="R690" s="4" t="str">
        <f>HYPERLINK("http://141.218.60.56/~jnz1568/getInfo.php?workbook=06_02.xlsx&amp;sheet=A0&amp;row=690&amp;col=18&amp;number=1e-15&amp;sourceID=32","1e-15")</f>
        <v>1e-15</v>
      </c>
    </row>
    <row r="691" spans="1:18">
      <c r="A691" s="3">
        <v>6</v>
      </c>
      <c r="B691" s="3">
        <v>2</v>
      </c>
      <c r="C691" s="3">
        <v>41</v>
      </c>
      <c r="D691" s="3">
        <v>35</v>
      </c>
      <c r="E691" s="3">
        <f>((1/(INDEX(E0!J$4:J$52,C691,1)-INDEX(E0!J$4:J$52,D691,1))))*100000000</f>
        <v>0</v>
      </c>
      <c r="F691" s="4" t="str">
        <f>HYPERLINK("http://141.218.60.56/~jnz1568/getInfo.php?workbook=06_02.xlsx&amp;sheet=A0&amp;row=691&amp;col=6&amp;number=&amp;sourceID=27","")</f>
        <v/>
      </c>
      <c r="G691" s="4" t="str">
        <f>HYPERLINK("http://141.218.60.56/~jnz1568/getInfo.php?workbook=06_02.xlsx&amp;sheet=A0&amp;row=691&amp;col=7&amp;number=&amp;sourceID=34","")</f>
        <v/>
      </c>
      <c r="H691" s="4" t="str">
        <f>HYPERLINK("http://141.218.60.56/~jnz1568/getInfo.php?workbook=06_02.xlsx&amp;sheet=A0&amp;row=691&amp;col=8&amp;number=&amp;sourceID=34","")</f>
        <v/>
      </c>
      <c r="I691" s="4" t="str">
        <f>HYPERLINK("http://141.218.60.56/~jnz1568/getInfo.php?workbook=06_02.xlsx&amp;sheet=A0&amp;row=691&amp;col=9&amp;number=&amp;sourceID=34","")</f>
        <v/>
      </c>
      <c r="J691" s="4" t="str">
        <f>HYPERLINK("http://141.218.60.56/~jnz1568/getInfo.php?workbook=06_02.xlsx&amp;sheet=A0&amp;row=691&amp;col=10&amp;number=&amp;sourceID=34","")</f>
        <v/>
      </c>
      <c r="K691" s="4" t="str">
        <f>HYPERLINK("http://141.218.60.56/~jnz1568/getInfo.php?workbook=06_02.xlsx&amp;sheet=A0&amp;row=691&amp;col=11&amp;number=&amp;sourceID=30","")</f>
        <v/>
      </c>
      <c r="L691" s="4" t="str">
        <f>HYPERLINK("http://141.218.60.56/~jnz1568/getInfo.php?workbook=06_02.xlsx&amp;sheet=A0&amp;row=691&amp;col=12&amp;number=8.534e-05&amp;sourceID=30","8.534e-05")</f>
        <v>8.534e-05</v>
      </c>
      <c r="M691" s="4" t="str">
        <f>HYPERLINK("http://141.218.60.56/~jnz1568/getInfo.php?workbook=06_02.xlsx&amp;sheet=A0&amp;row=691&amp;col=13&amp;number=&amp;sourceID=30","")</f>
        <v/>
      </c>
      <c r="N691" s="4" t="str">
        <f>HYPERLINK("http://141.218.60.56/~jnz1568/getInfo.php?workbook=06_02.xlsx&amp;sheet=A0&amp;row=691&amp;col=14&amp;number=&amp;sourceID=30","")</f>
        <v/>
      </c>
      <c r="O691" s="4" t="str">
        <f>HYPERLINK("http://141.218.60.56/~jnz1568/getInfo.php?workbook=06_02.xlsx&amp;sheet=A0&amp;row=691&amp;col=15&amp;number=&amp;sourceID=32","")</f>
        <v/>
      </c>
      <c r="P691" s="4" t="str">
        <f>HYPERLINK("http://141.218.60.56/~jnz1568/getInfo.php?workbook=06_02.xlsx&amp;sheet=A0&amp;row=691&amp;col=16&amp;number=4.783e-05&amp;sourceID=32","4.783e-05")</f>
        <v>4.783e-05</v>
      </c>
      <c r="Q691" s="4" t="str">
        <f>HYPERLINK("http://141.218.60.56/~jnz1568/getInfo.php?workbook=06_02.xlsx&amp;sheet=A0&amp;row=691&amp;col=17&amp;number=&amp;sourceID=32","")</f>
        <v/>
      </c>
      <c r="R691" s="4" t="str">
        <f>HYPERLINK("http://141.218.60.56/~jnz1568/getInfo.php?workbook=06_02.xlsx&amp;sheet=A0&amp;row=691&amp;col=18&amp;number=&amp;sourceID=32","")</f>
        <v/>
      </c>
    </row>
    <row r="692" spans="1:18">
      <c r="A692" s="3">
        <v>6</v>
      </c>
      <c r="B692" s="3">
        <v>2</v>
      </c>
      <c r="C692" s="3">
        <v>41</v>
      </c>
      <c r="D692" s="3">
        <v>36</v>
      </c>
      <c r="E692" s="3">
        <f>((1/(INDEX(E0!J$4:J$52,C692,1)-INDEX(E0!J$4:J$52,D692,1))))*100000000</f>
        <v>0</v>
      </c>
      <c r="F692" s="4" t="str">
        <f>HYPERLINK("http://141.218.60.56/~jnz1568/getInfo.php?workbook=06_02.xlsx&amp;sheet=A0&amp;row=692&amp;col=6&amp;number=&amp;sourceID=27","")</f>
        <v/>
      </c>
      <c r="G692" s="4" t="str">
        <f>HYPERLINK("http://141.218.60.56/~jnz1568/getInfo.php?workbook=06_02.xlsx&amp;sheet=A0&amp;row=692&amp;col=7&amp;number=&amp;sourceID=34","")</f>
        <v/>
      </c>
      <c r="H692" s="4" t="str">
        <f>HYPERLINK("http://141.218.60.56/~jnz1568/getInfo.php?workbook=06_02.xlsx&amp;sheet=A0&amp;row=692&amp;col=8&amp;number=&amp;sourceID=34","")</f>
        <v/>
      </c>
      <c r="I692" s="4" t="str">
        <f>HYPERLINK("http://141.218.60.56/~jnz1568/getInfo.php?workbook=06_02.xlsx&amp;sheet=A0&amp;row=692&amp;col=9&amp;number=&amp;sourceID=34","")</f>
        <v/>
      </c>
      <c r="J692" s="4" t="str">
        <f>HYPERLINK("http://141.218.60.56/~jnz1568/getInfo.php?workbook=06_02.xlsx&amp;sheet=A0&amp;row=692&amp;col=10&amp;number=&amp;sourceID=34","")</f>
        <v/>
      </c>
      <c r="K692" s="4" t="str">
        <f>HYPERLINK("http://141.218.60.56/~jnz1568/getInfo.php?workbook=06_02.xlsx&amp;sheet=A0&amp;row=692&amp;col=11&amp;number=&amp;sourceID=30","")</f>
        <v/>
      </c>
      <c r="L692" s="4" t="str">
        <f>HYPERLINK("http://141.218.60.56/~jnz1568/getInfo.php?workbook=06_02.xlsx&amp;sheet=A0&amp;row=692&amp;col=12&amp;number=4.088e-05&amp;sourceID=30","4.088e-05")</f>
        <v>4.088e-05</v>
      </c>
      <c r="M692" s="4" t="str">
        <f>HYPERLINK("http://141.218.60.56/~jnz1568/getInfo.php?workbook=06_02.xlsx&amp;sheet=A0&amp;row=692&amp;col=13&amp;number=2.085e-11&amp;sourceID=30","2.085e-11")</f>
        <v>2.085e-11</v>
      </c>
      <c r="N692" s="4" t="str">
        <f>HYPERLINK("http://141.218.60.56/~jnz1568/getInfo.php?workbook=06_02.xlsx&amp;sheet=A0&amp;row=692&amp;col=14&amp;number=&amp;sourceID=30","")</f>
        <v/>
      </c>
      <c r="O692" s="4" t="str">
        <f>HYPERLINK("http://141.218.60.56/~jnz1568/getInfo.php?workbook=06_02.xlsx&amp;sheet=A0&amp;row=692&amp;col=15&amp;number=&amp;sourceID=32","")</f>
        <v/>
      </c>
      <c r="P692" s="4" t="str">
        <f>HYPERLINK("http://141.218.60.56/~jnz1568/getInfo.php?workbook=06_02.xlsx&amp;sheet=A0&amp;row=692&amp;col=16&amp;number=2.329e-05&amp;sourceID=32","2.329e-05")</f>
        <v>2.329e-05</v>
      </c>
      <c r="Q692" s="4" t="str">
        <f>HYPERLINK("http://141.218.60.56/~jnz1568/getInfo.php?workbook=06_02.xlsx&amp;sheet=A0&amp;row=692&amp;col=17&amp;number=7.593e-12&amp;sourceID=32","7.593e-12")</f>
        <v>7.593e-12</v>
      </c>
      <c r="R692" s="4" t="str">
        <f>HYPERLINK("http://141.218.60.56/~jnz1568/getInfo.php?workbook=06_02.xlsx&amp;sheet=A0&amp;row=692&amp;col=18&amp;number=&amp;sourceID=32","")</f>
        <v/>
      </c>
    </row>
    <row r="693" spans="1:18">
      <c r="A693" s="3">
        <v>6</v>
      </c>
      <c r="B693" s="3">
        <v>2</v>
      </c>
      <c r="C693" s="3">
        <v>41</v>
      </c>
      <c r="D693" s="3">
        <v>37</v>
      </c>
      <c r="E693" s="3">
        <f>((1/(INDEX(E0!J$4:J$52,C693,1)-INDEX(E0!J$4:J$52,D693,1))))*100000000</f>
        <v>0</v>
      </c>
      <c r="F693" s="4" t="str">
        <f>HYPERLINK("http://141.218.60.56/~jnz1568/getInfo.php?workbook=06_02.xlsx&amp;sheet=A0&amp;row=693&amp;col=6&amp;number=&amp;sourceID=27","")</f>
        <v/>
      </c>
      <c r="G693" s="4" t="str">
        <f>HYPERLINK("http://141.218.60.56/~jnz1568/getInfo.php?workbook=06_02.xlsx&amp;sheet=A0&amp;row=693&amp;col=7&amp;number=&amp;sourceID=34","")</f>
        <v/>
      </c>
      <c r="H693" s="4" t="str">
        <f>HYPERLINK("http://141.218.60.56/~jnz1568/getInfo.php?workbook=06_02.xlsx&amp;sheet=A0&amp;row=693&amp;col=8&amp;number=&amp;sourceID=34","")</f>
        <v/>
      </c>
      <c r="I693" s="4" t="str">
        <f>HYPERLINK("http://141.218.60.56/~jnz1568/getInfo.php?workbook=06_02.xlsx&amp;sheet=A0&amp;row=693&amp;col=9&amp;number=&amp;sourceID=34","")</f>
        <v/>
      </c>
      <c r="J693" s="4" t="str">
        <f>HYPERLINK("http://141.218.60.56/~jnz1568/getInfo.php?workbook=06_02.xlsx&amp;sheet=A0&amp;row=693&amp;col=10&amp;number=&amp;sourceID=34","")</f>
        <v/>
      </c>
      <c r="K693" s="4" t="str">
        <f>HYPERLINK("http://141.218.60.56/~jnz1568/getInfo.php?workbook=06_02.xlsx&amp;sheet=A0&amp;row=693&amp;col=11&amp;number=&amp;sourceID=30","")</f>
        <v/>
      </c>
      <c r="L693" s="4" t="str">
        <f>HYPERLINK("http://141.218.60.56/~jnz1568/getInfo.php?workbook=06_02.xlsx&amp;sheet=A0&amp;row=693&amp;col=12&amp;number=&amp;sourceID=30","")</f>
        <v/>
      </c>
      <c r="M693" s="4" t="str">
        <f>HYPERLINK("http://141.218.60.56/~jnz1568/getInfo.php?workbook=06_02.xlsx&amp;sheet=A0&amp;row=693&amp;col=13&amp;number=&amp;sourceID=30","")</f>
        <v/>
      </c>
      <c r="N693" s="4" t="str">
        <f>HYPERLINK("http://141.218.60.56/~jnz1568/getInfo.php?workbook=06_02.xlsx&amp;sheet=A0&amp;row=693&amp;col=14&amp;number=0&amp;sourceID=30","0")</f>
        <v>0</v>
      </c>
      <c r="O693" s="4" t="str">
        <f>HYPERLINK("http://141.218.60.56/~jnz1568/getInfo.php?workbook=06_02.xlsx&amp;sheet=A0&amp;row=693&amp;col=15&amp;number=&amp;sourceID=32","")</f>
        <v/>
      </c>
      <c r="P693" s="4" t="str">
        <f>HYPERLINK("http://141.218.60.56/~jnz1568/getInfo.php?workbook=06_02.xlsx&amp;sheet=A0&amp;row=693&amp;col=16&amp;number=&amp;sourceID=32","")</f>
        <v/>
      </c>
      <c r="Q693" s="4" t="str">
        <f>HYPERLINK("http://141.218.60.56/~jnz1568/getInfo.php?workbook=06_02.xlsx&amp;sheet=A0&amp;row=693&amp;col=17&amp;number=&amp;sourceID=32","")</f>
        <v/>
      </c>
      <c r="R693" s="4" t="str">
        <f>HYPERLINK("http://141.218.60.56/~jnz1568/getInfo.php?workbook=06_02.xlsx&amp;sheet=A0&amp;row=693&amp;col=18&amp;number=&amp;sourceID=32","")</f>
        <v/>
      </c>
    </row>
    <row r="694" spans="1:18">
      <c r="A694" s="3">
        <v>6</v>
      </c>
      <c r="B694" s="3">
        <v>2</v>
      </c>
      <c r="C694" s="3">
        <v>41</v>
      </c>
      <c r="D694" s="3">
        <v>38</v>
      </c>
      <c r="E694" s="3">
        <f>((1/(INDEX(E0!J$4:J$52,C694,1)-INDEX(E0!J$4:J$52,D694,1))))*100000000</f>
        <v>0</v>
      </c>
      <c r="F694" s="4" t="str">
        <f>HYPERLINK("http://141.218.60.56/~jnz1568/getInfo.php?workbook=06_02.xlsx&amp;sheet=A0&amp;row=694&amp;col=6&amp;number=&amp;sourceID=27","")</f>
        <v/>
      </c>
      <c r="G694" s="4" t="str">
        <f>HYPERLINK("http://141.218.60.56/~jnz1568/getInfo.php?workbook=06_02.xlsx&amp;sheet=A0&amp;row=694&amp;col=7&amp;number=&amp;sourceID=34","")</f>
        <v/>
      </c>
      <c r="H694" s="4" t="str">
        <f>HYPERLINK("http://141.218.60.56/~jnz1568/getInfo.php?workbook=06_02.xlsx&amp;sheet=A0&amp;row=694&amp;col=8&amp;number=&amp;sourceID=34","")</f>
        <v/>
      </c>
      <c r="I694" s="4" t="str">
        <f>HYPERLINK("http://141.218.60.56/~jnz1568/getInfo.php?workbook=06_02.xlsx&amp;sheet=A0&amp;row=694&amp;col=9&amp;number=&amp;sourceID=34","")</f>
        <v/>
      </c>
      <c r="J694" s="4" t="str">
        <f>HYPERLINK("http://141.218.60.56/~jnz1568/getInfo.php?workbook=06_02.xlsx&amp;sheet=A0&amp;row=694&amp;col=10&amp;number=&amp;sourceID=34","")</f>
        <v/>
      </c>
      <c r="K694" s="4" t="str">
        <f>HYPERLINK("http://141.218.60.56/~jnz1568/getInfo.php?workbook=06_02.xlsx&amp;sheet=A0&amp;row=694&amp;col=11&amp;number=4.2&amp;sourceID=30","4.2")</f>
        <v>4.2</v>
      </c>
      <c r="L694" s="4" t="str">
        <f>HYPERLINK("http://141.218.60.56/~jnz1568/getInfo.php?workbook=06_02.xlsx&amp;sheet=A0&amp;row=694&amp;col=12&amp;number=&amp;sourceID=30","")</f>
        <v/>
      </c>
      <c r="M694" s="4" t="str">
        <f>HYPERLINK("http://141.218.60.56/~jnz1568/getInfo.php?workbook=06_02.xlsx&amp;sheet=A0&amp;row=694&amp;col=13&amp;number=&amp;sourceID=30","")</f>
        <v/>
      </c>
      <c r="N694" s="4" t="str">
        <f>HYPERLINK("http://141.218.60.56/~jnz1568/getInfo.php?workbook=06_02.xlsx&amp;sheet=A0&amp;row=694&amp;col=14&amp;number=0&amp;sourceID=30","0")</f>
        <v>0</v>
      </c>
      <c r="O694" s="4" t="str">
        <f>HYPERLINK("http://141.218.60.56/~jnz1568/getInfo.php?workbook=06_02.xlsx&amp;sheet=A0&amp;row=694&amp;col=15&amp;number=&amp;sourceID=32","")</f>
        <v/>
      </c>
      <c r="P694" s="4" t="str">
        <f>HYPERLINK("http://141.218.60.56/~jnz1568/getInfo.php?workbook=06_02.xlsx&amp;sheet=A0&amp;row=694&amp;col=16&amp;number=&amp;sourceID=32","")</f>
        <v/>
      </c>
      <c r="Q694" s="4" t="str">
        <f>HYPERLINK("http://141.218.60.56/~jnz1568/getInfo.php?workbook=06_02.xlsx&amp;sheet=A0&amp;row=694&amp;col=17&amp;number=&amp;sourceID=32","")</f>
        <v/>
      </c>
      <c r="R694" s="4" t="str">
        <f>HYPERLINK("http://141.218.60.56/~jnz1568/getInfo.php?workbook=06_02.xlsx&amp;sheet=A0&amp;row=694&amp;col=18&amp;number=&amp;sourceID=32","")</f>
        <v/>
      </c>
    </row>
    <row r="695" spans="1:18">
      <c r="A695" s="3">
        <v>6</v>
      </c>
      <c r="B695" s="3">
        <v>2</v>
      </c>
      <c r="C695" s="3">
        <v>41</v>
      </c>
      <c r="D695" s="3">
        <v>39</v>
      </c>
      <c r="E695" s="3">
        <f>((1/(INDEX(E0!J$4:J$52,C695,1)-INDEX(E0!J$4:J$52,D695,1))))*100000000</f>
        <v>0</v>
      </c>
      <c r="F695" s="4" t="str">
        <f>HYPERLINK("http://141.218.60.56/~jnz1568/getInfo.php?workbook=06_02.xlsx&amp;sheet=A0&amp;row=695&amp;col=6&amp;number=&amp;sourceID=27","")</f>
        <v/>
      </c>
      <c r="G695" s="4" t="str">
        <f>HYPERLINK("http://141.218.60.56/~jnz1568/getInfo.php?workbook=06_02.xlsx&amp;sheet=A0&amp;row=695&amp;col=7&amp;number=&amp;sourceID=34","")</f>
        <v/>
      </c>
      <c r="H695" s="4" t="str">
        <f>HYPERLINK("http://141.218.60.56/~jnz1568/getInfo.php?workbook=06_02.xlsx&amp;sheet=A0&amp;row=695&amp;col=8&amp;number=&amp;sourceID=34","")</f>
        <v/>
      </c>
      <c r="I695" s="4" t="str">
        <f>HYPERLINK("http://141.218.60.56/~jnz1568/getInfo.php?workbook=06_02.xlsx&amp;sheet=A0&amp;row=695&amp;col=9&amp;number=&amp;sourceID=34","")</f>
        <v/>
      </c>
      <c r="J695" s="4" t="str">
        <f>HYPERLINK("http://141.218.60.56/~jnz1568/getInfo.php?workbook=06_02.xlsx&amp;sheet=A0&amp;row=695&amp;col=10&amp;number=&amp;sourceID=34","")</f>
        <v/>
      </c>
      <c r="K695" s="4" t="str">
        <f>HYPERLINK("http://141.218.60.56/~jnz1568/getInfo.php?workbook=06_02.xlsx&amp;sheet=A0&amp;row=695&amp;col=11&amp;number=0.4419&amp;sourceID=30","0.4419")</f>
        <v>0.4419</v>
      </c>
      <c r="L695" s="4" t="str">
        <f>HYPERLINK("http://141.218.60.56/~jnz1568/getInfo.php?workbook=06_02.xlsx&amp;sheet=A0&amp;row=695&amp;col=12&amp;number=&amp;sourceID=30","")</f>
        <v/>
      </c>
      <c r="M695" s="4" t="str">
        <f>HYPERLINK("http://141.218.60.56/~jnz1568/getInfo.php?workbook=06_02.xlsx&amp;sheet=A0&amp;row=695&amp;col=13&amp;number=&amp;sourceID=30","")</f>
        <v/>
      </c>
      <c r="N695" s="4" t="str">
        <f>HYPERLINK("http://141.218.60.56/~jnz1568/getInfo.php?workbook=06_02.xlsx&amp;sheet=A0&amp;row=695&amp;col=14&amp;number=0&amp;sourceID=30","0")</f>
        <v>0</v>
      </c>
      <c r="O695" s="4" t="str">
        <f>HYPERLINK("http://141.218.60.56/~jnz1568/getInfo.php?workbook=06_02.xlsx&amp;sheet=A0&amp;row=695&amp;col=15&amp;number=&amp;sourceID=32","")</f>
        <v/>
      </c>
      <c r="P695" s="4" t="str">
        <f>HYPERLINK("http://141.218.60.56/~jnz1568/getInfo.php?workbook=06_02.xlsx&amp;sheet=A0&amp;row=695&amp;col=16&amp;number=&amp;sourceID=32","")</f>
        <v/>
      </c>
      <c r="Q695" s="4" t="str">
        <f>HYPERLINK("http://141.218.60.56/~jnz1568/getInfo.php?workbook=06_02.xlsx&amp;sheet=A0&amp;row=695&amp;col=17&amp;number=&amp;sourceID=32","")</f>
        <v/>
      </c>
      <c r="R695" s="4" t="str">
        <f>HYPERLINK("http://141.218.60.56/~jnz1568/getInfo.php?workbook=06_02.xlsx&amp;sheet=A0&amp;row=695&amp;col=18&amp;number=&amp;sourceID=32","")</f>
        <v/>
      </c>
    </row>
    <row r="696" spans="1:18">
      <c r="A696" s="3">
        <v>6</v>
      </c>
      <c r="B696" s="3">
        <v>2</v>
      </c>
      <c r="C696" s="3">
        <v>42</v>
      </c>
      <c r="D696" s="3">
        <v>6</v>
      </c>
      <c r="E696" s="3">
        <f>((1/(INDEX(E0!J$4:J$52,C696,1)-INDEX(E0!J$4:J$52,D696,1))))*100000000</f>
        <v>0</v>
      </c>
      <c r="F696" s="4" t="str">
        <f>HYPERLINK("http://141.218.60.56/~jnz1568/getInfo.php?workbook=06_02.xlsx&amp;sheet=A0&amp;row=696&amp;col=6&amp;number=&amp;sourceID=27","")</f>
        <v/>
      </c>
      <c r="G696" s="4" t="str">
        <f>HYPERLINK("http://141.218.60.56/~jnz1568/getInfo.php?workbook=06_02.xlsx&amp;sheet=A0&amp;row=696&amp;col=7&amp;number=&amp;sourceID=34","")</f>
        <v/>
      </c>
      <c r="H696" s="4" t="str">
        <f>HYPERLINK("http://141.218.60.56/~jnz1568/getInfo.php?workbook=06_02.xlsx&amp;sheet=A0&amp;row=696&amp;col=8&amp;number=&amp;sourceID=34","")</f>
        <v/>
      </c>
      <c r="I696" s="4" t="str">
        <f>HYPERLINK("http://141.218.60.56/~jnz1568/getInfo.php?workbook=06_02.xlsx&amp;sheet=A0&amp;row=696&amp;col=9&amp;number=&amp;sourceID=34","")</f>
        <v/>
      </c>
      <c r="J696" s="4" t="str">
        <f>HYPERLINK("http://141.218.60.56/~jnz1568/getInfo.php?workbook=06_02.xlsx&amp;sheet=A0&amp;row=696&amp;col=10&amp;number=&amp;sourceID=34","")</f>
        <v/>
      </c>
      <c r="K696" s="4" t="str">
        <f>HYPERLINK("http://141.218.60.56/~jnz1568/getInfo.php?workbook=06_02.xlsx&amp;sheet=A0&amp;row=696&amp;col=11&amp;number=&amp;sourceID=30","")</f>
        <v/>
      </c>
      <c r="L696" s="4" t="str">
        <f>HYPERLINK("http://141.218.60.56/~jnz1568/getInfo.php?workbook=06_02.xlsx&amp;sheet=A0&amp;row=696&amp;col=12&amp;number=757700&amp;sourceID=30","757700")</f>
        <v>757700</v>
      </c>
      <c r="M696" s="4" t="str">
        <f>HYPERLINK("http://141.218.60.56/~jnz1568/getInfo.php?workbook=06_02.xlsx&amp;sheet=A0&amp;row=696&amp;col=13&amp;number=&amp;sourceID=30","")</f>
        <v/>
      </c>
      <c r="N696" s="4" t="str">
        <f>HYPERLINK("http://141.218.60.56/~jnz1568/getInfo.php?workbook=06_02.xlsx&amp;sheet=A0&amp;row=696&amp;col=14&amp;number=&amp;sourceID=30","")</f>
        <v/>
      </c>
      <c r="O696" s="4" t="str">
        <f>HYPERLINK("http://141.218.60.56/~jnz1568/getInfo.php?workbook=06_02.xlsx&amp;sheet=A0&amp;row=696&amp;col=15&amp;number=&amp;sourceID=32","")</f>
        <v/>
      </c>
      <c r="P696" s="4" t="str">
        <f>HYPERLINK("http://141.218.60.56/~jnz1568/getInfo.php?workbook=06_02.xlsx&amp;sheet=A0&amp;row=696&amp;col=16&amp;number=&amp;sourceID=32","")</f>
        <v/>
      </c>
      <c r="Q696" s="4" t="str">
        <f>HYPERLINK("http://141.218.60.56/~jnz1568/getInfo.php?workbook=06_02.xlsx&amp;sheet=A0&amp;row=696&amp;col=17&amp;number=&amp;sourceID=32","")</f>
        <v/>
      </c>
      <c r="R696" s="4" t="str">
        <f>HYPERLINK("http://141.218.60.56/~jnz1568/getInfo.php?workbook=06_02.xlsx&amp;sheet=A0&amp;row=696&amp;col=18&amp;number=&amp;sourceID=32","")</f>
        <v/>
      </c>
    </row>
    <row r="697" spans="1:18">
      <c r="A697" s="3">
        <v>6</v>
      </c>
      <c r="B697" s="3">
        <v>2</v>
      </c>
      <c r="C697" s="3">
        <v>42</v>
      </c>
      <c r="D697" s="3">
        <v>12</v>
      </c>
      <c r="E697" s="3">
        <f>((1/(INDEX(E0!J$4:J$52,C697,1)-INDEX(E0!J$4:J$52,D697,1))))*100000000</f>
        <v>0</v>
      </c>
      <c r="F697" s="4" t="str">
        <f>HYPERLINK("http://141.218.60.56/~jnz1568/getInfo.php?workbook=06_02.xlsx&amp;sheet=A0&amp;row=697&amp;col=6&amp;number=&amp;sourceID=27","")</f>
        <v/>
      </c>
      <c r="G697" s="4" t="str">
        <f>HYPERLINK("http://141.218.60.56/~jnz1568/getInfo.php?workbook=06_02.xlsx&amp;sheet=A0&amp;row=697&amp;col=7&amp;number=&amp;sourceID=34","")</f>
        <v/>
      </c>
      <c r="H697" s="4" t="str">
        <f>HYPERLINK("http://141.218.60.56/~jnz1568/getInfo.php?workbook=06_02.xlsx&amp;sheet=A0&amp;row=697&amp;col=8&amp;number=&amp;sourceID=34","")</f>
        <v/>
      </c>
      <c r="I697" s="4" t="str">
        <f>HYPERLINK("http://141.218.60.56/~jnz1568/getInfo.php?workbook=06_02.xlsx&amp;sheet=A0&amp;row=697&amp;col=9&amp;number=&amp;sourceID=34","")</f>
        <v/>
      </c>
      <c r="J697" s="4" t="str">
        <f>HYPERLINK("http://141.218.60.56/~jnz1568/getInfo.php?workbook=06_02.xlsx&amp;sheet=A0&amp;row=697&amp;col=10&amp;number=&amp;sourceID=34","")</f>
        <v/>
      </c>
      <c r="K697" s="4" t="str">
        <f>HYPERLINK("http://141.218.60.56/~jnz1568/getInfo.php?workbook=06_02.xlsx&amp;sheet=A0&amp;row=697&amp;col=11&amp;number=&amp;sourceID=30","")</f>
        <v/>
      </c>
      <c r="L697" s="4" t="str">
        <f>HYPERLINK("http://141.218.60.56/~jnz1568/getInfo.php?workbook=06_02.xlsx&amp;sheet=A0&amp;row=697&amp;col=12&amp;number=1264&amp;sourceID=30","1264")</f>
        <v>1264</v>
      </c>
      <c r="M697" s="4" t="str">
        <f>HYPERLINK("http://141.218.60.56/~jnz1568/getInfo.php?workbook=06_02.xlsx&amp;sheet=A0&amp;row=697&amp;col=13&amp;number=&amp;sourceID=30","")</f>
        <v/>
      </c>
      <c r="N697" s="4" t="str">
        <f>HYPERLINK("http://141.218.60.56/~jnz1568/getInfo.php?workbook=06_02.xlsx&amp;sheet=A0&amp;row=697&amp;col=14&amp;number=&amp;sourceID=30","")</f>
        <v/>
      </c>
      <c r="O697" s="4" t="str">
        <f>HYPERLINK("http://141.218.60.56/~jnz1568/getInfo.php?workbook=06_02.xlsx&amp;sheet=A0&amp;row=697&amp;col=15&amp;number=&amp;sourceID=32","")</f>
        <v/>
      </c>
      <c r="P697" s="4" t="str">
        <f>HYPERLINK("http://141.218.60.56/~jnz1568/getInfo.php?workbook=06_02.xlsx&amp;sheet=A0&amp;row=697&amp;col=16&amp;number=&amp;sourceID=32","")</f>
        <v/>
      </c>
      <c r="Q697" s="4" t="str">
        <f>HYPERLINK("http://141.218.60.56/~jnz1568/getInfo.php?workbook=06_02.xlsx&amp;sheet=A0&amp;row=697&amp;col=17&amp;number=&amp;sourceID=32","")</f>
        <v/>
      </c>
      <c r="R697" s="4" t="str">
        <f>HYPERLINK("http://141.218.60.56/~jnz1568/getInfo.php?workbook=06_02.xlsx&amp;sheet=A0&amp;row=697&amp;col=18&amp;number=&amp;sourceID=32","")</f>
        <v/>
      </c>
    </row>
    <row r="698" spans="1:18">
      <c r="A698" s="3">
        <v>6</v>
      </c>
      <c r="B698" s="3">
        <v>2</v>
      </c>
      <c r="C698" s="3">
        <v>42</v>
      </c>
      <c r="D698" s="3">
        <v>14</v>
      </c>
      <c r="E698" s="3">
        <f>((1/(INDEX(E0!J$4:J$52,C698,1)-INDEX(E0!J$4:J$52,D698,1))))*100000000</f>
        <v>0</v>
      </c>
      <c r="F698" s="4" t="str">
        <f>HYPERLINK("http://141.218.60.56/~jnz1568/getInfo.php?workbook=06_02.xlsx&amp;sheet=A0&amp;row=698&amp;col=6&amp;number=&amp;sourceID=27","")</f>
        <v/>
      </c>
      <c r="G698" s="4" t="str">
        <f>HYPERLINK("http://141.218.60.56/~jnz1568/getInfo.php?workbook=06_02.xlsx&amp;sheet=A0&amp;row=698&amp;col=7&amp;number=&amp;sourceID=34","")</f>
        <v/>
      </c>
      <c r="H698" s="4" t="str">
        <f>HYPERLINK("http://141.218.60.56/~jnz1568/getInfo.php?workbook=06_02.xlsx&amp;sheet=A0&amp;row=698&amp;col=8&amp;number=&amp;sourceID=34","")</f>
        <v/>
      </c>
      <c r="I698" s="4" t="str">
        <f>HYPERLINK("http://141.218.60.56/~jnz1568/getInfo.php?workbook=06_02.xlsx&amp;sheet=A0&amp;row=698&amp;col=9&amp;number=&amp;sourceID=34","")</f>
        <v/>
      </c>
      <c r="J698" s="4" t="str">
        <f>HYPERLINK("http://141.218.60.56/~jnz1568/getInfo.php?workbook=06_02.xlsx&amp;sheet=A0&amp;row=698&amp;col=10&amp;number=&amp;sourceID=34","")</f>
        <v/>
      </c>
      <c r="K698" s="4" t="str">
        <f>HYPERLINK("http://141.218.60.56/~jnz1568/getInfo.php?workbook=06_02.xlsx&amp;sheet=A0&amp;row=698&amp;col=11&amp;number=&amp;sourceID=30","")</f>
        <v/>
      </c>
      <c r="L698" s="4" t="str">
        <f>HYPERLINK("http://141.218.60.56/~jnz1568/getInfo.php?workbook=06_02.xlsx&amp;sheet=A0&amp;row=698&amp;col=12&amp;number=&amp;sourceID=30","")</f>
        <v/>
      </c>
      <c r="M698" s="4" t="str">
        <f>HYPERLINK("http://141.218.60.56/~jnz1568/getInfo.php?workbook=06_02.xlsx&amp;sheet=A0&amp;row=698&amp;col=13&amp;number=&amp;sourceID=30","")</f>
        <v/>
      </c>
      <c r="N698" s="4" t="str">
        <f>HYPERLINK("http://141.218.60.56/~jnz1568/getInfo.php?workbook=06_02.xlsx&amp;sheet=A0&amp;row=698&amp;col=14&amp;number=0.05153&amp;sourceID=30","0.05153")</f>
        <v>0.05153</v>
      </c>
      <c r="O698" s="4" t="str">
        <f>HYPERLINK("http://141.218.60.56/~jnz1568/getInfo.php?workbook=06_02.xlsx&amp;sheet=A0&amp;row=698&amp;col=15&amp;number=&amp;sourceID=32","")</f>
        <v/>
      </c>
      <c r="P698" s="4" t="str">
        <f>HYPERLINK("http://141.218.60.56/~jnz1568/getInfo.php?workbook=06_02.xlsx&amp;sheet=A0&amp;row=698&amp;col=16&amp;number=&amp;sourceID=32","")</f>
        <v/>
      </c>
      <c r="Q698" s="4" t="str">
        <f>HYPERLINK("http://141.218.60.56/~jnz1568/getInfo.php?workbook=06_02.xlsx&amp;sheet=A0&amp;row=698&amp;col=17&amp;number=&amp;sourceID=32","")</f>
        <v/>
      </c>
      <c r="R698" s="4" t="str">
        <f>HYPERLINK("http://141.218.60.56/~jnz1568/getInfo.php?workbook=06_02.xlsx&amp;sheet=A0&amp;row=698&amp;col=18&amp;number=&amp;sourceID=32","")</f>
        <v/>
      </c>
    </row>
    <row r="699" spans="1:18">
      <c r="A699" s="3">
        <v>6</v>
      </c>
      <c r="B699" s="3">
        <v>2</v>
      </c>
      <c r="C699" s="3">
        <v>42</v>
      </c>
      <c r="D699" s="3">
        <v>15</v>
      </c>
      <c r="E699" s="3">
        <f>((1/(INDEX(E0!J$4:J$52,C699,1)-INDEX(E0!J$4:J$52,D699,1))))*100000000</f>
        <v>0</v>
      </c>
      <c r="F699" s="4" t="str">
        <f>HYPERLINK("http://141.218.60.56/~jnz1568/getInfo.php?workbook=06_02.xlsx&amp;sheet=A0&amp;row=699&amp;col=6&amp;number=&amp;sourceID=27","")</f>
        <v/>
      </c>
      <c r="G699" s="4" t="str">
        <f>HYPERLINK("http://141.218.60.56/~jnz1568/getInfo.php?workbook=06_02.xlsx&amp;sheet=A0&amp;row=699&amp;col=7&amp;number=&amp;sourceID=34","")</f>
        <v/>
      </c>
      <c r="H699" s="4" t="str">
        <f>HYPERLINK("http://141.218.60.56/~jnz1568/getInfo.php?workbook=06_02.xlsx&amp;sheet=A0&amp;row=699&amp;col=8&amp;number=&amp;sourceID=34","")</f>
        <v/>
      </c>
      <c r="I699" s="4" t="str">
        <f>HYPERLINK("http://141.218.60.56/~jnz1568/getInfo.php?workbook=06_02.xlsx&amp;sheet=A0&amp;row=699&amp;col=9&amp;number=&amp;sourceID=34","")</f>
        <v/>
      </c>
      <c r="J699" s="4" t="str">
        <f>HYPERLINK("http://141.218.60.56/~jnz1568/getInfo.php?workbook=06_02.xlsx&amp;sheet=A0&amp;row=699&amp;col=10&amp;number=&amp;sourceID=34","")</f>
        <v/>
      </c>
      <c r="K699" s="4" t="str">
        <f>HYPERLINK("http://141.218.60.56/~jnz1568/getInfo.php?workbook=06_02.xlsx&amp;sheet=A0&amp;row=699&amp;col=11&amp;number=2848000000&amp;sourceID=30","2848000000")</f>
        <v>2848000000</v>
      </c>
      <c r="L699" s="4" t="str">
        <f>HYPERLINK("http://141.218.60.56/~jnz1568/getInfo.php?workbook=06_02.xlsx&amp;sheet=A0&amp;row=699&amp;col=12&amp;number=&amp;sourceID=30","")</f>
        <v/>
      </c>
      <c r="M699" s="4" t="str">
        <f>HYPERLINK("http://141.218.60.56/~jnz1568/getInfo.php?workbook=06_02.xlsx&amp;sheet=A0&amp;row=699&amp;col=13&amp;number=&amp;sourceID=30","")</f>
        <v/>
      </c>
      <c r="N699" s="4" t="str">
        <f>HYPERLINK("http://141.218.60.56/~jnz1568/getInfo.php?workbook=06_02.xlsx&amp;sheet=A0&amp;row=699&amp;col=14&amp;number=2.175&amp;sourceID=30","2.175")</f>
        <v>2.175</v>
      </c>
      <c r="O699" s="4" t="str">
        <f>HYPERLINK("http://141.218.60.56/~jnz1568/getInfo.php?workbook=06_02.xlsx&amp;sheet=A0&amp;row=699&amp;col=15&amp;number=&amp;sourceID=32","")</f>
        <v/>
      </c>
      <c r="P699" s="4" t="str">
        <f>HYPERLINK("http://141.218.60.56/~jnz1568/getInfo.php?workbook=06_02.xlsx&amp;sheet=A0&amp;row=699&amp;col=16&amp;number=&amp;sourceID=32","")</f>
        <v/>
      </c>
      <c r="Q699" s="4" t="str">
        <f>HYPERLINK("http://141.218.60.56/~jnz1568/getInfo.php?workbook=06_02.xlsx&amp;sheet=A0&amp;row=699&amp;col=17&amp;number=&amp;sourceID=32","")</f>
        <v/>
      </c>
      <c r="R699" s="4" t="str">
        <f>HYPERLINK("http://141.218.60.56/~jnz1568/getInfo.php?workbook=06_02.xlsx&amp;sheet=A0&amp;row=699&amp;col=18&amp;number=&amp;sourceID=32","")</f>
        <v/>
      </c>
    </row>
    <row r="700" spans="1:18">
      <c r="A700" s="3">
        <v>6</v>
      </c>
      <c r="B700" s="3">
        <v>2</v>
      </c>
      <c r="C700" s="3">
        <v>42</v>
      </c>
      <c r="D700" s="3">
        <v>16</v>
      </c>
      <c r="E700" s="3">
        <f>((1/(INDEX(E0!J$4:J$52,C700,1)-INDEX(E0!J$4:J$52,D700,1))))*100000000</f>
        <v>0</v>
      </c>
      <c r="F700" s="4" t="str">
        <f>HYPERLINK("http://141.218.60.56/~jnz1568/getInfo.php?workbook=06_02.xlsx&amp;sheet=A0&amp;row=700&amp;col=6&amp;number=&amp;sourceID=27","")</f>
        <v/>
      </c>
      <c r="G700" s="4" t="str">
        <f>HYPERLINK("http://141.218.60.56/~jnz1568/getInfo.php?workbook=06_02.xlsx&amp;sheet=A0&amp;row=700&amp;col=7&amp;number=&amp;sourceID=34","")</f>
        <v/>
      </c>
      <c r="H700" s="4" t="str">
        <f>HYPERLINK("http://141.218.60.56/~jnz1568/getInfo.php?workbook=06_02.xlsx&amp;sheet=A0&amp;row=700&amp;col=8&amp;number=&amp;sourceID=34","")</f>
        <v/>
      </c>
      <c r="I700" s="4" t="str">
        <f>HYPERLINK("http://141.218.60.56/~jnz1568/getInfo.php?workbook=06_02.xlsx&amp;sheet=A0&amp;row=700&amp;col=9&amp;number=&amp;sourceID=34","")</f>
        <v/>
      </c>
      <c r="J700" s="4" t="str">
        <f>HYPERLINK("http://141.218.60.56/~jnz1568/getInfo.php?workbook=06_02.xlsx&amp;sheet=A0&amp;row=700&amp;col=10&amp;number=&amp;sourceID=34","")</f>
        <v/>
      </c>
      <c r="K700" s="4" t="str">
        <f>HYPERLINK("http://141.218.60.56/~jnz1568/getInfo.php?workbook=06_02.xlsx&amp;sheet=A0&amp;row=700&amp;col=11&amp;number=&amp;sourceID=30","")</f>
        <v/>
      </c>
      <c r="L700" s="4" t="str">
        <f>HYPERLINK("http://141.218.60.56/~jnz1568/getInfo.php?workbook=06_02.xlsx&amp;sheet=A0&amp;row=700&amp;col=12&amp;number=&amp;sourceID=30","")</f>
        <v/>
      </c>
      <c r="M700" s="4" t="str">
        <f>HYPERLINK("http://141.218.60.56/~jnz1568/getInfo.php?workbook=06_02.xlsx&amp;sheet=A0&amp;row=700&amp;col=13&amp;number=&amp;sourceID=30","")</f>
        <v/>
      </c>
      <c r="N700" s="4" t="str">
        <f>HYPERLINK("http://141.218.60.56/~jnz1568/getInfo.php?workbook=06_02.xlsx&amp;sheet=A0&amp;row=700&amp;col=14&amp;number=0.4609&amp;sourceID=30","0.4609")</f>
        <v>0.4609</v>
      </c>
      <c r="O700" s="4" t="str">
        <f>HYPERLINK("http://141.218.60.56/~jnz1568/getInfo.php?workbook=06_02.xlsx&amp;sheet=A0&amp;row=700&amp;col=15&amp;number=&amp;sourceID=32","")</f>
        <v/>
      </c>
      <c r="P700" s="4" t="str">
        <f>HYPERLINK("http://141.218.60.56/~jnz1568/getInfo.php?workbook=06_02.xlsx&amp;sheet=A0&amp;row=700&amp;col=16&amp;number=&amp;sourceID=32","")</f>
        <v/>
      </c>
      <c r="Q700" s="4" t="str">
        <f>HYPERLINK("http://141.218.60.56/~jnz1568/getInfo.php?workbook=06_02.xlsx&amp;sheet=A0&amp;row=700&amp;col=17&amp;number=&amp;sourceID=32","")</f>
        <v/>
      </c>
      <c r="R700" s="4" t="str">
        <f>HYPERLINK("http://141.218.60.56/~jnz1568/getInfo.php?workbook=06_02.xlsx&amp;sheet=A0&amp;row=700&amp;col=18&amp;number=&amp;sourceID=32","")</f>
        <v/>
      </c>
    </row>
    <row r="701" spans="1:18">
      <c r="A701" s="3">
        <v>6</v>
      </c>
      <c r="B701" s="3">
        <v>2</v>
      </c>
      <c r="C701" s="3">
        <v>42</v>
      </c>
      <c r="D701" s="3">
        <v>22</v>
      </c>
      <c r="E701" s="3">
        <f>((1/(INDEX(E0!J$4:J$52,C701,1)-INDEX(E0!J$4:J$52,D701,1))))*100000000</f>
        <v>0</v>
      </c>
      <c r="F701" s="4" t="str">
        <f>HYPERLINK("http://141.218.60.56/~jnz1568/getInfo.php?workbook=06_02.xlsx&amp;sheet=A0&amp;row=701&amp;col=6&amp;number=&amp;sourceID=27","")</f>
        <v/>
      </c>
      <c r="G701" s="4" t="str">
        <f>HYPERLINK("http://141.218.60.56/~jnz1568/getInfo.php?workbook=06_02.xlsx&amp;sheet=A0&amp;row=701&amp;col=7&amp;number=&amp;sourceID=34","")</f>
        <v/>
      </c>
      <c r="H701" s="4" t="str">
        <f>HYPERLINK("http://141.218.60.56/~jnz1568/getInfo.php?workbook=06_02.xlsx&amp;sheet=A0&amp;row=701&amp;col=8&amp;number=&amp;sourceID=34","")</f>
        <v/>
      </c>
      <c r="I701" s="4" t="str">
        <f>HYPERLINK("http://141.218.60.56/~jnz1568/getInfo.php?workbook=06_02.xlsx&amp;sheet=A0&amp;row=701&amp;col=9&amp;number=&amp;sourceID=34","")</f>
        <v/>
      </c>
      <c r="J701" s="4" t="str">
        <f>HYPERLINK("http://141.218.60.56/~jnz1568/getInfo.php?workbook=06_02.xlsx&amp;sheet=A0&amp;row=701&amp;col=10&amp;number=&amp;sourceID=34","")</f>
        <v/>
      </c>
      <c r="K701" s="4" t="str">
        <f>HYPERLINK("http://141.218.60.56/~jnz1568/getInfo.php?workbook=06_02.xlsx&amp;sheet=A0&amp;row=701&amp;col=11&amp;number=&amp;sourceID=30","")</f>
        <v/>
      </c>
      <c r="L701" s="4" t="str">
        <f>HYPERLINK("http://141.218.60.56/~jnz1568/getInfo.php?workbook=06_02.xlsx&amp;sheet=A0&amp;row=701&amp;col=12&amp;number=16120&amp;sourceID=30","16120")</f>
        <v>16120</v>
      </c>
      <c r="M701" s="4" t="str">
        <f>HYPERLINK("http://141.218.60.56/~jnz1568/getInfo.php?workbook=06_02.xlsx&amp;sheet=A0&amp;row=701&amp;col=13&amp;number=&amp;sourceID=30","")</f>
        <v/>
      </c>
      <c r="N701" s="4" t="str">
        <f>HYPERLINK("http://141.218.60.56/~jnz1568/getInfo.php?workbook=06_02.xlsx&amp;sheet=A0&amp;row=701&amp;col=14&amp;number=&amp;sourceID=30","")</f>
        <v/>
      </c>
      <c r="O701" s="4" t="str">
        <f>HYPERLINK("http://141.218.60.56/~jnz1568/getInfo.php?workbook=06_02.xlsx&amp;sheet=A0&amp;row=701&amp;col=15&amp;number=&amp;sourceID=32","")</f>
        <v/>
      </c>
      <c r="P701" s="4" t="str">
        <f>HYPERLINK("http://141.218.60.56/~jnz1568/getInfo.php?workbook=06_02.xlsx&amp;sheet=A0&amp;row=701&amp;col=16&amp;number=&amp;sourceID=32","")</f>
        <v/>
      </c>
      <c r="Q701" s="4" t="str">
        <f>HYPERLINK("http://141.218.60.56/~jnz1568/getInfo.php?workbook=06_02.xlsx&amp;sheet=A0&amp;row=701&amp;col=17&amp;number=&amp;sourceID=32","")</f>
        <v/>
      </c>
      <c r="R701" s="4" t="str">
        <f>HYPERLINK("http://141.218.60.56/~jnz1568/getInfo.php?workbook=06_02.xlsx&amp;sheet=A0&amp;row=701&amp;col=18&amp;number=&amp;sourceID=32","")</f>
        <v/>
      </c>
    </row>
    <row r="702" spans="1:18">
      <c r="A702" s="3">
        <v>6</v>
      </c>
      <c r="B702" s="3">
        <v>2</v>
      </c>
      <c r="C702" s="3">
        <v>42</v>
      </c>
      <c r="D702" s="3">
        <v>24</v>
      </c>
      <c r="E702" s="3">
        <f>((1/(INDEX(E0!J$4:J$52,C702,1)-INDEX(E0!J$4:J$52,D702,1))))*100000000</f>
        <v>0</v>
      </c>
      <c r="F702" s="4" t="str">
        <f>HYPERLINK("http://141.218.60.56/~jnz1568/getInfo.php?workbook=06_02.xlsx&amp;sheet=A0&amp;row=702&amp;col=6&amp;number=&amp;sourceID=27","")</f>
        <v/>
      </c>
      <c r="G702" s="4" t="str">
        <f>HYPERLINK("http://141.218.60.56/~jnz1568/getInfo.php?workbook=06_02.xlsx&amp;sheet=A0&amp;row=702&amp;col=7&amp;number=&amp;sourceID=34","")</f>
        <v/>
      </c>
      <c r="H702" s="4" t="str">
        <f>HYPERLINK("http://141.218.60.56/~jnz1568/getInfo.php?workbook=06_02.xlsx&amp;sheet=A0&amp;row=702&amp;col=8&amp;number=&amp;sourceID=34","")</f>
        <v/>
      </c>
      <c r="I702" s="4" t="str">
        <f>HYPERLINK("http://141.218.60.56/~jnz1568/getInfo.php?workbook=06_02.xlsx&amp;sheet=A0&amp;row=702&amp;col=9&amp;number=&amp;sourceID=34","")</f>
        <v/>
      </c>
      <c r="J702" s="4" t="str">
        <f>HYPERLINK("http://141.218.60.56/~jnz1568/getInfo.php?workbook=06_02.xlsx&amp;sheet=A0&amp;row=702&amp;col=10&amp;number=&amp;sourceID=34","")</f>
        <v/>
      </c>
      <c r="K702" s="4" t="str">
        <f>HYPERLINK("http://141.218.60.56/~jnz1568/getInfo.php?workbook=06_02.xlsx&amp;sheet=A0&amp;row=702&amp;col=11&amp;number=&amp;sourceID=30","")</f>
        <v/>
      </c>
      <c r="L702" s="4" t="str">
        <f>HYPERLINK("http://141.218.60.56/~jnz1568/getInfo.php?workbook=06_02.xlsx&amp;sheet=A0&amp;row=702&amp;col=12&amp;number=&amp;sourceID=30","")</f>
        <v/>
      </c>
      <c r="M702" s="4" t="str">
        <f>HYPERLINK("http://141.218.60.56/~jnz1568/getInfo.php?workbook=06_02.xlsx&amp;sheet=A0&amp;row=702&amp;col=13&amp;number=&amp;sourceID=30","")</f>
        <v/>
      </c>
      <c r="N702" s="4" t="str">
        <f>HYPERLINK("http://141.218.60.56/~jnz1568/getInfo.php?workbook=06_02.xlsx&amp;sheet=A0&amp;row=702&amp;col=14&amp;number=0.002705&amp;sourceID=30","0.002705")</f>
        <v>0.002705</v>
      </c>
      <c r="O702" s="4" t="str">
        <f>HYPERLINK("http://141.218.60.56/~jnz1568/getInfo.php?workbook=06_02.xlsx&amp;sheet=A0&amp;row=702&amp;col=15&amp;number=&amp;sourceID=32","")</f>
        <v/>
      </c>
      <c r="P702" s="4" t="str">
        <f>HYPERLINK("http://141.218.60.56/~jnz1568/getInfo.php?workbook=06_02.xlsx&amp;sheet=A0&amp;row=702&amp;col=16&amp;number=&amp;sourceID=32","")</f>
        <v/>
      </c>
      <c r="Q702" s="4" t="str">
        <f>HYPERLINK("http://141.218.60.56/~jnz1568/getInfo.php?workbook=06_02.xlsx&amp;sheet=A0&amp;row=702&amp;col=17&amp;number=&amp;sourceID=32","")</f>
        <v/>
      </c>
      <c r="R702" s="4" t="str">
        <f>HYPERLINK("http://141.218.60.56/~jnz1568/getInfo.php?workbook=06_02.xlsx&amp;sheet=A0&amp;row=702&amp;col=18&amp;number=&amp;sourceID=32","")</f>
        <v/>
      </c>
    </row>
    <row r="703" spans="1:18">
      <c r="A703" s="3">
        <v>6</v>
      </c>
      <c r="B703" s="3">
        <v>2</v>
      </c>
      <c r="C703" s="3">
        <v>42</v>
      </c>
      <c r="D703" s="3">
        <v>25</v>
      </c>
      <c r="E703" s="3">
        <f>((1/(INDEX(E0!J$4:J$52,C703,1)-INDEX(E0!J$4:J$52,D703,1))))*100000000</f>
        <v>0</v>
      </c>
      <c r="F703" s="4" t="str">
        <f>HYPERLINK("http://141.218.60.56/~jnz1568/getInfo.php?workbook=06_02.xlsx&amp;sheet=A0&amp;row=703&amp;col=6&amp;number=&amp;sourceID=27","")</f>
        <v/>
      </c>
      <c r="G703" s="4" t="str">
        <f>HYPERLINK("http://141.218.60.56/~jnz1568/getInfo.php?workbook=06_02.xlsx&amp;sheet=A0&amp;row=703&amp;col=7&amp;number=&amp;sourceID=34","")</f>
        <v/>
      </c>
      <c r="H703" s="4" t="str">
        <f>HYPERLINK("http://141.218.60.56/~jnz1568/getInfo.php?workbook=06_02.xlsx&amp;sheet=A0&amp;row=703&amp;col=8&amp;number=&amp;sourceID=34","")</f>
        <v/>
      </c>
      <c r="I703" s="4" t="str">
        <f>HYPERLINK("http://141.218.60.56/~jnz1568/getInfo.php?workbook=06_02.xlsx&amp;sheet=A0&amp;row=703&amp;col=9&amp;number=&amp;sourceID=34","")</f>
        <v/>
      </c>
      <c r="J703" s="4" t="str">
        <f>HYPERLINK("http://141.218.60.56/~jnz1568/getInfo.php?workbook=06_02.xlsx&amp;sheet=A0&amp;row=703&amp;col=10&amp;number=&amp;sourceID=34","")</f>
        <v/>
      </c>
      <c r="K703" s="4" t="str">
        <f>HYPERLINK("http://141.218.60.56/~jnz1568/getInfo.php?workbook=06_02.xlsx&amp;sheet=A0&amp;row=703&amp;col=11&amp;number=1615000000&amp;sourceID=30","1615000000")</f>
        <v>1615000000</v>
      </c>
      <c r="L703" s="4" t="str">
        <f>HYPERLINK("http://141.218.60.56/~jnz1568/getInfo.php?workbook=06_02.xlsx&amp;sheet=A0&amp;row=703&amp;col=12&amp;number=&amp;sourceID=30","")</f>
        <v/>
      </c>
      <c r="M703" s="4" t="str">
        <f>HYPERLINK("http://141.218.60.56/~jnz1568/getInfo.php?workbook=06_02.xlsx&amp;sheet=A0&amp;row=703&amp;col=13&amp;number=&amp;sourceID=30","")</f>
        <v/>
      </c>
      <c r="N703" s="4" t="str">
        <f>HYPERLINK("http://141.218.60.56/~jnz1568/getInfo.php?workbook=06_02.xlsx&amp;sheet=A0&amp;row=703&amp;col=14&amp;number=0.1237&amp;sourceID=30","0.1237")</f>
        <v>0.1237</v>
      </c>
      <c r="O703" s="4" t="str">
        <f>HYPERLINK("http://141.218.60.56/~jnz1568/getInfo.php?workbook=06_02.xlsx&amp;sheet=A0&amp;row=703&amp;col=15&amp;number=&amp;sourceID=32","")</f>
        <v/>
      </c>
      <c r="P703" s="4" t="str">
        <f>HYPERLINK("http://141.218.60.56/~jnz1568/getInfo.php?workbook=06_02.xlsx&amp;sheet=A0&amp;row=703&amp;col=16&amp;number=&amp;sourceID=32","")</f>
        <v/>
      </c>
      <c r="Q703" s="4" t="str">
        <f>HYPERLINK("http://141.218.60.56/~jnz1568/getInfo.php?workbook=06_02.xlsx&amp;sheet=A0&amp;row=703&amp;col=17&amp;number=&amp;sourceID=32","")</f>
        <v/>
      </c>
      <c r="R703" s="4" t="str">
        <f>HYPERLINK("http://141.218.60.56/~jnz1568/getInfo.php?workbook=06_02.xlsx&amp;sheet=A0&amp;row=703&amp;col=18&amp;number=&amp;sourceID=32","")</f>
        <v/>
      </c>
    </row>
    <row r="704" spans="1:18">
      <c r="A704" s="3">
        <v>6</v>
      </c>
      <c r="B704" s="3">
        <v>2</v>
      </c>
      <c r="C704" s="3">
        <v>42</v>
      </c>
      <c r="D704" s="3">
        <v>26</v>
      </c>
      <c r="E704" s="3">
        <f>((1/(INDEX(E0!J$4:J$52,C704,1)-INDEX(E0!J$4:J$52,D704,1))))*100000000</f>
        <v>0</v>
      </c>
      <c r="F704" s="4" t="str">
        <f>HYPERLINK("http://141.218.60.56/~jnz1568/getInfo.php?workbook=06_02.xlsx&amp;sheet=A0&amp;row=704&amp;col=6&amp;number=&amp;sourceID=27","")</f>
        <v/>
      </c>
      <c r="G704" s="4" t="str">
        <f>HYPERLINK("http://141.218.60.56/~jnz1568/getInfo.php?workbook=06_02.xlsx&amp;sheet=A0&amp;row=704&amp;col=7&amp;number=&amp;sourceID=34","")</f>
        <v/>
      </c>
      <c r="H704" s="4" t="str">
        <f>HYPERLINK("http://141.218.60.56/~jnz1568/getInfo.php?workbook=06_02.xlsx&amp;sheet=A0&amp;row=704&amp;col=8&amp;number=&amp;sourceID=34","")</f>
        <v/>
      </c>
      <c r="I704" s="4" t="str">
        <f>HYPERLINK("http://141.218.60.56/~jnz1568/getInfo.php?workbook=06_02.xlsx&amp;sheet=A0&amp;row=704&amp;col=9&amp;number=&amp;sourceID=34","")</f>
        <v/>
      </c>
      <c r="J704" s="4" t="str">
        <f>HYPERLINK("http://141.218.60.56/~jnz1568/getInfo.php?workbook=06_02.xlsx&amp;sheet=A0&amp;row=704&amp;col=10&amp;number=&amp;sourceID=34","")</f>
        <v/>
      </c>
      <c r="K704" s="4" t="str">
        <f>HYPERLINK("http://141.218.60.56/~jnz1568/getInfo.php?workbook=06_02.xlsx&amp;sheet=A0&amp;row=704&amp;col=11&amp;number=&amp;sourceID=30","")</f>
        <v/>
      </c>
      <c r="L704" s="4" t="str">
        <f>HYPERLINK("http://141.218.60.56/~jnz1568/getInfo.php?workbook=06_02.xlsx&amp;sheet=A0&amp;row=704&amp;col=12&amp;number=141.5&amp;sourceID=30","141.5")</f>
        <v>141.5</v>
      </c>
      <c r="M704" s="4" t="str">
        <f>HYPERLINK("http://141.218.60.56/~jnz1568/getInfo.php?workbook=06_02.xlsx&amp;sheet=A0&amp;row=704&amp;col=13&amp;number=4.827e-10&amp;sourceID=30","4.827e-10")</f>
        <v>4.827e-10</v>
      </c>
      <c r="N704" s="4" t="str">
        <f>HYPERLINK("http://141.218.60.56/~jnz1568/getInfo.php?workbook=06_02.xlsx&amp;sheet=A0&amp;row=704&amp;col=14&amp;number=&amp;sourceID=30","")</f>
        <v/>
      </c>
      <c r="O704" s="4" t="str">
        <f>HYPERLINK("http://141.218.60.56/~jnz1568/getInfo.php?workbook=06_02.xlsx&amp;sheet=A0&amp;row=704&amp;col=15&amp;number=&amp;sourceID=32","")</f>
        <v/>
      </c>
      <c r="P704" s="4" t="str">
        <f>HYPERLINK("http://141.218.60.56/~jnz1568/getInfo.php?workbook=06_02.xlsx&amp;sheet=A0&amp;row=704&amp;col=16&amp;number=&amp;sourceID=32","")</f>
        <v/>
      </c>
      <c r="Q704" s="4" t="str">
        <f>HYPERLINK("http://141.218.60.56/~jnz1568/getInfo.php?workbook=06_02.xlsx&amp;sheet=A0&amp;row=704&amp;col=17&amp;number=&amp;sourceID=32","")</f>
        <v/>
      </c>
      <c r="R704" s="4" t="str">
        <f>HYPERLINK("http://141.218.60.56/~jnz1568/getInfo.php?workbook=06_02.xlsx&amp;sheet=A0&amp;row=704&amp;col=18&amp;number=&amp;sourceID=32","")</f>
        <v/>
      </c>
    </row>
    <row r="705" spans="1:18">
      <c r="A705" s="3">
        <v>6</v>
      </c>
      <c r="B705" s="3">
        <v>2</v>
      </c>
      <c r="C705" s="3">
        <v>42</v>
      </c>
      <c r="D705" s="3">
        <v>27</v>
      </c>
      <c r="E705" s="3">
        <f>((1/(INDEX(E0!J$4:J$52,C705,1)-INDEX(E0!J$4:J$52,D705,1))))*100000000</f>
        <v>0</v>
      </c>
      <c r="F705" s="4" t="str">
        <f>HYPERLINK("http://141.218.60.56/~jnz1568/getInfo.php?workbook=06_02.xlsx&amp;sheet=A0&amp;row=705&amp;col=6&amp;number=&amp;sourceID=27","")</f>
        <v/>
      </c>
      <c r="G705" s="4" t="str">
        <f>HYPERLINK("http://141.218.60.56/~jnz1568/getInfo.php?workbook=06_02.xlsx&amp;sheet=A0&amp;row=705&amp;col=7&amp;number=&amp;sourceID=34","")</f>
        <v/>
      </c>
      <c r="H705" s="4" t="str">
        <f>HYPERLINK("http://141.218.60.56/~jnz1568/getInfo.php?workbook=06_02.xlsx&amp;sheet=A0&amp;row=705&amp;col=8&amp;number=&amp;sourceID=34","")</f>
        <v/>
      </c>
      <c r="I705" s="4" t="str">
        <f>HYPERLINK("http://141.218.60.56/~jnz1568/getInfo.php?workbook=06_02.xlsx&amp;sheet=A0&amp;row=705&amp;col=9&amp;number=&amp;sourceID=34","")</f>
        <v/>
      </c>
      <c r="J705" s="4" t="str">
        <f>HYPERLINK("http://141.218.60.56/~jnz1568/getInfo.php?workbook=06_02.xlsx&amp;sheet=A0&amp;row=705&amp;col=10&amp;number=&amp;sourceID=34","")</f>
        <v/>
      </c>
      <c r="K705" s="4" t="str">
        <f>HYPERLINK("http://141.218.60.56/~jnz1568/getInfo.php?workbook=06_02.xlsx&amp;sheet=A0&amp;row=705&amp;col=11&amp;number=&amp;sourceID=30","")</f>
        <v/>
      </c>
      <c r="L705" s="4" t="str">
        <f>HYPERLINK("http://141.218.60.56/~jnz1568/getInfo.php?workbook=06_02.xlsx&amp;sheet=A0&amp;row=705&amp;col=12&amp;number=18.95&amp;sourceID=30","18.95")</f>
        <v>18.95</v>
      </c>
      <c r="M705" s="4" t="str">
        <f>HYPERLINK("http://141.218.60.56/~jnz1568/getInfo.php?workbook=06_02.xlsx&amp;sheet=A0&amp;row=705&amp;col=13&amp;number=&amp;sourceID=30","")</f>
        <v/>
      </c>
      <c r="N705" s="4" t="str">
        <f>HYPERLINK("http://141.218.60.56/~jnz1568/getInfo.php?workbook=06_02.xlsx&amp;sheet=A0&amp;row=705&amp;col=14&amp;number=&amp;sourceID=30","")</f>
        <v/>
      </c>
      <c r="O705" s="4" t="str">
        <f>HYPERLINK("http://141.218.60.56/~jnz1568/getInfo.php?workbook=06_02.xlsx&amp;sheet=A0&amp;row=705&amp;col=15&amp;number=&amp;sourceID=32","")</f>
        <v/>
      </c>
      <c r="P705" s="4" t="str">
        <f>HYPERLINK("http://141.218.60.56/~jnz1568/getInfo.php?workbook=06_02.xlsx&amp;sheet=A0&amp;row=705&amp;col=16&amp;number=&amp;sourceID=32","")</f>
        <v/>
      </c>
      <c r="Q705" s="4" t="str">
        <f>HYPERLINK("http://141.218.60.56/~jnz1568/getInfo.php?workbook=06_02.xlsx&amp;sheet=A0&amp;row=705&amp;col=17&amp;number=&amp;sourceID=32","")</f>
        <v/>
      </c>
      <c r="R705" s="4" t="str">
        <f>HYPERLINK("http://141.218.60.56/~jnz1568/getInfo.php?workbook=06_02.xlsx&amp;sheet=A0&amp;row=705&amp;col=18&amp;number=&amp;sourceID=32","")</f>
        <v/>
      </c>
    </row>
    <row r="706" spans="1:18">
      <c r="A706" s="3">
        <v>6</v>
      </c>
      <c r="B706" s="3">
        <v>2</v>
      </c>
      <c r="C706" s="3">
        <v>42</v>
      </c>
      <c r="D706" s="3">
        <v>28</v>
      </c>
      <c r="E706" s="3">
        <f>((1/(INDEX(E0!J$4:J$52,C706,1)-INDEX(E0!J$4:J$52,D706,1))))*100000000</f>
        <v>0</v>
      </c>
      <c r="F706" s="4" t="str">
        <f>HYPERLINK("http://141.218.60.56/~jnz1568/getInfo.php?workbook=06_02.xlsx&amp;sheet=A0&amp;row=706&amp;col=6&amp;number=&amp;sourceID=27","")</f>
        <v/>
      </c>
      <c r="G706" s="4" t="str">
        <f>HYPERLINK("http://141.218.60.56/~jnz1568/getInfo.php?workbook=06_02.xlsx&amp;sheet=A0&amp;row=706&amp;col=7&amp;number=&amp;sourceID=34","")</f>
        <v/>
      </c>
      <c r="H706" s="4" t="str">
        <f>HYPERLINK("http://141.218.60.56/~jnz1568/getInfo.php?workbook=06_02.xlsx&amp;sheet=A0&amp;row=706&amp;col=8&amp;number=&amp;sourceID=34","")</f>
        <v/>
      </c>
      <c r="I706" s="4" t="str">
        <f>HYPERLINK("http://141.218.60.56/~jnz1568/getInfo.php?workbook=06_02.xlsx&amp;sheet=A0&amp;row=706&amp;col=9&amp;number=&amp;sourceID=34","")</f>
        <v/>
      </c>
      <c r="J706" s="4" t="str">
        <f>HYPERLINK("http://141.218.60.56/~jnz1568/getInfo.php?workbook=06_02.xlsx&amp;sheet=A0&amp;row=706&amp;col=10&amp;number=&amp;sourceID=34","")</f>
        <v/>
      </c>
      <c r="K706" s="4" t="str">
        <f>HYPERLINK("http://141.218.60.56/~jnz1568/getInfo.php?workbook=06_02.xlsx&amp;sheet=A0&amp;row=706&amp;col=11&amp;number=&amp;sourceID=30","")</f>
        <v/>
      </c>
      <c r="L706" s="4" t="str">
        <f>HYPERLINK("http://141.218.60.56/~jnz1568/getInfo.php?workbook=06_02.xlsx&amp;sheet=A0&amp;row=706&amp;col=12&amp;number=273.5&amp;sourceID=30","273.5")</f>
        <v>273.5</v>
      </c>
      <c r="M706" s="4" t="str">
        <f>HYPERLINK("http://141.218.60.56/~jnz1568/getInfo.php?workbook=06_02.xlsx&amp;sheet=A0&amp;row=706&amp;col=13&amp;number=3.1e-06&amp;sourceID=30","3.1e-06")</f>
        <v>3.1e-06</v>
      </c>
      <c r="N706" s="4" t="str">
        <f>HYPERLINK("http://141.218.60.56/~jnz1568/getInfo.php?workbook=06_02.xlsx&amp;sheet=A0&amp;row=706&amp;col=14&amp;number=&amp;sourceID=30","")</f>
        <v/>
      </c>
      <c r="O706" s="4" t="str">
        <f>HYPERLINK("http://141.218.60.56/~jnz1568/getInfo.php?workbook=06_02.xlsx&amp;sheet=A0&amp;row=706&amp;col=15&amp;number=&amp;sourceID=32","")</f>
        <v/>
      </c>
      <c r="P706" s="4" t="str">
        <f>HYPERLINK("http://141.218.60.56/~jnz1568/getInfo.php?workbook=06_02.xlsx&amp;sheet=A0&amp;row=706&amp;col=16&amp;number=&amp;sourceID=32","")</f>
        <v/>
      </c>
      <c r="Q706" s="4" t="str">
        <f>HYPERLINK("http://141.218.60.56/~jnz1568/getInfo.php?workbook=06_02.xlsx&amp;sheet=A0&amp;row=706&amp;col=17&amp;number=&amp;sourceID=32","")</f>
        <v/>
      </c>
      <c r="R706" s="4" t="str">
        <f>HYPERLINK("http://141.218.60.56/~jnz1568/getInfo.php?workbook=06_02.xlsx&amp;sheet=A0&amp;row=706&amp;col=18&amp;number=&amp;sourceID=32","")</f>
        <v/>
      </c>
    </row>
    <row r="707" spans="1:18">
      <c r="A707" s="3">
        <v>6</v>
      </c>
      <c r="B707" s="3">
        <v>2</v>
      </c>
      <c r="C707" s="3">
        <v>42</v>
      </c>
      <c r="D707" s="3">
        <v>29</v>
      </c>
      <c r="E707" s="3">
        <f>((1/(INDEX(E0!J$4:J$52,C707,1)-INDEX(E0!J$4:J$52,D707,1))))*100000000</f>
        <v>0</v>
      </c>
      <c r="F707" s="4" t="str">
        <f>HYPERLINK("http://141.218.60.56/~jnz1568/getInfo.php?workbook=06_02.xlsx&amp;sheet=A0&amp;row=707&amp;col=6&amp;number=&amp;sourceID=27","")</f>
        <v/>
      </c>
      <c r="G707" s="4" t="str">
        <f>HYPERLINK("http://141.218.60.56/~jnz1568/getInfo.php?workbook=06_02.xlsx&amp;sheet=A0&amp;row=707&amp;col=7&amp;number=&amp;sourceID=34","")</f>
        <v/>
      </c>
      <c r="H707" s="4" t="str">
        <f>HYPERLINK("http://141.218.60.56/~jnz1568/getInfo.php?workbook=06_02.xlsx&amp;sheet=A0&amp;row=707&amp;col=8&amp;number=&amp;sourceID=34","")</f>
        <v/>
      </c>
      <c r="I707" s="4" t="str">
        <f>HYPERLINK("http://141.218.60.56/~jnz1568/getInfo.php?workbook=06_02.xlsx&amp;sheet=A0&amp;row=707&amp;col=9&amp;number=&amp;sourceID=34","")</f>
        <v/>
      </c>
      <c r="J707" s="4" t="str">
        <f>HYPERLINK("http://141.218.60.56/~jnz1568/getInfo.php?workbook=06_02.xlsx&amp;sheet=A0&amp;row=707&amp;col=10&amp;number=&amp;sourceID=34","")</f>
        <v/>
      </c>
      <c r="K707" s="4" t="str">
        <f>HYPERLINK("http://141.218.60.56/~jnz1568/getInfo.php?workbook=06_02.xlsx&amp;sheet=A0&amp;row=707&amp;col=11&amp;number=&amp;sourceID=30","")</f>
        <v/>
      </c>
      <c r="L707" s="4" t="str">
        <f>HYPERLINK("http://141.218.60.56/~jnz1568/getInfo.php?workbook=06_02.xlsx&amp;sheet=A0&amp;row=707&amp;col=12&amp;number=1956&amp;sourceID=30","1956")</f>
        <v>1956</v>
      </c>
      <c r="M707" s="4" t="str">
        <f>HYPERLINK("http://141.218.60.56/~jnz1568/getInfo.php?workbook=06_02.xlsx&amp;sheet=A0&amp;row=707&amp;col=13&amp;number=2.87e-05&amp;sourceID=30","2.87e-05")</f>
        <v>2.87e-05</v>
      </c>
      <c r="N707" s="4" t="str">
        <f>HYPERLINK("http://141.218.60.56/~jnz1568/getInfo.php?workbook=06_02.xlsx&amp;sheet=A0&amp;row=707&amp;col=14&amp;number=&amp;sourceID=30","")</f>
        <v/>
      </c>
      <c r="O707" s="4" t="str">
        <f>HYPERLINK("http://141.218.60.56/~jnz1568/getInfo.php?workbook=06_02.xlsx&amp;sheet=A0&amp;row=707&amp;col=15&amp;number=&amp;sourceID=32","")</f>
        <v/>
      </c>
      <c r="P707" s="4" t="str">
        <f>HYPERLINK("http://141.218.60.56/~jnz1568/getInfo.php?workbook=06_02.xlsx&amp;sheet=A0&amp;row=707&amp;col=16&amp;number=&amp;sourceID=32","")</f>
        <v/>
      </c>
      <c r="Q707" s="4" t="str">
        <f>HYPERLINK("http://141.218.60.56/~jnz1568/getInfo.php?workbook=06_02.xlsx&amp;sheet=A0&amp;row=707&amp;col=17&amp;number=&amp;sourceID=32","")</f>
        <v/>
      </c>
      <c r="R707" s="4" t="str">
        <f>HYPERLINK("http://141.218.60.56/~jnz1568/getInfo.php?workbook=06_02.xlsx&amp;sheet=A0&amp;row=707&amp;col=18&amp;number=&amp;sourceID=32","")</f>
        <v/>
      </c>
    </row>
    <row r="708" spans="1:18">
      <c r="A708" s="3">
        <v>6</v>
      </c>
      <c r="B708" s="3">
        <v>2</v>
      </c>
      <c r="C708" s="3">
        <v>42</v>
      </c>
      <c r="D708" s="3">
        <v>30</v>
      </c>
      <c r="E708" s="3">
        <f>((1/(INDEX(E0!J$4:J$52,C708,1)-INDEX(E0!J$4:J$52,D708,1))))*100000000</f>
        <v>0</v>
      </c>
      <c r="F708" s="4" t="str">
        <f>HYPERLINK("http://141.218.60.56/~jnz1568/getInfo.php?workbook=06_02.xlsx&amp;sheet=A0&amp;row=708&amp;col=6&amp;number=&amp;sourceID=27","")</f>
        <v/>
      </c>
      <c r="G708" s="4" t="str">
        <f>HYPERLINK("http://141.218.60.56/~jnz1568/getInfo.php?workbook=06_02.xlsx&amp;sheet=A0&amp;row=708&amp;col=7&amp;number=&amp;sourceID=34","")</f>
        <v/>
      </c>
      <c r="H708" s="4" t="str">
        <f>HYPERLINK("http://141.218.60.56/~jnz1568/getInfo.php?workbook=06_02.xlsx&amp;sheet=A0&amp;row=708&amp;col=8&amp;number=&amp;sourceID=34","")</f>
        <v/>
      </c>
      <c r="I708" s="4" t="str">
        <f>HYPERLINK("http://141.218.60.56/~jnz1568/getInfo.php?workbook=06_02.xlsx&amp;sheet=A0&amp;row=708&amp;col=9&amp;number=&amp;sourceID=34","")</f>
        <v/>
      </c>
      <c r="J708" s="4" t="str">
        <f>HYPERLINK("http://141.218.60.56/~jnz1568/getInfo.php?workbook=06_02.xlsx&amp;sheet=A0&amp;row=708&amp;col=10&amp;number=&amp;sourceID=34","")</f>
        <v/>
      </c>
      <c r="K708" s="4" t="str">
        <f>HYPERLINK("http://141.218.60.56/~jnz1568/getInfo.php?workbook=06_02.xlsx&amp;sheet=A0&amp;row=708&amp;col=11&amp;number=&amp;sourceID=30","")</f>
        <v/>
      </c>
      <c r="L708" s="4" t="str">
        <f>HYPERLINK("http://141.218.60.56/~jnz1568/getInfo.php?workbook=06_02.xlsx&amp;sheet=A0&amp;row=708&amp;col=12&amp;number=&amp;sourceID=30","")</f>
        <v/>
      </c>
      <c r="M708" s="4" t="str">
        <f>HYPERLINK("http://141.218.60.56/~jnz1568/getInfo.php?workbook=06_02.xlsx&amp;sheet=A0&amp;row=708&amp;col=13&amp;number=&amp;sourceID=30","")</f>
        <v/>
      </c>
      <c r="N708" s="4" t="str">
        <f>HYPERLINK("http://141.218.60.56/~jnz1568/getInfo.php?workbook=06_02.xlsx&amp;sheet=A0&amp;row=708&amp;col=14&amp;number=0.02649&amp;sourceID=30","0.02649")</f>
        <v>0.02649</v>
      </c>
      <c r="O708" s="4" t="str">
        <f>HYPERLINK("http://141.218.60.56/~jnz1568/getInfo.php?workbook=06_02.xlsx&amp;sheet=A0&amp;row=708&amp;col=15&amp;number=&amp;sourceID=32","")</f>
        <v/>
      </c>
      <c r="P708" s="4" t="str">
        <f>HYPERLINK("http://141.218.60.56/~jnz1568/getInfo.php?workbook=06_02.xlsx&amp;sheet=A0&amp;row=708&amp;col=16&amp;number=&amp;sourceID=32","")</f>
        <v/>
      </c>
      <c r="Q708" s="4" t="str">
        <f>HYPERLINK("http://141.218.60.56/~jnz1568/getInfo.php?workbook=06_02.xlsx&amp;sheet=A0&amp;row=708&amp;col=17&amp;number=&amp;sourceID=32","")</f>
        <v/>
      </c>
      <c r="R708" s="4" t="str">
        <f>HYPERLINK("http://141.218.60.56/~jnz1568/getInfo.php?workbook=06_02.xlsx&amp;sheet=A0&amp;row=708&amp;col=18&amp;number=&amp;sourceID=32","")</f>
        <v/>
      </c>
    </row>
    <row r="709" spans="1:18">
      <c r="A709" s="3">
        <v>6</v>
      </c>
      <c r="B709" s="3">
        <v>2</v>
      </c>
      <c r="C709" s="3">
        <v>42</v>
      </c>
      <c r="D709" s="3">
        <v>36</v>
      </c>
      <c r="E709" s="3">
        <f>((1/(INDEX(E0!J$4:J$52,C709,1)-INDEX(E0!J$4:J$52,D709,1))))*100000000</f>
        <v>0</v>
      </c>
      <c r="F709" s="4" t="str">
        <f>HYPERLINK("http://141.218.60.56/~jnz1568/getInfo.php?workbook=06_02.xlsx&amp;sheet=A0&amp;row=709&amp;col=6&amp;number=&amp;sourceID=27","")</f>
        <v/>
      </c>
      <c r="G709" s="4" t="str">
        <f>HYPERLINK("http://141.218.60.56/~jnz1568/getInfo.php?workbook=06_02.xlsx&amp;sheet=A0&amp;row=709&amp;col=7&amp;number=&amp;sourceID=34","")</f>
        <v/>
      </c>
      <c r="H709" s="4" t="str">
        <f>HYPERLINK("http://141.218.60.56/~jnz1568/getInfo.php?workbook=06_02.xlsx&amp;sheet=A0&amp;row=709&amp;col=8&amp;number=&amp;sourceID=34","")</f>
        <v/>
      </c>
      <c r="I709" s="4" t="str">
        <f>HYPERLINK("http://141.218.60.56/~jnz1568/getInfo.php?workbook=06_02.xlsx&amp;sheet=A0&amp;row=709&amp;col=9&amp;number=&amp;sourceID=34","")</f>
        <v/>
      </c>
      <c r="J709" s="4" t="str">
        <f>HYPERLINK("http://141.218.60.56/~jnz1568/getInfo.php?workbook=06_02.xlsx&amp;sheet=A0&amp;row=709&amp;col=10&amp;number=&amp;sourceID=34","")</f>
        <v/>
      </c>
      <c r="K709" s="4" t="str">
        <f>HYPERLINK("http://141.218.60.56/~jnz1568/getInfo.php?workbook=06_02.xlsx&amp;sheet=A0&amp;row=709&amp;col=11&amp;number=&amp;sourceID=30","")</f>
        <v/>
      </c>
      <c r="L709" s="4" t="str">
        <f>HYPERLINK("http://141.218.60.56/~jnz1568/getInfo.php?workbook=06_02.xlsx&amp;sheet=A0&amp;row=709&amp;col=12&amp;number=0.0001731&amp;sourceID=30","0.0001731")</f>
        <v>0.0001731</v>
      </c>
      <c r="M709" s="4" t="str">
        <f>HYPERLINK("http://141.218.60.56/~jnz1568/getInfo.php?workbook=06_02.xlsx&amp;sheet=A0&amp;row=709&amp;col=13&amp;number=&amp;sourceID=30","")</f>
        <v/>
      </c>
      <c r="N709" s="4" t="str">
        <f>HYPERLINK("http://141.218.60.56/~jnz1568/getInfo.php?workbook=06_02.xlsx&amp;sheet=A0&amp;row=709&amp;col=14&amp;number=&amp;sourceID=30","")</f>
        <v/>
      </c>
      <c r="O709" s="4" t="str">
        <f>HYPERLINK("http://141.218.60.56/~jnz1568/getInfo.php?workbook=06_02.xlsx&amp;sheet=A0&amp;row=709&amp;col=15&amp;number=&amp;sourceID=32","")</f>
        <v/>
      </c>
      <c r="P709" s="4" t="str">
        <f>HYPERLINK("http://141.218.60.56/~jnz1568/getInfo.php?workbook=06_02.xlsx&amp;sheet=A0&amp;row=709&amp;col=16&amp;number=&amp;sourceID=32","")</f>
        <v/>
      </c>
      <c r="Q709" s="4" t="str">
        <f>HYPERLINK("http://141.218.60.56/~jnz1568/getInfo.php?workbook=06_02.xlsx&amp;sheet=A0&amp;row=709&amp;col=17&amp;number=&amp;sourceID=32","")</f>
        <v/>
      </c>
      <c r="R709" s="4" t="str">
        <f>HYPERLINK("http://141.218.60.56/~jnz1568/getInfo.php?workbook=06_02.xlsx&amp;sheet=A0&amp;row=709&amp;col=18&amp;number=&amp;sourceID=32","")</f>
        <v/>
      </c>
    </row>
    <row r="710" spans="1:18">
      <c r="A710" s="3">
        <v>6</v>
      </c>
      <c r="B710" s="3">
        <v>2</v>
      </c>
      <c r="C710" s="3">
        <v>42</v>
      </c>
      <c r="D710" s="3">
        <v>38</v>
      </c>
      <c r="E710" s="3">
        <f>((1/(INDEX(E0!J$4:J$52,C710,1)-INDEX(E0!J$4:J$52,D710,1))))*100000000</f>
        <v>0</v>
      </c>
      <c r="F710" s="4" t="str">
        <f>HYPERLINK("http://141.218.60.56/~jnz1568/getInfo.php?workbook=06_02.xlsx&amp;sheet=A0&amp;row=710&amp;col=6&amp;number=&amp;sourceID=27","")</f>
        <v/>
      </c>
      <c r="G710" s="4" t="str">
        <f>HYPERLINK("http://141.218.60.56/~jnz1568/getInfo.php?workbook=06_02.xlsx&amp;sheet=A0&amp;row=710&amp;col=7&amp;number=&amp;sourceID=34","")</f>
        <v/>
      </c>
      <c r="H710" s="4" t="str">
        <f>HYPERLINK("http://141.218.60.56/~jnz1568/getInfo.php?workbook=06_02.xlsx&amp;sheet=A0&amp;row=710&amp;col=8&amp;number=&amp;sourceID=34","")</f>
        <v/>
      </c>
      <c r="I710" s="4" t="str">
        <f>HYPERLINK("http://141.218.60.56/~jnz1568/getInfo.php?workbook=06_02.xlsx&amp;sheet=A0&amp;row=710&amp;col=9&amp;number=&amp;sourceID=34","")</f>
        <v/>
      </c>
      <c r="J710" s="4" t="str">
        <f>HYPERLINK("http://141.218.60.56/~jnz1568/getInfo.php?workbook=06_02.xlsx&amp;sheet=A0&amp;row=710&amp;col=10&amp;number=&amp;sourceID=34","")</f>
        <v/>
      </c>
      <c r="K710" s="4" t="str">
        <f>HYPERLINK("http://141.218.60.56/~jnz1568/getInfo.php?workbook=06_02.xlsx&amp;sheet=A0&amp;row=710&amp;col=11&amp;number=&amp;sourceID=30","")</f>
        <v/>
      </c>
      <c r="L710" s="4" t="str">
        <f>HYPERLINK("http://141.218.60.56/~jnz1568/getInfo.php?workbook=06_02.xlsx&amp;sheet=A0&amp;row=710&amp;col=12&amp;number=&amp;sourceID=30","")</f>
        <v/>
      </c>
      <c r="M710" s="4" t="str">
        <f>HYPERLINK("http://141.218.60.56/~jnz1568/getInfo.php?workbook=06_02.xlsx&amp;sheet=A0&amp;row=710&amp;col=13&amp;number=&amp;sourceID=30","")</f>
        <v/>
      </c>
      <c r="N710" s="4" t="str">
        <f>HYPERLINK("http://141.218.60.56/~jnz1568/getInfo.php?workbook=06_02.xlsx&amp;sheet=A0&amp;row=710&amp;col=14&amp;number=0&amp;sourceID=30","0")</f>
        <v>0</v>
      </c>
      <c r="O710" s="4" t="str">
        <f>HYPERLINK("http://141.218.60.56/~jnz1568/getInfo.php?workbook=06_02.xlsx&amp;sheet=A0&amp;row=710&amp;col=15&amp;number=&amp;sourceID=32","")</f>
        <v/>
      </c>
      <c r="P710" s="4" t="str">
        <f>HYPERLINK("http://141.218.60.56/~jnz1568/getInfo.php?workbook=06_02.xlsx&amp;sheet=A0&amp;row=710&amp;col=16&amp;number=&amp;sourceID=32","")</f>
        <v/>
      </c>
      <c r="Q710" s="4" t="str">
        <f>HYPERLINK("http://141.218.60.56/~jnz1568/getInfo.php?workbook=06_02.xlsx&amp;sheet=A0&amp;row=710&amp;col=17&amp;number=&amp;sourceID=32","")</f>
        <v/>
      </c>
      <c r="R710" s="4" t="str">
        <f>HYPERLINK("http://141.218.60.56/~jnz1568/getInfo.php?workbook=06_02.xlsx&amp;sheet=A0&amp;row=710&amp;col=18&amp;number=&amp;sourceID=32","")</f>
        <v/>
      </c>
    </row>
    <row r="711" spans="1:18">
      <c r="A711" s="3">
        <v>6</v>
      </c>
      <c r="B711" s="3">
        <v>2</v>
      </c>
      <c r="C711" s="3">
        <v>42</v>
      </c>
      <c r="D711" s="3">
        <v>39</v>
      </c>
      <c r="E711" s="3">
        <f>((1/(INDEX(E0!J$4:J$52,C711,1)-INDEX(E0!J$4:J$52,D711,1))))*100000000</f>
        <v>0</v>
      </c>
      <c r="F711" s="4" t="str">
        <f>HYPERLINK("http://141.218.60.56/~jnz1568/getInfo.php?workbook=06_02.xlsx&amp;sheet=A0&amp;row=711&amp;col=6&amp;number=&amp;sourceID=27","")</f>
        <v/>
      </c>
      <c r="G711" s="4" t="str">
        <f>HYPERLINK("http://141.218.60.56/~jnz1568/getInfo.php?workbook=06_02.xlsx&amp;sheet=A0&amp;row=711&amp;col=7&amp;number=&amp;sourceID=34","")</f>
        <v/>
      </c>
      <c r="H711" s="4" t="str">
        <f>HYPERLINK("http://141.218.60.56/~jnz1568/getInfo.php?workbook=06_02.xlsx&amp;sheet=A0&amp;row=711&amp;col=8&amp;number=&amp;sourceID=34","")</f>
        <v/>
      </c>
      <c r="I711" s="4" t="str">
        <f>HYPERLINK("http://141.218.60.56/~jnz1568/getInfo.php?workbook=06_02.xlsx&amp;sheet=A0&amp;row=711&amp;col=9&amp;number=&amp;sourceID=34","")</f>
        <v/>
      </c>
      <c r="J711" s="4" t="str">
        <f>HYPERLINK("http://141.218.60.56/~jnz1568/getInfo.php?workbook=06_02.xlsx&amp;sheet=A0&amp;row=711&amp;col=10&amp;number=&amp;sourceID=34","")</f>
        <v/>
      </c>
      <c r="K711" s="4" t="str">
        <f>HYPERLINK("http://141.218.60.56/~jnz1568/getInfo.php?workbook=06_02.xlsx&amp;sheet=A0&amp;row=711&amp;col=11&amp;number=6.209&amp;sourceID=30","6.209")</f>
        <v>6.209</v>
      </c>
      <c r="L711" s="4" t="str">
        <f>HYPERLINK("http://141.218.60.56/~jnz1568/getInfo.php?workbook=06_02.xlsx&amp;sheet=A0&amp;row=711&amp;col=12&amp;number=&amp;sourceID=30","")</f>
        <v/>
      </c>
      <c r="M711" s="4" t="str">
        <f>HYPERLINK("http://141.218.60.56/~jnz1568/getInfo.php?workbook=06_02.xlsx&amp;sheet=A0&amp;row=711&amp;col=13&amp;number=&amp;sourceID=30","")</f>
        <v/>
      </c>
      <c r="N711" s="4" t="str">
        <f>HYPERLINK("http://141.218.60.56/~jnz1568/getInfo.php?workbook=06_02.xlsx&amp;sheet=A0&amp;row=711&amp;col=14&amp;number=0&amp;sourceID=30","0")</f>
        <v>0</v>
      </c>
      <c r="O711" s="4" t="str">
        <f>HYPERLINK("http://141.218.60.56/~jnz1568/getInfo.php?workbook=06_02.xlsx&amp;sheet=A0&amp;row=711&amp;col=15&amp;number=&amp;sourceID=32","")</f>
        <v/>
      </c>
      <c r="P711" s="4" t="str">
        <f>HYPERLINK("http://141.218.60.56/~jnz1568/getInfo.php?workbook=06_02.xlsx&amp;sheet=A0&amp;row=711&amp;col=16&amp;number=&amp;sourceID=32","")</f>
        <v/>
      </c>
      <c r="Q711" s="4" t="str">
        <f>HYPERLINK("http://141.218.60.56/~jnz1568/getInfo.php?workbook=06_02.xlsx&amp;sheet=A0&amp;row=711&amp;col=17&amp;number=&amp;sourceID=32","")</f>
        <v/>
      </c>
      <c r="R711" s="4" t="str">
        <f>HYPERLINK("http://141.218.60.56/~jnz1568/getInfo.php?workbook=06_02.xlsx&amp;sheet=A0&amp;row=711&amp;col=18&amp;number=&amp;sourceID=32","")</f>
        <v/>
      </c>
    </row>
    <row r="712" spans="1:18">
      <c r="A712" s="3">
        <v>6</v>
      </c>
      <c r="B712" s="3">
        <v>2</v>
      </c>
      <c r="C712" s="3">
        <v>42</v>
      </c>
      <c r="D712" s="3">
        <v>40</v>
      </c>
      <c r="E712" s="3"/>
      <c r="F712" s="4" t="str">
        <f>HYPERLINK("http://141.218.60.56/~jnz1568/getInfo.php?workbook=06_02.xlsx&amp;sheet=A0&amp;row=712&amp;col=6&amp;number=&amp;sourceID=27","")</f>
        <v/>
      </c>
      <c r="G712" s="4" t="str">
        <f>HYPERLINK("http://141.218.60.56/~jnz1568/getInfo.php?workbook=06_02.xlsx&amp;sheet=A0&amp;row=712&amp;col=7&amp;number=&amp;sourceID=34","")</f>
        <v/>
      </c>
      <c r="H712" s="4" t="str">
        <f>HYPERLINK("http://141.218.60.56/~jnz1568/getInfo.php?workbook=06_02.xlsx&amp;sheet=A0&amp;row=712&amp;col=8&amp;number=&amp;sourceID=34","")</f>
        <v/>
      </c>
      <c r="I712" s="4" t="str">
        <f>HYPERLINK("http://141.218.60.56/~jnz1568/getInfo.php?workbook=06_02.xlsx&amp;sheet=A0&amp;row=712&amp;col=9&amp;number=&amp;sourceID=34","")</f>
        <v/>
      </c>
      <c r="J712" s="4" t="str">
        <f>HYPERLINK("http://141.218.60.56/~jnz1568/getInfo.php?workbook=06_02.xlsx&amp;sheet=A0&amp;row=712&amp;col=10&amp;number=&amp;sourceID=34","")</f>
        <v/>
      </c>
      <c r="K712" s="4" t="str">
        <f>HYPERLINK("http://141.218.60.56/~jnz1568/getInfo.php?workbook=06_02.xlsx&amp;sheet=A0&amp;row=712&amp;col=11&amp;number=&amp;sourceID=30","")</f>
        <v/>
      </c>
      <c r="L712" s="4" t="str">
        <f>HYPERLINK("http://141.218.60.56/~jnz1568/getInfo.php?workbook=06_02.xlsx&amp;sheet=A0&amp;row=712&amp;col=12&amp;number=0&amp;sourceID=30","0")</f>
        <v>0</v>
      </c>
      <c r="M712" s="4" t="str">
        <f>HYPERLINK("http://141.218.60.56/~jnz1568/getInfo.php?workbook=06_02.xlsx&amp;sheet=A0&amp;row=712&amp;col=13&amp;number=&amp;sourceID=30","")</f>
        <v/>
      </c>
      <c r="N712" s="4" t="str">
        <f>HYPERLINK("http://141.218.60.56/~jnz1568/getInfo.php?workbook=06_02.xlsx&amp;sheet=A0&amp;row=712&amp;col=14&amp;number=&amp;sourceID=30","")</f>
        <v/>
      </c>
      <c r="O712" s="4" t="str">
        <f>HYPERLINK("http://141.218.60.56/~jnz1568/getInfo.php?workbook=06_02.xlsx&amp;sheet=A0&amp;row=712&amp;col=15&amp;number=&amp;sourceID=32","")</f>
        <v/>
      </c>
      <c r="P712" s="4" t="str">
        <f>HYPERLINK("http://141.218.60.56/~jnz1568/getInfo.php?workbook=06_02.xlsx&amp;sheet=A0&amp;row=712&amp;col=16&amp;number=&amp;sourceID=32","")</f>
        <v/>
      </c>
      <c r="Q712" s="4" t="str">
        <f>HYPERLINK("http://141.218.60.56/~jnz1568/getInfo.php?workbook=06_02.xlsx&amp;sheet=A0&amp;row=712&amp;col=17&amp;number=&amp;sourceID=32","")</f>
        <v/>
      </c>
      <c r="R712" s="4" t="str">
        <f>HYPERLINK("http://141.218.60.56/~jnz1568/getInfo.php?workbook=06_02.xlsx&amp;sheet=A0&amp;row=712&amp;col=18&amp;number=&amp;sourceID=32","")</f>
        <v/>
      </c>
    </row>
    <row r="713" spans="1:18">
      <c r="A713" s="3">
        <v>6</v>
      </c>
      <c r="B713" s="3">
        <v>2</v>
      </c>
      <c r="C713" s="3">
        <v>42</v>
      </c>
      <c r="D713" s="3">
        <v>41</v>
      </c>
      <c r="E713" s="3"/>
      <c r="F713" s="4" t="str">
        <f>HYPERLINK("http://141.218.60.56/~jnz1568/getInfo.php?workbook=06_02.xlsx&amp;sheet=A0&amp;row=713&amp;col=6&amp;number=&amp;sourceID=27","")</f>
        <v/>
      </c>
      <c r="G713" s="4" t="str">
        <f>HYPERLINK("http://141.218.60.56/~jnz1568/getInfo.php?workbook=06_02.xlsx&amp;sheet=A0&amp;row=713&amp;col=7&amp;number=&amp;sourceID=34","")</f>
        <v/>
      </c>
      <c r="H713" s="4" t="str">
        <f>HYPERLINK("http://141.218.60.56/~jnz1568/getInfo.php?workbook=06_02.xlsx&amp;sheet=A0&amp;row=713&amp;col=8&amp;number=&amp;sourceID=34","")</f>
        <v/>
      </c>
      <c r="I713" s="4" t="str">
        <f>HYPERLINK("http://141.218.60.56/~jnz1568/getInfo.php?workbook=06_02.xlsx&amp;sheet=A0&amp;row=713&amp;col=9&amp;number=&amp;sourceID=34","")</f>
        <v/>
      </c>
      <c r="J713" s="4" t="str">
        <f>HYPERLINK("http://141.218.60.56/~jnz1568/getInfo.php?workbook=06_02.xlsx&amp;sheet=A0&amp;row=713&amp;col=10&amp;number=&amp;sourceID=34","")</f>
        <v/>
      </c>
      <c r="K713" s="4" t="str">
        <f>HYPERLINK("http://141.218.60.56/~jnz1568/getInfo.php?workbook=06_02.xlsx&amp;sheet=A0&amp;row=713&amp;col=11&amp;number=&amp;sourceID=30","")</f>
        <v/>
      </c>
      <c r="L713" s="4" t="str">
        <f>HYPERLINK("http://141.218.60.56/~jnz1568/getInfo.php?workbook=06_02.xlsx&amp;sheet=A0&amp;row=713&amp;col=12&amp;number=0&amp;sourceID=30","0")</f>
        <v>0</v>
      </c>
      <c r="M713" s="4" t="str">
        <f>HYPERLINK("http://141.218.60.56/~jnz1568/getInfo.php?workbook=06_02.xlsx&amp;sheet=A0&amp;row=713&amp;col=13&amp;number=1.311e-10&amp;sourceID=30","1.311e-10")</f>
        <v>1.311e-10</v>
      </c>
      <c r="N713" s="4" t="str">
        <f>HYPERLINK("http://141.218.60.56/~jnz1568/getInfo.php?workbook=06_02.xlsx&amp;sheet=A0&amp;row=713&amp;col=14&amp;number=&amp;sourceID=30","")</f>
        <v/>
      </c>
      <c r="O713" s="4" t="str">
        <f>HYPERLINK("http://141.218.60.56/~jnz1568/getInfo.php?workbook=06_02.xlsx&amp;sheet=A0&amp;row=713&amp;col=15&amp;number=&amp;sourceID=32","")</f>
        <v/>
      </c>
      <c r="P713" s="4" t="str">
        <f>HYPERLINK("http://141.218.60.56/~jnz1568/getInfo.php?workbook=06_02.xlsx&amp;sheet=A0&amp;row=713&amp;col=16&amp;number=&amp;sourceID=32","")</f>
        <v/>
      </c>
      <c r="Q713" s="4" t="str">
        <f>HYPERLINK("http://141.218.60.56/~jnz1568/getInfo.php?workbook=06_02.xlsx&amp;sheet=A0&amp;row=713&amp;col=17&amp;number=&amp;sourceID=32","")</f>
        <v/>
      </c>
      <c r="R713" s="4" t="str">
        <f>HYPERLINK("http://141.218.60.56/~jnz1568/getInfo.php?workbook=06_02.xlsx&amp;sheet=A0&amp;row=713&amp;col=18&amp;number=&amp;sourceID=32","")</f>
        <v/>
      </c>
    </row>
    <row r="714" spans="1:18">
      <c r="A714" s="3">
        <v>6</v>
      </c>
      <c r="B714" s="3">
        <v>2</v>
      </c>
      <c r="C714" s="3">
        <v>43</v>
      </c>
      <c r="D714" s="3">
        <v>2</v>
      </c>
      <c r="E714" s="3">
        <f>((1/(INDEX(E0!J$4:J$52,C714,1)-INDEX(E0!J$4:J$52,D714,1))))*100000000</f>
        <v>0</v>
      </c>
      <c r="F714" s="4" t="str">
        <f>HYPERLINK("http://141.218.60.56/~jnz1568/getInfo.php?workbook=06_02.xlsx&amp;sheet=A0&amp;row=714&amp;col=6&amp;number=&amp;sourceID=27","")</f>
        <v/>
      </c>
      <c r="G714" s="4" t="str">
        <f>HYPERLINK("http://141.218.60.56/~jnz1568/getInfo.php?workbook=06_02.xlsx&amp;sheet=A0&amp;row=714&amp;col=7&amp;number=&amp;sourceID=34","")</f>
        <v/>
      </c>
      <c r="H714" s="4" t="str">
        <f>HYPERLINK("http://141.218.60.56/~jnz1568/getInfo.php?workbook=06_02.xlsx&amp;sheet=A0&amp;row=714&amp;col=8&amp;number=&amp;sourceID=34","")</f>
        <v/>
      </c>
      <c r="I714" s="4" t="str">
        <f>HYPERLINK("http://141.218.60.56/~jnz1568/getInfo.php?workbook=06_02.xlsx&amp;sheet=A0&amp;row=714&amp;col=9&amp;number=&amp;sourceID=34","")</f>
        <v/>
      </c>
      <c r="J714" s="4" t="str">
        <f>HYPERLINK("http://141.218.60.56/~jnz1568/getInfo.php?workbook=06_02.xlsx&amp;sheet=A0&amp;row=714&amp;col=10&amp;number=&amp;sourceID=34","")</f>
        <v/>
      </c>
      <c r="K714" s="4" t="str">
        <f>HYPERLINK("http://141.218.60.56/~jnz1568/getInfo.php?workbook=06_02.xlsx&amp;sheet=A0&amp;row=714&amp;col=11&amp;number=&amp;sourceID=30","")</f>
        <v/>
      </c>
      <c r="L714" s="4" t="str">
        <f>HYPERLINK("http://141.218.60.56/~jnz1568/getInfo.php?workbook=06_02.xlsx&amp;sheet=A0&amp;row=714&amp;col=12&amp;number=&amp;sourceID=30","")</f>
        <v/>
      </c>
      <c r="M714" s="4" t="str">
        <f>HYPERLINK("http://141.218.60.56/~jnz1568/getInfo.php?workbook=06_02.xlsx&amp;sheet=A0&amp;row=714&amp;col=13&amp;number=&amp;sourceID=30","")</f>
        <v/>
      </c>
      <c r="N714" s="4" t="str">
        <f>HYPERLINK("http://141.218.60.56/~jnz1568/getInfo.php?workbook=06_02.xlsx&amp;sheet=A0&amp;row=714&amp;col=14&amp;number=1.814e-10&amp;sourceID=30","1.814e-10")</f>
        <v>1.814e-10</v>
      </c>
      <c r="O714" s="4" t="str">
        <f>HYPERLINK("http://141.218.60.56/~jnz1568/getInfo.php?workbook=06_02.xlsx&amp;sheet=A0&amp;row=714&amp;col=15&amp;number=&amp;sourceID=32","")</f>
        <v/>
      </c>
      <c r="P714" s="4" t="str">
        <f>HYPERLINK("http://141.218.60.56/~jnz1568/getInfo.php?workbook=06_02.xlsx&amp;sheet=A0&amp;row=714&amp;col=16&amp;number=&amp;sourceID=32","")</f>
        <v/>
      </c>
      <c r="Q714" s="4" t="str">
        <f>HYPERLINK("http://141.218.60.56/~jnz1568/getInfo.php?workbook=06_02.xlsx&amp;sheet=A0&amp;row=714&amp;col=17&amp;number=&amp;sourceID=32","")</f>
        <v/>
      </c>
      <c r="R714" s="4" t="str">
        <f>HYPERLINK("http://141.218.60.56/~jnz1568/getInfo.php?workbook=06_02.xlsx&amp;sheet=A0&amp;row=714&amp;col=18&amp;number=4.609e-08&amp;sourceID=32","4.609e-08")</f>
        <v>4.609e-08</v>
      </c>
    </row>
    <row r="715" spans="1:18">
      <c r="A715" s="3">
        <v>6</v>
      </c>
      <c r="B715" s="3">
        <v>2</v>
      </c>
      <c r="C715" s="3">
        <v>43</v>
      </c>
      <c r="D715" s="3">
        <v>4</v>
      </c>
      <c r="E715" s="3">
        <f>((1/(INDEX(E0!J$4:J$52,C715,1)-INDEX(E0!J$4:J$52,D715,1))))*100000000</f>
        <v>0</v>
      </c>
      <c r="F715" s="4" t="str">
        <f>HYPERLINK("http://141.218.60.56/~jnz1568/getInfo.php?workbook=06_02.xlsx&amp;sheet=A0&amp;row=715&amp;col=6&amp;number=&amp;sourceID=27","")</f>
        <v/>
      </c>
      <c r="G715" s="4" t="str">
        <f>HYPERLINK("http://141.218.60.56/~jnz1568/getInfo.php?workbook=06_02.xlsx&amp;sheet=A0&amp;row=715&amp;col=7&amp;number=&amp;sourceID=34","")</f>
        <v/>
      </c>
      <c r="H715" s="4" t="str">
        <f>HYPERLINK("http://141.218.60.56/~jnz1568/getInfo.php?workbook=06_02.xlsx&amp;sheet=A0&amp;row=715&amp;col=8&amp;number=&amp;sourceID=34","")</f>
        <v/>
      </c>
      <c r="I715" s="4" t="str">
        <f>HYPERLINK("http://141.218.60.56/~jnz1568/getInfo.php?workbook=06_02.xlsx&amp;sheet=A0&amp;row=715&amp;col=9&amp;number=&amp;sourceID=34","")</f>
        <v/>
      </c>
      <c r="J715" s="4" t="str">
        <f>HYPERLINK("http://141.218.60.56/~jnz1568/getInfo.php?workbook=06_02.xlsx&amp;sheet=A0&amp;row=715&amp;col=10&amp;number=&amp;sourceID=34","")</f>
        <v/>
      </c>
      <c r="K715" s="4" t="str">
        <f>HYPERLINK("http://141.218.60.56/~jnz1568/getInfo.php?workbook=06_02.xlsx&amp;sheet=A0&amp;row=715&amp;col=11&amp;number=&amp;sourceID=30","")</f>
        <v/>
      </c>
      <c r="L715" s="4" t="str">
        <f>HYPERLINK("http://141.218.60.56/~jnz1568/getInfo.php?workbook=06_02.xlsx&amp;sheet=A0&amp;row=715&amp;col=12&amp;number=141800&amp;sourceID=30","141800")</f>
        <v>141800</v>
      </c>
      <c r="M715" s="4" t="str">
        <f>HYPERLINK("http://141.218.60.56/~jnz1568/getInfo.php?workbook=06_02.xlsx&amp;sheet=A0&amp;row=715&amp;col=13&amp;number=&amp;sourceID=30","")</f>
        <v/>
      </c>
      <c r="N715" s="4" t="str">
        <f>HYPERLINK("http://141.218.60.56/~jnz1568/getInfo.php?workbook=06_02.xlsx&amp;sheet=A0&amp;row=715&amp;col=14&amp;number=&amp;sourceID=30","")</f>
        <v/>
      </c>
      <c r="O715" s="4" t="str">
        <f>HYPERLINK("http://141.218.60.56/~jnz1568/getInfo.php?workbook=06_02.xlsx&amp;sheet=A0&amp;row=715&amp;col=15&amp;number=&amp;sourceID=32","")</f>
        <v/>
      </c>
      <c r="P715" s="4" t="str">
        <f>HYPERLINK("http://141.218.60.56/~jnz1568/getInfo.php?workbook=06_02.xlsx&amp;sheet=A0&amp;row=715&amp;col=16&amp;number=303600&amp;sourceID=32","303600")</f>
        <v>303600</v>
      </c>
      <c r="Q715" s="4" t="str">
        <f>HYPERLINK("http://141.218.60.56/~jnz1568/getInfo.php?workbook=06_02.xlsx&amp;sheet=A0&amp;row=715&amp;col=17&amp;number=&amp;sourceID=32","")</f>
        <v/>
      </c>
      <c r="R715" s="4" t="str">
        <f>HYPERLINK("http://141.218.60.56/~jnz1568/getInfo.php?workbook=06_02.xlsx&amp;sheet=A0&amp;row=715&amp;col=18&amp;number=&amp;sourceID=32","")</f>
        <v/>
      </c>
    </row>
    <row r="716" spans="1:18">
      <c r="A716" s="3">
        <v>6</v>
      </c>
      <c r="B716" s="3">
        <v>2</v>
      </c>
      <c r="C716" s="3">
        <v>43</v>
      </c>
      <c r="D716" s="3">
        <v>6</v>
      </c>
      <c r="E716" s="3">
        <f>((1/(INDEX(E0!J$4:J$52,C716,1)-INDEX(E0!J$4:J$52,D716,1))))*100000000</f>
        <v>0</v>
      </c>
      <c r="F716" s="4" t="str">
        <f>HYPERLINK("http://141.218.60.56/~jnz1568/getInfo.php?workbook=06_02.xlsx&amp;sheet=A0&amp;row=716&amp;col=6&amp;number=&amp;sourceID=27","")</f>
        <v/>
      </c>
      <c r="G716" s="4" t="str">
        <f>HYPERLINK("http://141.218.60.56/~jnz1568/getInfo.php?workbook=06_02.xlsx&amp;sheet=A0&amp;row=716&amp;col=7&amp;number=&amp;sourceID=34","")</f>
        <v/>
      </c>
      <c r="H716" s="4" t="str">
        <f>HYPERLINK("http://141.218.60.56/~jnz1568/getInfo.php?workbook=06_02.xlsx&amp;sheet=A0&amp;row=716&amp;col=8&amp;number=&amp;sourceID=34","")</f>
        <v/>
      </c>
      <c r="I716" s="4" t="str">
        <f>HYPERLINK("http://141.218.60.56/~jnz1568/getInfo.php?workbook=06_02.xlsx&amp;sheet=A0&amp;row=716&amp;col=9&amp;number=&amp;sourceID=34","")</f>
        <v/>
      </c>
      <c r="J716" s="4" t="str">
        <f>HYPERLINK("http://141.218.60.56/~jnz1568/getInfo.php?workbook=06_02.xlsx&amp;sheet=A0&amp;row=716&amp;col=10&amp;number=&amp;sourceID=34","")</f>
        <v/>
      </c>
      <c r="K716" s="4" t="str">
        <f>HYPERLINK("http://141.218.60.56/~jnz1568/getInfo.php?workbook=06_02.xlsx&amp;sheet=A0&amp;row=716&amp;col=11&amp;number=&amp;sourceID=30","")</f>
        <v/>
      </c>
      <c r="L716" s="4" t="str">
        <f>HYPERLINK("http://141.218.60.56/~jnz1568/getInfo.php?workbook=06_02.xlsx&amp;sheet=A0&amp;row=716&amp;col=12&amp;number=72110&amp;sourceID=30","72110")</f>
        <v>72110</v>
      </c>
      <c r="M716" s="4" t="str">
        <f>HYPERLINK("http://141.218.60.56/~jnz1568/getInfo.php?workbook=06_02.xlsx&amp;sheet=A0&amp;row=716&amp;col=13&amp;number=1.653e-05&amp;sourceID=30","1.653e-05")</f>
        <v>1.653e-05</v>
      </c>
      <c r="N716" s="4" t="str">
        <f>HYPERLINK("http://141.218.60.56/~jnz1568/getInfo.php?workbook=06_02.xlsx&amp;sheet=A0&amp;row=716&amp;col=14&amp;number=&amp;sourceID=30","")</f>
        <v/>
      </c>
      <c r="O716" s="4" t="str">
        <f>HYPERLINK("http://141.218.60.56/~jnz1568/getInfo.php?workbook=06_02.xlsx&amp;sheet=A0&amp;row=716&amp;col=15&amp;number=&amp;sourceID=32","")</f>
        <v/>
      </c>
      <c r="P716" s="4" t="str">
        <f>HYPERLINK("http://141.218.60.56/~jnz1568/getInfo.php?workbook=06_02.xlsx&amp;sheet=A0&amp;row=716&amp;col=16&amp;number=150500&amp;sourceID=32","150500")</f>
        <v>150500</v>
      </c>
      <c r="Q716" s="4" t="str">
        <f>HYPERLINK("http://141.218.60.56/~jnz1568/getInfo.php?workbook=06_02.xlsx&amp;sheet=A0&amp;row=716&amp;col=17&amp;number=0.0004891&amp;sourceID=32","0.0004891")</f>
        <v>0.0004891</v>
      </c>
      <c r="R716" s="4" t="str">
        <f>HYPERLINK("http://141.218.60.56/~jnz1568/getInfo.php?workbook=06_02.xlsx&amp;sheet=A0&amp;row=716&amp;col=18&amp;number=&amp;sourceID=32","")</f>
        <v/>
      </c>
    </row>
    <row r="717" spans="1:18">
      <c r="A717" s="3">
        <v>6</v>
      </c>
      <c r="B717" s="3">
        <v>2</v>
      </c>
      <c r="C717" s="3">
        <v>43</v>
      </c>
      <c r="D717" s="3">
        <v>7</v>
      </c>
      <c r="E717" s="3">
        <f>((1/(INDEX(E0!J$4:J$52,C717,1)-INDEX(E0!J$4:J$52,D717,1))))*100000000</f>
        <v>0</v>
      </c>
      <c r="F717" s="4" t="str">
        <f>HYPERLINK("http://141.218.60.56/~jnz1568/getInfo.php?workbook=06_02.xlsx&amp;sheet=A0&amp;row=717&amp;col=6&amp;number=&amp;sourceID=27","")</f>
        <v/>
      </c>
      <c r="G717" s="4" t="str">
        <f>HYPERLINK("http://141.218.60.56/~jnz1568/getInfo.php?workbook=06_02.xlsx&amp;sheet=A0&amp;row=717&amp;col=7&amp;number=&amp;sourceID=34","")</f>
        <v/>
      </c>
      <c r="H717" s="4" t="str">
        <f>HYPERLINK("http://141.218.60.56/~jnz1568/getInfo.php?workbook=06_02.xlsx&amp;sheet=A0&amp;row=717&amp;col=8&amp;number=&amp;sourceID=34","")</f>
        <v/>
      </c>
      <c r="I717" s="4" t="str">
        <f>HYPERLINK("http://141.218.60.56/~jnz1568/getInfo.php?workbook=06_02.xlsx&amp;sheet=A0&amp;row=717&amp;col=9&amp;number=&amp;sourceID=34","")</f>
        <v/>
      </c>
      <c r="J717" s="4" t="str">
        <f>HYPERLINK("http://141.218.60.56/~jnz1568/getInfo.php?workbook=06_02.xlsx&amp;sheet=A0&amp;row=717&amp;col=10&amp;number=&amp;sourceID=34","")</f>
        <v/>
      </c>
      <c r="K717" s="4" t="str">
        <f>HYPERLINK("http://141.218.60.56/~jnz1568/getInfo.php?workbook=06_02.xlsx&amp;sheet=A0&amp;row=717&amp;col=11&amp;number=&amp;sourceID=30","")</f>
        <v/>
      </c>
      <c r="L717" s="4" t="str">
        <f>HYPERLINK("http://141.218.60.56/~jnz1568/getInfo.php?workbook=06_02.xlsx&amp;sheet=A0&amp;row=717&amp;col=12&amp;number=291200&amp;sourceID=30","291200")</f>
        <v>291200</v>
      </c>
      <c r="M717" s="4" t="str">
        <f>HYPERLINK("http://141.218.60.56/~jnz1568/getInfo.php?workbook=06_02.xlsx&amp;sheet=A0&amp;row=717&amp;col=13&amp;number=&amp;sourceID=30","")</f>
        <v/>
      </c>
      <c r="N717" s="4" t="str">
        <f>HYPERLINK("http://141.218.60.56/~jnz1568/getInfo.php?workbook=06_02.xlsx&amp;sheet=A0&amp;row=717&amp;col=14&amp;number=&amp;sourceID=30","")</f>
        <v/>
      </c>
      <c r="O717" s="4" t="str">
        <f>HYPERLINK("http://141.218.60.56/~jnz1568/getInfo.php?workbook=06_02.xlsx&amp;sheet=A0&amp;row=717&amp;col=15&amp;number=&amp;sourceID=32","")</f>
        <v/>
      </c>
      <c r="P717" s="4" t="str">
        <f>HYPERLINK("http://141.218.60.56/~jnz1568/getInfo.php?workbook=06_02.xlsx&amp;sheet=A0&amp;row=717&amp;col=16&amp;number=198200&amp;sourceID=32","198200")</f>
        <v>198200</v>
      </c>
      <c r="Q717" s="4" t="str">
        <f>HYPERLINK("http://141.218.60.56/~jnz1568/getInfo.php?workbook=06_02.xlsx&amp;sheet=A0&amp;row=717&amp;col=17&amp;number=&amp;sourceID=32","")</f>
        <v/>
      </c>
      <c r="R717" s="4" t="str">
        <f>HYPERLINK("http://141.218.60.56/~jnz1568/getInfo.php?workbook=06_02.xlsx&amp;sheet=A0&amp;row=717&amp;col=18&amp;number=&amp;sourceID=32","")</f>
        <v/>
      </c>
    </row>
    <row r="718" spans="1:18">
      <c r="A718" s="3">
        <v>6</v>
      </c>
      <c r="B718" s="3">
        <v>2</v>
      </c>
      <c r="C718" s="3">
        <v>43</v>
      </c>
      <c r="D718" s="3">
        <v>8</v>
      </c>
      <c r="E718" s="3">
        <f>((1/(INDEX(E0!J$4:J$52,C718,1)-INDEX(E0!J$4:J$52,D718,1))))*100000000</f>
        <v>0</v>
      </c>
      <c r="F718" s="4" t="str">
        <f>HYPERLINK("http://141.218.60.56/~jnz1568/getInfo.php?workbook=06_02.xlsx&amp;sheet=A0&amp;row=718&amp;col=6&amp;number=&amp;sourceID=27","")</f>
        <v/>
      </c>
      <c r="G718" s="4" t="str">
        <f>HYPERLINK("http://141.218.60.56/~jnz1568/getInfo.php?workbook=06_02.xlsx&amp;sheet=A0&amp;row=718&amp;col=7&amp;number=&amp;sourceID=34","")</f>
        <v/>
      </c>
      <c r="H718" s="4" t="str">
        <f>HYPERLINK("http://141.218.60.56/~jnz1568/getInfo.php?workbook=06_02.xlsx&amp;sheet=A0&amp;row=718&amp;col=8&amp;number=&amp;sourceID=34","")</f>
        <v/>
      </c>
      <c r="I718" s="4" t="str">
        <f>HYPERLINK("http://141.218.60.56/~jnz1568/getInfo.php?workbook=06_02.xlsx&amp;sheet=A0&amp;row=718&amp;col=9&amp;number=&amp;sourceID=34","")</f>
        <v/>
      </c>
      <c r="J718" s="4" t="str">
        <f>HYPERLINK("http://141.218.60.56/~jnz1568/getInfo.php?workbook=06_02.xlsx&amp;sheet=A0&amp;row=718&amp;col=10&amp;number=&amp;sourceID=34","")</f>
        <v/>
      </c>
      <c r="K718" s="4" t="str">
        <f>HYPERLINK("http://141.218.60.56/~jnz1568/getInfo.php?workbook=06_02.xlsx&amp;sheet=A0&amp;row=718&amp;col=11&amp;number=&amp;sourceID=30","")</f>
        <v/>
      </c>
      <c r="L718" s="4" t="str">
        <f>HYPERLINK("http://141.218.60.56/~jnz1568/getInfo.php?workbook=06_02.xlsx&amp;sheet=A0&amp;row=718&amp;col=12&amp;number=&amp;sourceID=30","")</f>
        <v/>
      </c>
      <c r="M718" s="4" t="str">
        <f>HYPERLINK("http://141.218.60.56/~jnz1568/getInfo.php?workbook=06_02.xlsx&amp;sheet=A0&amp;row=718&amp;col=13&amp;number=&amp;sourceID=30","")</f>
        <v/>
      </c>
      <c r="N718" s="4" t="str">
        <f>HYPERLINK("http://141.218.60.56/~jnz1568/getInfo.php?workbook=06_02.xlsx&amp;sheet=A0&amp;row=718&amp;col=14&amp;number=2.044e-09&amp;sourceID=30","2.044e-09")</f>
        <v>2.044e-09</v>
      </c>
      <c r="O718" s="4" t="str">
        <f>HYPERLINK("http://141.218.60.56/~jnz1568/getInfo.php?workbook=06_02.xlsx&amp;sheet=A0&amp;row=718&amp;col=15&amp;number=&amp;sourceID=32","")</f>
        <v/>
      </c>
      <c r="P718" s="4" t="str">
        <f>HYPERLINK("http://141.218.60.56/~jnz1568/getInfo.php?workbook=06_02.xlsx&amp;sheet=A0&amp;row=718&amp;col=16&amp;number=&amp;sourceID=32","")</f>
        <v/>
      </c>
      <c r="Q718" s="4" t="str">
        <f>HYPERLINK("http://141.218.60.56/~jnz1568/getInfo.php?workbook=06_02.xlsx&amp;sheet=A0&amp;row=718&amp;col=17&amp;number=&amp;sourceID=32","")</f>
        <v/>
      </c>
      <c r="R718" s="4" t="str">
        <f>HYPERLINK("http://141.218.60.56/~jnz1568/getInfo.php?workbook=06_02.xlsx&amp;sheet=A0&amp;row=718&amp;col=18&amp;number=2.99e-13&amp;sourceID=32","2.99e-13")</f>
        <v>2.99e-13</v>
      </c>
    </row>
    <row r="719" spans="1:18">
      <c r="A719" s="3">
        <v>6</v>
      </c>
      <c r="B719" s="3">
        <v>2</v>
      </c>
      <c r="C719" s="3">
        <v>43</v>
      </c>
      <c r="D719" s="3">
        <v>10</v>
      </c>
      <c r="E719" s="3">
        <f>((1/(INDEX(E0!J$4:J$52,C719,1)-INDEX(E0!J$4:J$52,D719,1))))*100000000</f>
        <v>0</v>
      </c>
      <c r="F719" s="4" t="str">
        <f>HYPERLINK("http://141.218.60.56/~jnz1568/getInfo.php?workbook=06_02.xlsx&amp;sheet=A0&amp;row=719&amp;col=6&amp;number=&amp;sourceID=27","")</f>
        <v/>
      </c>
      <c r="G719" s="4" t="str">
        <f>HYPERLINK("http://141.218.60.56/~jnz1568/getInfo.php?workbook=06_02.xlsx&amp;sheet=A0&amp;row=719&amp;col=7&amp;number=&amp;sourceID=34","")</f>
        <v/>
      </c>
      <c r="H719" s="4" t="str">
        <f>HYPERLINK("http://141.218.60.56/~jnz1568/getInfo.php?workbook=06_02.xlsx&amp;sheet=A0&amp;row=719&amp;col=8&amp;number=&amp;sourceID=34","")</f>
        <v/>
      </c>
      <c r="I719" s="4" t="str">
        <f>HYPERLINK("http://141.218.60.56/~jnz1568/getInfo.php?workbook=06_02.xlsx&amp;sheet=A0&amp;row=719&amp;col=9&amp;number=&amp;sourceID=34","")</f>
        <v/>
      </c>
      <c r="J719" s="4" t="str">
        <f>HYPERLINK("http://141.218.60.56/~jnz1568/getInfo.php?workbook=06_02.xlsx&amp;sheet=A0&amp;row=719&amp;col=10&amp;number=&amp;sourceID=34","")</f>
        <v/>
      </c>
      <c r="K719" s="4" t="str">
        <f>HYPERLINK("http://141.218.60.56/~jnz1568/getInfo.php?workbook=06_02.xlsx&amp;sheet=A0&amp;row=719&amp;col=11&amp;number=&amp;sourceID=30","")</f>
        <v/>
      </c>
      <c r="L719" s="4" t="str">
        <f>HYPERLINK("http://141.218.60.56/~jnz1568/getInfo.php?workbook=06_02.xlsx&amp;sheet=A0&amp;row=719&amp;col=12&amp;number=235.8&amp;sourceID=30","235.8")</f>
        <v>235.8</v>
      </c>
      <c r="M719" s="4" t="str">
        <f>HYPERLINK("http://141.218.60.56/~jnz1568/getInfo.php?workbook=06_02.xlsx&amp;sheet=A0&amp;row=719&amp;col=13&amp;number=&amp;sourceID=30","")</f>
        <v/>
      </c>
      <c r="N719" s="4" t="str">
        <f>HYPERLINK("http://141.218.60.56/~jnz1568/getInfo.php?workbook=06_02.xlsx&amp;sheet=A0&amp;row=719&amp;col=14&amp;number=&amp;sourceID=30","")</f>
        <v/>
      </c>
      <c r="O719" s="4" t="str">
        <f>HYPERLINK("http://141.218.60.56/~jnz1568/getInfo.php?workbook=06_02.xlsx&amp;sheet=A0&amp;row=719&amp;col=15&amp;number=&amp;sourceID=32","")</f>
        <v/>
      </c>
      <c r="P719" s="4" t="str">
        <f>HYPERLINK("http://141.218.60.56/~jnz1568/getInfo.php?workbook=06_02.xlsx&amp;sheet=A0&amp;row=719&amp;col=16&amp;number=819.8&amp;sourceID=32","819.8")</f>
        <v>819.8</v>
      </c>
      <c r="Q719" s="4" t="str">
        <f>HYPERLINK("http://141.218.60.56/~jnz1568/getInfo.php?workbook=06_02.xlsx&amp;sheet=A0&amp;row=719&amp;col=17&amp;number=&amp;sourceID=32","")</f>
        <v/>
      </c>
      <c r="R719" s="4" t="str">
        <f>HYPERLINK("http://141.218.60.56/~jnz1568/getInfo.php?workbook=06_02.xlsx&amp;sheet=A0&amp;row=719&amp;col=18&amp;number=&amp;sourceID=32","")</f>
        <v/>
      </c>
    </row>
    <row r="720" spans="1:18">
      <c r="A720" s="3">
        <v>6</v>
      </c>
      <c r="B720" s="3">
        <v>2</v>
      </c>
      <c r="C720" s="3">
        <v>43</v>
      </c>
      <c r="D720" s="3">
        <v>12</v>
      </c>
      <c r="E720" s="3">
        <f>((1/(INDEX(E0!J$4:J$52,C720,1)-INDEX(E0!J$4:J$52,D720,1))))*100000000</f>
        <v>0</v>
      </c>
      <c r="F720" s="4" t="str">
        <f>HYPERLINK("http://141.218.60.56/~jnz1568/getInfo.php?workbook=06_02.xlsx&amp;sheet=A0&amp;row=720&amp;col=6&amp;number=&amp;sourceID=27","")</f>
        <v/>
      </c>
      <c r="G720" s="4" t="str">
        <f>HYPERLINK("http://141.218.60.56/~jnz1568/getInfo.php?workbook=06_02.xlsx&amp;sheet=A0&amp;row=720&amp;col=7&amp;number=&amp;sourceID=34","")</f>
        <v/>
      </c>
      <c r="H720" s="4" t="str">
        <f>HYPERLINK("http://141.218.60.56/~jnz1568/getInfo.php?workbook=06_02.xlsx&amp;sheet=A0&amp;row=720&amp;col=8&amp;number=&amp;sourceID=34","")</f>
        <v/>
      </c>
      <c r="I720" s="4" t="str">
        <f>HYPERLINK("http://141.218.60.56/~jnz1568/getInfo.php?workbook=06_02.xlsx&amp;sheet=A0&amp;row=720&amp;col=9&amp;number=&amp;sourceID=34","")</f>
        <v/>
      </c>
      <c r="J720" s="4" t="str">
        <f>HYPERLINK("http://141.218.60.56/~jnz1568/getInfo.php?workbook=06_02.xlsx&amp;sheet=A0&amp;row=720&amp;col=10&amp;number=&amp;sourceID=34","")</f>
        <v/>
      </c>
      <c r="K720" s="4" t="str">
        <f>HYPERLINK("http://141.218.60.56/~jnz1568/getInfo.php?workbook=06_02.xlsx&amp;sheet=A0&amp;row=720&amp;col=11&amp;number=&amp;sourceID=30","")</f>
        <v/>
      </c>
      <c r="L720" s="4" t="str">
        <f>HYPERLINK("http://141.218.60.56/~jnz1568/getInfo.php?workbook=06_02.xlsx&amp;sheet=A0&amp;row=720&amp;col=12&amp;number=120.4&amp;sourceID=30","120.4")</f>
        <v>120.4</v>
      </c>
      <c r="M720" s="4" t="str">
        <f>HYPERLINK("http://141.218.60.56/~jnz1568/getInfo.php?workbook=06_02.xlsx&amp;sheet=A0&amp;row=720&amp;col=13&amp;number=3.879e-07&amp;sourceID=30","3.879e-07")</f>
        <v>3.879e-07</v>
      </c>
      <c r="N720" s="4" t="str">
        <f>HYPERLINK("http://141.218.60.56/~jnz1568/getInfo.php?workbook=06_02.xlsx&amp;sheet=A0&amp;row=720&amp;col=14&amp;number=&amp;sourceID=30","")</f>
        <v/>
      </c>
      <c r="O720" s="4" t="str">
        <f>HYPERLINK("http://141.218.60.56/~jnz1568/getInfo.php?workbook=06_02.xlsx&amp;sheet=A0&amp;row=720&amp;col=15&amp;number=&amp;sourceID=32","")</f>
        <v/>
      </c>
      <c r="P720" s="4" t="str">
        <f>HYPERLINK("http://141.218.60.56/~jnz1568/getInfo.php?workbook=06_02.xlsx&amp;sheet=A0&amp;row=720&amp;col=16&amp;number=403.5&amp;sourceID=32","403.5")</f>
        <v>403.5</v>
      </c>
      <c r="Q720" s="4" t="str">
        <f>HYPERLINK("http://141.218.60.56/~jnz1568/getInfo.php?workbook=06_02.xlsx&amp;sheet=A0&amp;row=720&amp;col=17&amp;number=1.366e-05&amp;sourceID=32","1.366e-05")</f>
        <v>1.366e-05</v>
      </c>
      <c r="R720" s="4" t="str">
        <f>HYPERLINK("http://141.218.60.56/~jnz1568/getInfo.php?workbook=06_02.xlsx&amp;sheet=A0&amp;row=720&amp;col=18&amp;number=&amp;sourceID=32","")</f>
        <v/>
      </c>
    </row>
    <row r="721" spans="1:18">
      <c r="A721" s="3">
        <v>6</v>
      </c>
      <c r="B721" s="3">
        <v>2</v>
      </c>
      <c r="C721" s="3">
        <v>43</v>
      </c>
      <c r="D721" s="3">
        <v>13</v>
      </c>
      <c r="E721" s="3">
        <f>((1/(INDEX(E0!J$4:J$52,C721,1)-INDEX(E0!J$4:J$52,D721,1))))*100000000</f>
        <v>0</v>
      </c>
      <c r="F721" s="4" t="str">
        <f>HYPERLINK("http://141.218.60.56/~jnz1568/getInfo.php?workbook=06_02.xlsx&amp;sheet=A0&amp;row=721&amp;col=6&amp;number=&amp;sourceID=27","")</f>
        <v/>
      </c>
      <c r="G721" s="4" t="str">
        <f>HYPERLINK("http://141.218.60.56/~jnz1568/getInfo.php?workbook=06_02.xlsx&amp;sheet=A0&amp;row=721&amp;col=7&amp;number=&amp;sourceID=34","")</f>
        <v/>
      </c>
      <c r="H721" s="4" t="str">
        <f>HYPERLINK("http://141.218.60.56/~jnz1568/getInfo.php?workbook=06_02.xlsx&amp;sheet=A0&amp;row=721&amp;col=8&amp;number=&amp;sourceID=34","")</f>
        <v/>
      </c>
      <c r="I721" s="4" t="str">
        <f>HYPERLINK("http://141.218.60.56/~jnz1568/getInfo.php?workbook=06_02.xlsx&amp;sheet=A0&amp;row=721&amp;col=9&amp;number=&amp;sourceID=34","")</f>
        <v/>
      </c>
      <c r="J721" s="4" t="str">
        <f>HYPERLINK("http://141.218.60.56/~jnz1568/getInfo.php?workbook=06_02.xlsx&amp;sheet=A0&amp;row=721&amp;col=10&amp;number=&amp;sourceID=34","")</f>
        <v/>
      </c>
      <c r="K721" s="4" t="str">
        <f>HYPERLINK("http://141.218.60.56/~jnz1568/getInfo.php?workbook=06_02.xlsx&amp;sheet=A0&amp;row=721&amp;col=11&amp;number=&amp;sourceID=30","")</f>
        <v/>
      </c>
      <c r="L721" s="4" t="str">
        <f>HYPERLINK("http://141.218.60.56/~jnz1568/getInfo.php?workbook=06_02.xlsx&amp;sheet=A0&amp;row=721&amp;col=12&amp;number=&amp;sourceID=30","")</f>
        <v/>
      </c>
      <c r="M721" s="4" t="str">
        <f>HYPERLINK("http://141.218.60.56/~jnz1568/getInfo.php?workbook=06_02.xlsx&amp;sheet=A0&amp;row=721&amp;col=13&amp;number=&amp;sourceID=30","")</f>
        <v/>
      </c>
      <c r="N721" s="4" t="str">
        <f>HYPERLINK("http://141.218.60.56/~jnz1568/getInfo.php?workbook=06_02.xlsx&amp;sheet=A0&amp;row=721&amp;col=14&amp;number=0.3179&amp;sourceID=30","0.3179")</f>
        <v>0.3179</v>
      </c>
      <c r="O721" s="4" t="str">
        <f>HYPERLINK("http://141.218.60.56/~jnz1568/getInfo.php?workbook=06_02.xlsx&amp;sheet=A0&amp;row=721&amp;col=15&amp;number=&amp;sourceID=32","")</f>
        <v/>
      </c>
      <c r="P721" s="4" t="str">
        <f>HYPERLINK("http://141.218.60.56/~jnz1568/getInfo.php?workbook=06_02.xlsx&amp;sheet=A0&amp;row=721&amp;col=16&amp;number=&amp;sourceID=32","")</f>
        <v/>
      </c>
      <c r="Q721" s="4" t="str">
        <f>HYPERLINK("http://141.218.60.56/~jnz1568/getInfo.php?workbook=06_02.xlsx&amp;sheet=A0&amp;row=721&amp;col=17&amp;number=&amp;sourceID=32","")</f>
        <v/>
      </c>
      <c r="R721" s="4" t="str">
        <f>HYPERLINK("http://141.218.60.56/~jnz1568/getInfo.php?workbook=06_02.xlsx&amp;sheet=A0&amp;row=721&amp;col=18&amp;number=0.01679&amp;sourceID=32","0.01679")</f>
        <v>0.01679</v>
      </c>
    </row>
    <row r="722" spans="1:18">
      <c r="A722" s="3">
        <v>6</v>
      </c>
      <c r="B722" s="3">
        <v>2</v>
      </c>
      <c r="C722" s="3">
        <v>43</v>
      </c>
      <c r="D722" s="3">
        <v>14</v>
      </c>
      <c r="E722" s="3">
        <f>((1/(INDEX(E0!J$4:J$52,C722,1)-INDEX(E0!J$4:J$52,D722,1))))*100000000</f>
        <v>0</v>
      </c>
      <c r="F722" s="4" t="str">
        <f>HYPERLINK("http://141.218.60.56/~jnz1568/getInfo.php?workbook=06_02.xlsx&amp;sheet=A0&amp;row=722&amp;col=6&amp;number=&amp;sourceID=27","")</f>
        <v/>
      </c>
      <c r="G722" s="4" t="str">
        <f>HYPERLINK("http://141.218.60.56/~jnz1568/getInfo.php?workbook=06_02.xlsx&amp;sheet=A0&amp;row=722&amp;col=7&amp;number=&amp;sourceID=34","")</f>
        <v/>
      </c>
      <c r="H722" s="4" t="str">
        <f>HYPERLINK("http://141.218.60.56/~jnz1568/getInfo.php?workbook=06_02.xlsx&amp;sheet=A0&amp;row=722&amp;col=8&amp;number=&amp;sourceID=34","")</f>
        <v/>
      </c>
      <c r="I722" s="4" t="str">
        <f>HYPERLINK("http://141.218.60.56/~jnz1568/getInfo.php?workbook=06_02.xlsx&amp;sheet=A0&amp;row=722&amp;col=9&amp;number=&amp;sourceID=34","")</f>
        <v/>
      </c>
      <c r="J722" s="4" t="str">
        <f>HYPERLINK("http://141.218.60.56/~jnz1568/getInfo.php?workbook=06_02.xlsx&amp;sheet=A0&amp;row=722&amp;col=10&amp;number=&amp;sourceID=34","")</f>
        <v/>
      </c>
      <c r="K722" s="4" t="str">
        <f>HYPERLINK("http://141.218.60.56/~jnz1568/getInfo.php?workbook=06_02.xlsx&amp;sheet=A0&amp;row=722&amp;col=11&amp;number=591300000&amp;sourceID=30","591300000")</f>
        <v>591300000</v>
      </c>
      <c r="L722" s="4" t="str">
        <f>HYPERLINK("http://141.218.60.56/~jnz1568/getInfo.php?workbook=06_02.xlsx&amp;sheet=A0&amp;row=722&amp;col=12&amp;number=&amp;sourceID=30","")</f>
        <v/>
      </c>
      <c r="M722" s="4" t="str">
        <f>HYPERLINK("http://141.218.60.56/~jnz1568/getInfo.php?workbook=06_02.xlsx&amp;sheet=A0&amp;row=722&amp;col=13&amp;number=&amp;sourceID=30","")</f>
        <v/>
      </c>
      <c r="N722" s="4" t="str">
        <f>HYPERLINK("http://141.218.60.56/~jnz1568/getInfo.php?workbook=06_02.xlsx&amp;sheet=A0&amp;row=722&amp;col=14&amp;number=0.8913&amp;sourceID=30","0.8913")</f>
        <v>0.8913</v>
      </c>
      <c r="O722" s="4" t="str">
        <f>HYPERLINK("http://141.218.60.56/~jnz1568/getInfo.php?workbook=06_02.xlsx&amp;sheet=A0&amp;row=722&amp;col=15&amp;number=1900000000&amp;sourceID=32","1900000000")</f>
        <v>1900000000</v>
      </c>
      <c r="P722" s="4" t="str">
        <f>HYPERLINK("http://141.218.60.56/~jnz1568/getInfo.php?workbook=06_02.xlsx&amp;sheet=A0&amp;row=722&amp;col=16&amp;number=&amp;sourceID=32","")</f>
        <v/>
      </c>
      <c r="Q722" s="4" t="str">
        <f>HYPERLINK("http://141.218.60.56/~jnz1568/getInfo.php?workbook=06_02.xlsx&amp;sheet=A0&amp;row=722&amp;col=17&amp;number=&amp;sourceID=32","")</f>
        <v/>
      </c>
      <c r="R722" s="4" t="str">
        <f>HYPERLINK("http://141.218.60.56/~jnz1568/getInfo.php?workbook=06_02.xlsx&amp;sheet=A0&amp;row=722&amp;col=18&amp;number=0.2568&amp;sourceID=32","0.2568")</f>
        <v>0.2568</v>
      </c>
    </row>
    <row r="723" spans="1:18">
      <c r="A723" s="3">
        <v>6</v>
      </c>
      <c r="B723" s="3">
        <v>2</v>
      </c>
      <c r="C723" s="3">
        <v>43</v>
      </c>
      <c r="D723" s="3">
        <v>15</v>
      </c>
      <c r="E723" s="3">
        <f>((1/(INDEX(E0!J$4:J$52,C723,1)-INDEX(E0!J$4:J$52,D723,1))))*100000000</f>
        <v>0</v>
      </c>
      <c r="F723" s="4" t="str">
        <f>HYPERLINK("http://141.218.60.56/~jnz1568/getInfo.php?workbook=06_02.xlsx&amp;sheet=A0&amp;row=723&amp;col=6&amp;number=&amp;sourceID=27","")</f>
        <v/>
      </c>
      <c r="G723" s="4" t="str">
        <f>HYPERLINK("http://141.218.60.56/~jnz1568/getInfo.php?workbook=06_02.xlsx&amp;sheet=A0&amp;row=723&amp;col=7&amp;number=&amp;sourceID=34","")</f>
        <v/>
      </c>
      <c r="H723" s="4" t="str">
        <f>HYPERLINK("http://141.218.60.56/~jnz1568/getInfo.php?workbook=06_02.xlsx&amp;sheet=A0&amp;row=723&amp;col=8&amp;number=&amp;sourceID=34","")</f>
        <v/>
      </c>
      <c r="I723" s="4" t="str">
        <f>HYPERLINK("http://141.218.60.56/~jnz1568/getInfo.php?workbook=06_02.xlsx&amp;sheet=A0&amp;row=723&amp;col=9&amp;number=&amp;sourceID=34","")</f>
        <v/>
      </c>
      <c r="J723" s="4" t="str">
        <f>HYPERLINK("http://141.218.60.56/~jnz1568/getInfo.php?workbook=06_02.xlsx&amp;sheet=A0&amp;row=723&amp;col=10&amp;number=&amp;sourceID=34","")</f>
        <v/>
      </c>
      <c r="K723" s="4" t="str">
        <f>HYPERLINK("http://141.218.60.56/~jnz1568/getInfo.php?workbook=06_02.xlsx&amp;sheet=A0&amp;row=723&amp;col=11&amp;number=90350000&amp;sourceID=30","90350000")</f>
        <v>90350000</v>
      </c>
      <c r="L723" s="4" t="str">
        <f>HYPERLINK("http://141.218.60.56/~jnz1568/getInfo.php?workbook=06_02.xlsx&amp;sheet=A0&amp;row=723&amp;col=12&amp;number=&amp;sourceID=30","")</f>
        <v/>
      </c>
      <c r="M723" s="4" t="str">
        <f>HYPERLINK("http://141.218.60.56/~jnz1568/getInfo.php?workbook=06_02.xlsx&amp;sheet=A0&amp;row=723&amp;col=13&amp;number=&amp;sourceID=30","")</f>
        <v/>
      </c>
      <c r="N723" s="4" t="str">
        <f>HYPERLINK("http://141.218.60.56/~jnz1568/getInfo.php?workbook=06_02.xlsx&amp;sheet=A0&amp;row=723&amp;col=14&amp;number=0.3282&amp;sourceID=30","0.3282")</f>
        <v>0.3282</v>
      </c>
      <c r="O723" s="4" t="str">
        <f>HYPERLINK("http://141.218.60.56/~jnz1568/getInfo.php?workbook=06_02.xlsx&amp;sheet=A0&amp;row=723&amp;col=15&amp;number=217500000&amp;sourceID=32","217500000")</f>
        <v>217500000</v>
      </c>
      <c r="P723" s="4" t="str">
        <f>HYPERLINK("http://141.218.60.56/~jnz1568/getInfo.php?workbook=06_02.xlsx&amp;sheet=A0&amp;row=723&amp;col=16&amp;number=&amp;sourceID=32","")</f>
        <v/>
      </c>
      <c r="Q723" s="4" t="str">
        <f>HYPERLINK("http://141.218.60.56/~jnz1568/getInfo.php?workbook=06_02.xlsx&amp;sheet=A0&amp;row=723&amp;col=17&amp;number=&amp;sourceID=32","")</f>
        <v/>
      </c>
      <c r="R723" s="4" t="str">
        <f>HYPERLINK("http://141.218.60.56/~jnz1568/getInfo.php?workbook=06_02.xlsx&amp;sheet=A0&amp;row=723&amp;col=18&amp;number=0.004809&amp;sourceID=32","0.004809")</f>
        <v>0.004809</v>
      </c>
    </row>
    <row r="724" spans="1:18">
      <c r="A724" s="3">
        <v>6</v>
      </c>
      <c r="B724" s="3">
        <v>2</v>
      </c>
      <c r="C724" s="3">
        <v>43</v>
      </c>
      <c r="D724" s="3">
        <v>16</v>
      </c>
      <c r="E724" s="3">
        <f>((1/(INDEX(E0!J$4:J$52,C724,1)-INDEX(E0!J$4:J$52,D724,1))))*100000000</f>
        <v>0</v>
      </c>
      <c r="F724" s="4" t="str">
        <f>HYPERLINK("http://141.218.60.56/~jnz1568/getInfo.php?workbook=06_02.xlsx&amp;sheet=A0&amp;row=724&amp;col=6&amp;number=&amp;sourceID=27","")</f>
        <v/>
      </c>
      <c r="G724" s="4" t="str">
        <f>HYPERLINK("http://141.218.60.56/~jnz1568/getInfo.php?workbook=06_02.xlsx&amp;sheet=A0&amp;row=724&amp;col=7&amp;number=&amp;sourceID=34","")</f>
        <v/>
      </c>
      <c r="H724" s="4" t="str">
        <f>HYPERLINK("http://141.218.60.56/~jnz1568/getInfo.php?workbook=06_02.xlsx&amp;sheet=A0&amp;row=724&amp;col=8&amp;number=&amp;sourceID=34","")</f>
        <v/>
      </c>
      <c r="I724" s="4" t="str">
        <f>HYPERLINK("http://141.218.60.56/~jnz1568/getInfo.php?workbook=06_02.xlsx&amp;sheet=A0&amp;row=724&amp;col=9&amp;number=&amp;sourceID=34","")</f>
        <v/>
      </c>
      <c r="J724" s="4" t="str">
        <f>HYPERLINK("http://141.218.60.56/~jnz1568/getInfo.php?workbook=06_02.xlsx&amp;sheet=A0&amp;row=724&amp;col=10&amp;number=&amp;sourceID=34","")</f>
        <v/>
      </c>
      <c r="K724" s="4" t="str">
        <f>HYPERLINK("http://141.218.60.56/~jnz1568/getInfo.php?workbook=06_02.xlsx&amp;sheet=A0&amp;row=724&amp;col=11&amp;number=2161000000&amp;sourceID=30","2161000000")</f>
        <v>2161000000</v>
      </c>
      <c r="L724" s="4" t="str">
        <f>HYPERLINK("http://141.218.60.56/~jnz1568/getInfo.php?workbook=06_02.xlsx&amp;sheet=A0&amp;row=724&amp;col=12&amp;number=&amp;sourceID=30","")</f>
        <v/>
      </c>
      <c r="M724" s="4" t="str">
        <f>HYPERLINK("http://141.218.60.56/~jnz1568/getInfo.php?workbook=06_02.xlsx&amp;sheet=A0&amp;row=724&amp;col=13&amp;number=&amp;sourceID=30","")</f>
        <v/>
      </c>
      <c r="N724" s="4" t="str">
        <f>HYPERLINK("http://141.218.60.56/~jnz1568/getInfo.php?workbook=06_02.xlsx&amp;sheet=A0&amp;row=724&amp;col=14&amp;number=1.093&amp;sourceID=30","1.093")</f>
        <v>1.093</v>
      </c>
      <c r="O724" s="4" t="str">
        <f>HYPERLINK("http://141.218.60.56/~jnz1568/getInfo.php?workbook=06_02.xlsx&amp;sheet=A0&amp;row=724&amp;col=15&amp;number=730200000&amp;sourceID=32","730200000")</f>
        <v>730200000</v>
      </c>
      <c r="P724" s="4" t="str">
        <f>HYPERLINK("http://141.218.60.56/~jnz1568/getInfo.php?workbook=06_02.xlsx&amp;sheet=A0&amp;row=724&amp;col=16&amp;number=&amp;sourceID=32","")</f>
        <v/>
      </c>
      <c r="Q724" s="4" t="str">
        <f>HYPERLINK("http://141.218.60.56/~jnz1568/getInfo.php?workbook=06_02.xlsx&amp;sheet=A0&amp;row=724&amp;col=17&amp;number=&amp;sourceID=32","")</f>
        <v/>
      </c>
      <c r="R724" s="4" t="str">
        <f>HYPERLINK("http://141.218.60.56/~jnz1568/getInfo.php?workbook=06_02.xlsx&amp;sheet=A0&amp;row=724&amp;col=18&amp;number=0.02309&amp;sourceID=32","0.02309")</f>
        <v>0.02309</v>
      </c>
    </row>
    <row r="725" spans="1:18">
      <c r="A725" s="3">
        <v>6</v>
      </c>
      <c r="B725" s="3">
        <v>2</v>
      </c>
      <c r="C725" s="3">
        <v>43</v>
      </c>
      <c r="D725" s="3">
        <v>17</v>
      </c>
      <c r="E725" s="3">
        <f>((1/(INDEX(E0!J$4:J$52,C725,1)-INDEX(E0!J$4:J$52,D725,1))))*100000000</f>
        <v>0</v>
      </c>
      <c r="F725" s="4" t="str">
        <f>HYPERLINK("http://141.218.60.56/~jnz1568/getInfo.php?workbook=06_02.xlsx&amp;sheet=A0&amp;row=725&amp;col=6&amp;number=&amp;sourceID=27","")</f>
        <v/>
      </c>
      <c r="G725" s="4" t="str">
        <f>HYPERLINK("http://141.218.60.56/~jnz1568/getInfo.php?workbook=06_02.xlsx&amp;sheet=A0&amp;row=725&amp;col=7&amp;number=&amp;sourceID=34","")</f>
        <v/>
      </c>
      <c r="H725" s="4" t="str">
        <f>HYPERLINK("http://141.218.60.56/~jnz1568/getInfo.php?workbook=06_02.xlsx&amp;sheet=A0&amp;row=725&amp;col=8&amp;number=&amp;sourceID=34","")</f>
        <v/>
      </c>
      <c r="I725" s="4" t="str">
        <f>HYPERLINK("http://141.218.60.56/~jnz1568/getInfo.php?workbook=06_02.xlsx&amp;sheet=A0&amp;row=725&amp;col=9&amp;number=&amp;sourceID=34","")</f>
        <v/>
      </c>
      <c r="J725" s="4" t="str">
        <f>HYPERLINK("http://141.218.60.56/~jnz1568/getInfo.php?workbook=06_02.xlsx&amp;sheet=A0&amp;row=725&amp;col=10&amp;number=&amp;sourceID=34","")</f>
        <v/>
      </c>
      <c r="K725" s="4" t="str">
        <f>HYPERLINK("http://141.218.60.56/~jnz1568/getInfo.php?workbook=06_02.xlsx&amp;sheet=A0&amp;row=725&amp;col=11&amp;number=&amp;sourceID=30","")</f>
        <v/>
      </c>
      <c r="L725" s="4" t="str">
        <f>HYPERLINK("http://141.218.60.56/~jnz1568/getInfo.php?workbook=06_02.xlsx&amp;sheet=A0&amp;row=725&amp;col=12&amp;number=497.6&amp;sourceID=30","497.6")</f>
        <v>497.6</v>
      </c>
      <c r="M725" s="4" t="str">
        <f>HYPERLINK("http://141.218.60.56/~jnz1568/getInfo.php?workbook=06_02.xlsx&amp;sheet=A0&amp;row=725&amp;col=13&amp;number=&amp;sourceID=30","")</f>
        <v/>
      </c>
      <c r="N725" s="4" t="str">
        <f>HYPERLINK("http://141.218.60.56/~jnz1568/getInfo.php?workbook=06_02.xlsx&amp;sheet=A0&amp;row=725&amp;col=14&amp;number=&amp;sourceID=30","")</f>
        <v/>
      </c>
      <c r="O725" s="4" t="str">
        <f>HYPERLINK("http://141.218.60.56/~jnz1568/getInfo.php?workbook=06_02.xlsx&amp;sheet=A0&amp;row=725&amp;col=15&amp;number=&amp;sourceID=32","")</f>
        <v/>
      </c>
      <c r="P725" s="4" t="str">
        <f>HYPERLINK("http://141.218.60.56/~jnz1568/getInfo.php?workbook=06_02.xlsx&amp;sheet=A0&amp;row=725&amp;col=16&amp;number=54.6&amp;sourceID=32","54.6")</f>
        <v>54.6</v>
      </c>
      <c r="Q725" s="4" t="str">
        <f>HYPERLINK("http://141.218.60.56/~jnz1568/getInfo.php?workbook=06_02.xlsx&amp;sheet=A0&amp;row=725&amp;col=17&amp;number=&amp;sourceID=32","")</f>
        <v/>
      </c>
      <c r="R725" s="4" t="str">
        <f>HYPERLINK("http://141.218.60.56/~jnz1568/getInfo.php?workbook=06_02.xlsx&amp;sheet=A0&amp;row=725&amp;col=18&amp;number=&amp;sourceID=32","")</f>
        <v/>
      </c>
    </row>
    <row r="726" spans="1:18">
      <c r="A726" s="3">
        <v>6</v>
      </c>
      <c r="B726" s="3">
        <v>2</v>
      </c>
      <c r="C726" s="3">
        <v>43</v>
      </c>
      <c r="D726" s="3">
        <v>18</v>
      </c>
      <c r="E726" s="3">
        <f>((1/(INDEX(E0!J$4:J$52,C726,1)-INDEX(E0!J$4:J$52,D726,1))))*100000000</f>
        <v>0</v>
      </c>
      <c r="F726" s="4" t="str">
        <f>HYPERLINK("http://141.218.60.56/~jnz1568/getInfo.php?workbook=06_02.xlsx&amp;sheet=A0&amp;row=726&amp;col=6&amp;number=&amp;sourceID=27","")</f>
        <v/>
      </c>
      <c r="G726" s="4" t="str">
        <f>HYPERLINK("http://141.218.60.56/~jnz1568/getInfo.php?workbook=06_02.xlsx&amp;sheet=A0&amp;row=726&amp;col=7&amp;number=&amp;sourceID=34","")</f>
        <v/>
      </c>
      <c r="H726" s="4" t="str">
        <f>HYPERLINK("http://141.218.60.56/~jnz1568/getInfo.php?workbook=06_02.xlsx&amp;sheet=A0&amp;row=726&amp;col=8&amp;number=&amp;sourceID=34","")</f>
        <v/>
      </c>
      <c r="I726" s="4" t="str">
        <f>HYPERLINK("http://141.218.60.56/~jnz1568/getInfo.php?workbook=06_02.xlsx&amp;sheet=A0&amp;row=726&amp;col=9&amp;number=&amp;sourceID=34","")</f>
        <v/>
      </c>
      <c r="J726" s="4" t="str">
        <f>HYPERLINK("http://141.218.60.56/~jnz1568/getInfo.php?workbook=06_02.xlsx&amp;sheet=A0&amp;row=726&amp;col=10&amp;number=&amp;sourceID=34","")</f>
        <v/>
      </c>
      <c r="K726" s="4" t="str">
        <f>HYPERLINK("http://141.218.60.56/~jnz1568/getInfo.php?workbook=06_02.xlsx&amp;sheet=A0&amp;row=726&amp;col=11&amp;number=&amp;sourceID=30","")</f>
        <v/>
      </c>
      <c r="L726" s="4" t="str">
        <f>HYPERLINK("http://141.218.60.56/~jnz1568/getInfo.php?workbook=06_02.xlsx&amp;sheet=A0&amp;row=726&amp;col=12&amp;number=&amp;sourceID=30","")</f>
        <v/>
      </c>
      <c r="M726" s="4" t="str">
        <f>HYPERLINK("http://141.218.60.56/~jnz1568/getInfo.php?workbook=06_02.xlsx&amp;sheet=A0&amp;row=726&amp;col=13&amp;number=&amp;sourceID=30","")</f>
        <v/>
      </c>
      <c r="N726" s="4" t="str">
        <f>HYPERLINK("http://141.218.60.56/~jnz1568/getInfo.php?workbook=06_02.xlsx&amp;sheet=A0&amp;row=726&amp;col=14&amp;number=1.429e-10&amp;sourceID=30","1.429e-10")</f>
        <v>1.429e-10</v>
      </c>
      <c r="O726" s="4" t="str">
        <f>HYPERLINK("http://141.218.60.56/~jnz1568/getInfo.php?workbook=06_02.xlsx&amp;sheet=A0&amp;row=726&amp;col=15&amp;number=&amp;sourceID=32","")</f>
        <v/>
      </c>
      <c r="P726" s="4" t="str">
        <f>HYPERLINK("http://141.218.60.56/~jnz1568/getInfo.php?workbook=06_02.xlsx&amp;sheet=A0&amp;row=726&amp;col=16&amp;number=&amp;sourceID=32","")</f>
        <v/>
      </c>
      <c r="Q726" s="4" t="str">
        <f>HYPERLINK("http://141.218.60.56/~jnz1568/getInfo.php?workbook=06_02.xlsx&amp;sheet=A0&amp;row=726&amp;col=17&amp;number=&amp;sourceID=32","")</f>
        <v/>
      </c>
      <c r="R726" s="4" t="str">
        <f>HYPERLINK("http://141.218.60.56/~jnz1568/getInfo.php?workbook=06_02.xlsx&amp;sheet=A0&amp;row=726&amp;col=18&amp;number=5.32e-13&amp;sourceID=32","5.32e-13")</f>
        <v>5.32e-13</v>
      </c>
    </row>
    <row r="727" spans="1:18">
      <c r="A727" s="3">
        <v>6</v>
      </c>
      <c r="B727" s="3">
        <v>2</v>
      </c>
      <c r="C727" s="3">
        <v>43</v>
      </c>
      <c r="D727" s="3">
        <v>21</v>
      </c>
      <c r="E727" s="3">
        <f>((1/(INDEX(E0!J$4:J$52,C727,1)-INDEX(E0!J$4:J$52,D727,1))))*100000000</f>
        <v>0</v>
      </c>
      <c r="F727" s="4" t="str">
        <f>HYPERLINK("http://141.218.60.56/~jnz1568/getInfo.php?workbook=06_02.xlsx&amp;sheet=A0&amp;row=727&amp;col=6&amp;number=&amp;sourceID=27","")</f>
        <v/>
      </c>
      <c r="G727" s="4" t="str">
        <f>HYPERLINK("http://141.218.60.56/~jnz1568/getInfo.php?workbook=06_02.xlsx&amp;sheet=A0&amp;row=727&amp;col=7&amp;number=&amp;sourceID=34","")</f>
        <v/>
      </c>
      <c r="H727" s="4" t="str">
        <f>HYPERLINK("http://141.218.60.56/~jnz1568/getInfo.php?workbook=06_02.xlsx&amp;sheet=A0&amp;row=727&amp;col=8&amp;number=&amp;sourceID=34","")</f>
        <v/>
      </c>
      <c r="I727" s="4" t="str">
        <f>HYPERLINK("http://141.218.60.56/~jnz1568/getInfo.php?workbook=06_02.xlsx&amp;sheet=A0&amp;row=727&amp;col=9&amp;number=&amp;sourceID=34","")</f>
        <v/>
      </c>
      <c r="J727" s="4" t="str">
        <f>HYPERLINK("http://141.218.60.56/~jnz1568/getInfo.php?workbook=06_02.xlsx&amp;sheet=A0&amp;row=727&amp;col=10&amp;number=&amp;sourceID=34","")</f>
        <v/>
      </c>
      <c r="K727" s="4" t="str">
        <f>HYPERLINK("http://141.218.60.56/~jnz1568/getInfo.php?workbook=06_02.xlsx&amp;sheet=A0&amp;row=727&amp;col=11&amp;number=&amp;sourceID=30","")</f>
        <v/>
      </c>
      <c r="L727" s="4" t="str">
        <f>HYPERLINK("http://141.218.60.56/~jnz1568/getInfo.php?workbook=06_02.xlsx&amp;sheet=A0&amp;row=727&amp;col=12&amp;number=3006&amp;sourceID=30","3006")</f>
        <v>3006</v>
      </c>
      <c r="M727" s="4" t="str">
        <f>HYPERLINK("http://141.218.60.56/~jnz1568/getInfo.php?workbook=06_02.xlsx&amp;sheet=A0&amp;row=727&amp;col=13&amp;number=&amp;sourceID=30","")</f>
        <v/>
      </c>
      <c r="N727" s="4" t="str">
        <f>HYPERLINK("http://141.218.60.56/~jnz1568/getInfo.php?workbook=06_02.xlsx&amp;sheet=A0&amp;row=727&amp;col=14&amp;number=&amp;sourceID=30","")</f>
        <v/>
      </c>
      <c r="O727" s="4" t="str">
        <f>HYPERLINK("http://141.218.60.56/~jnz1568/getInfo.php?workbook=06_02.xlsx&amp;sheet=A0&amp;row=727&amp;col=15&amp;number=&amp;sourceID=32","")</f>
        <v/>
      </c>
      <c r="P727" s="4" t="str">
        <f>HYPERLINK("http://141.218.60.56/~jnz1568/getInfo.php?workbook=06_02.xlsx&amp;sheet=A0&amp;row=727&amp;col=16&amp;number=7548&amp;sourceID=32","7548")</f>
        <v>7548</v>
      </c>
      <c r="Q727" s="4" t="str">
        <f>HYPERLINK("http://141.218.60.56/~jnz1568/getInfo.php?workbook=06_02.xlsx&amp;sheet=A0&amp;row=727&amp;col=17&amp;number=&amp;sourceID=32","")</f>
        <v/>
      </c>
      <c r="R727" s="4" t="str">
        <f>HYPERLINK("http://141.218.60.56/~jnz1568/getInfo.php?workbook=06_02.xlsx&amp;sheet=A0&amp;row=727&amp;col=18&amp;number=&amp;sourceID=32","")</f>
        <v/>
      </c>
    </row>
    <row r="728" spans="1:18">
      <c r="A728" s="3">
        <v>6</v>
      </c>
      <c r="B728" s="3">
        <v>2</v>
      </c>
      <c r="C728" s="3">
        <v>43</v>
      </c>
      <c r="D728" s="3">
        <v>22</v>
      </c>
      <c r="E728" s="3">
        <f>((1/(INDEX(E0!J$4:J$52,C728,1)-INDEX(E0!J$4:J$52,D728,1))))*100000000</f>
        <v>0</v>
      </c>
      <c r="F728" s="4" t="str">
        <f>HYPERLINK("http://141.218.60.56/~jnz1568/getInfo.php?workbook=06_02.xlsx&amp;sheet=A0&amp;row=728&amp;col=6&amp;number=&amp;sourceID=27","")</f>
        <v/>
      </c>
      <c r="G728" s="4" t="str">
        <f>HYPERLINK("http://141.218.60.56/~jnz1568/getInfo.php?workbook=06_02.xlsx&amp;sheet=A0&amp;row=728&amp;col=7&amp;number=&amp;sourceID=34","")</f>
        <v/>
      </c>
      <c r="H728" s="4" t="str">
        <f>HYPERLINK("http://141.218.60.56/~jnz1568/getInfo.php?workbook=06_02.xlsx&amp;sheet=A0&amp;row=728&amp;col=8&amp;number=&amp;sourceID=34","")</f>
        <v/>
      </c>
      <c r="I728" s="4" t="str">
        <f>HYPERLINK("http://141.218.60.56/~jnz1568/getInfo.php?workbook=06_02.xlsx&amp;sheet=A0&amp;row=728&amp;col=9&amp;number=&amp;sourceID=34","")</f>
        <v/>
      </c>
      <c r="J728" s="4" t="str">
        <f>HYPERLINK("http://141.218.60.56/~jnz1568/getInfo.php?workbook=06_02.xlsx&amp;sheet=A0&amp;row=728&amp;col=10&amp;number=&amp;sourceID=34","")</f>
        <v/>
      </c>
      <c r="K728" s="4" t="str">
        <f>HYPERLINK("http://141.218.60.56/~jnz1568/getInfo.php?workbook=06_02.xlsx&amp;sheet=A0&amp;row=728&amp;col=11&amp;number=&amp;sourceID=30","")</f>
        <v/>
      </c>
      <c r="L728" s="4" t="str">
        <f>HYPERLINK("http://141.218.60.56/~jnz1568/getInfo.php?workbook=06_02.xlsx&amp;sheet=A0&amp;row=728&amp;col=12&amp;number=1534&amp;sourceID=30","1534")</f>
        <v>1534</v>
      </c>
      <c r="M728" s="4" t="str">
        <f>HYPERLINK("http://141.218.60.56/~jnz1568/getInfo.php?workbook=06_02.xlsx&amp;sheet=A0&amp;row=728&amp;col=13&amp;number=2.482e-08&amp;sourceID=30","2.482e-08")</f>
        <v>2.482e-08</v>
      </c>
      <c r="N728" s="4" t="str">
        <f>HYPERLINK("http://141.218.60.56/~jnz1568/getInfo.php?workbook=06_02.xlsx&amp;sheet=A0&amp;row=728&amp;col=14&amp;number=&amp;sourceID=30","")</f>
        <v/>
      </c>
      <c r="O728" s="4" t="str">
        <f>HYPERLINK("http://141.218.60.56/~jnz1568/getInfo.php?workbook=06_02.xlsx&amp;sheet=A0&amp;row=728&amp;col=15&amp;number=&amp;sourceID=32","")</f>
        <v/>
      </c>
      <c r="P728" s="4" t="str">
        <f>HYPERLINK("http://141.218.60.56/~jnz1568/getInfo.php?workbook=06_02.xlsx&amp;sheet=A0&amp;row=728&amp;col=16&amp;number=3737&amp;sourceID=32","3737")</f>
        <v>3737</v>
      </c>
      <c r="Q728" s="4" t="str">
        <f>HYPERLINK("http://141.218.60.56/~jnz1568/getInfo.php?workbook=06_02.xlsx&amp;sheet=A0&amp;row=728&amp;col=17&amp;number=5.57e-07&amp;sourceID=32","5.57e-07")</f>
        <v>5.57e-07</v>
      </c>
      <c r="R728" s="4" t="str">
        <f>HYPERLINK("http://141.218.60.56/~jnz1568/getInfo.php?workbook=06_02.xlsx&amp;sheet=A0&amp;row=728&amp;col=18&amp;number=&amp;sourceID=32","")</f>
        <v/>
      </c>
    </row>
    <row r="729" spans="1:18">
      <c r="A729" s="3">
        <v>6</v>
      </c>
      <c r="B729" s="3">
        <v>2</v>
      </c>
      <c r="C729" s="3">
        <v>43</v>
      </c>
      <c r="D729" s="3">
        <v>23</v>
      </c>
      <c r="E729" s="3">
        <f>((1/(INDEX(E0!J$4:J$52,C729,1)-INDEX(E0!J$4:J$52,D729,1))))*100000000</f>
        <v>0</v>
      </c>
      <c r="F729" s="4" t="str">
        <f>HYPERLINK("http://141.218.60.56/~jnz1568/getInfo.php?workbook=06_02.xlsx&amp;sheet=A0&amp;row=729&amp;col=6&amp;number=&amp;sourceID=27","")</f>
        <v/>
      </c>
      <c r="G729" s="4" t="str">
        <f>HYPERLINK("http://141.218.60.56/~jnz1568/getInfo.php?workbook=06_02.xlsx&amp;sheet=A0&amp;row=729&amp;col=7&amp;number=&amp;sourceID=34","")</f>
        <v/>
      </c>
      <c r="H729" s="4" t="str">
        <f>HYPERLINK("http://141.218.60.56/~jnz1568/getInfo.php?workbook=06_02.xlsx&amp;sheet=A0&amp;row=729&amp;col=8&amp;number=&amp;sourceID=34","")</f>
        <v/>
      </c>
      <c r="I729" s="4" t="str">
        <f>HYPERLINK("http://141.218.60.56/~jnz1568/getInfo.php?workbook=06_02.xlsx&amp;sheet=A0&amp;row=729&amp;col=9&amp;number=&amp;sourceID=34","")</f>
        <v/>
      </c>
      <c r="J729" s="4" t="str">
        <f>HYPERLINK("http://141.218.60.56/~jnz1568/getInfo.php?workbook=06_02.xlsx&amp;sheet=A0&amp;row=729&amp;col=10&amp;number=&amp;sourceID=34","")</f>
        <v/>
      </c>
      <c r="K729" s="4" t="str">
        <f>HYPERLINK("http://141.218.60.56/~jnz1568/getInfo.php?workbook=06_02.xlsx&amp;sheet=A0&amp;row=729&amp;col=11&amp;number=&amp;sourceID=30","")</f>
        <v/>
      </c>
      <c r="L729" s="4" t="str">
        <f>HYPERLINK("http://141.218.60.56/~jnz1568/getInfo.php?workbook=06_02.xlsx&amp;sheet=A0&amp;row=729&amp;col=12&amp;number=&amp;sourceID=30","")</f>
        <v/>
      </c>
      <c r="M729" s="4" t="str">
        <f>HYPERLINK("http://141.218.60.56/~jnz1568/getInfo.php?workbook=06_02.xlsx&amp;sheet=A0&amp;row=729&amp;col=13&amp;number=&amp;sourceID=30","")</f>
        <v/>
      </c>
      <c r="N729" s="4" t="str">
        <f>HYPERLINK("http://141.218.60.56/~jnz1568/getInfo.php?workbook=06_02.xlsx&amp;sheet=A0&amp;row=729&amp;col=14&amp;number=0.01808&amp;sourceID=30","0.01808")</f>
        <v>0.01808</v>
      </c>
      <c r="O729" s="4" t="str">
        <f>HYPERLINK("http://141.218.60.56/~jnz1568/getInfo.php?workbook=06_02.xlsx&amp;sheet=A0&amp;row=729&amp;col=15&amp;number=&amp;sourceID=32","")</f>
        <v/>
      </c>
      <c r="P729" s="4" t="str">
        <f>HYPERLINK("http://141.218.60.56/~jnz1568/getInfo.php?workbook=06_02.xlsx&amp;sheet=A0&amp;row=729&amp;col=16&amp;number=&amp;sourceID=32","")</f>
        <v/>
      </c>
      <c r="Q729" s="4" t="str">
        <f>HYPERLINK("http://141.218.60.56/~jnz1568/getInfo.php?workbook=06_02.xlsx&amp;sheet=A0&amp;row=729&amp;col=17&amp;number=&amp;sourceID=32","")</f>
        <v/>
      </c>
      <c r="R729" s="4" t="str">
        <f>HYPERLINK("http://141.218.60.56/~jnz1568/getInfo.php?workbook=06_02.xlsx&amp;sheet=A0&amp;row=729&amp;col=18&amp;number=0.000948&amp;sourceID=32","0.000948")</f>
        <v>0.000948</v>
      </c>
    </row>
    <row r="730" spans="1:18">
      <c r="A730" s="3">
        <v>6</v>
      </c>
      <c r="B730" s="3">
        <v>2</v>
      </c>
      <c r="C730" s="3">
        <v>43</v>
      </c>
      <c r="D730" s="3">
        <v>24</v>
      </c>
      <c r="E730" s="3">
        <f>((1/(INDEX(E0!J$4:J$52,C730,1)-INDEX(E0!J$4:J$52,D730,1))))*100000000</f>
        <v>0</v>
      </c>
      <c r="F730" s="4" t="str">
        <f>HYPERLINK("http://141.218.60.56/~jnz1568/getInfo.php?workbook=06_02.xlsx&amp;sheet=A0&amp;row=730&amp;col=6&amp;number=&amp;sourceID=27","")</f>
        <v/>
      </c>
      <c r="G730" s="4" t="str">
        <f>HYPERLINK("http://141.218.60.56/~jnz1568/getInfo.php?workbook=06_02.xlsx&amp;sheet=A0&amp;row=730&amp;col=7&amp;number=&amp;sourceID=34","")</f>
        <v/>
      </c>
      <c r="H730" s="4" t="str">
        <f>HYPERLINK("http://141.218.60.56/~jnz1568/getInfo.php?workbook=06_02.xlsx&amp;sheet=A0&amp;row=730&amp;col=8&amp;number=&amp;sourceID=34","")</f>
        <v/>
      </c>
      <c r="I730" s="4" t="str">
        <f>HYPERLINK("http://141.218.60.56/~jnz1568/getInfo.php?workbook=06_02.xlsx&amp;sheet=A0&amp;row=730&amp;col=9&amp;number=&amp;sourceID=34","")</f>
        <v/>
      </c>
      <c r="J730" s="4" t="str">
        <f>HYPERLINK("http://141.218.60.56/~jnz1568/getInfo.php?workbook=06_02.xlsx&amp;sheet=A0&amp;row=730&amp;col=10&amp;number=&amp;sourceID=34","")</f>
        <v/>
      </c>
      <c r="K730" s="4" t="str">
        <f>HYPERLINK("http://141.218.60.56/~jnz1568/getInfo.php?workbook=06_02.xlsx&amp;sheet=A0&amp;row=730&amp;col=11&amp;number=352100000&amp;sourceID=30","352100000")</f>
        <v>352100000</v>
      </c>
      <c r="L730" s="4" t="str">
        <f>HYPERLINK("http://141.218.60.56/~jnz1568/getInfo.php?workbook=06_02.xlsx&amp;sheet=A0&amp;row=730&amp;col=12&amp;number=&amp;sourceID=30","")</f>
        <v/>
      </c>
      <c r="M730" s="4" t="str">
        <f>HYPERLINK("http://141.218.60.56/~jnz1568/getInfo.php?workbook=06_02.xlsx&amp;sheet=A0&amp;row=730&amp;col=13&amp;number=&amp;sourceID=30","")</f>
        <v/>
      </c>
      <c r="N730" s="4" t="str">
        <f>HYPERLINK("http://141.218.60.56/~jnz1568/getInfo.php?workbook=06_02.xlsx&amp;sheet=A0&amp;row=730&amp;col=14&amp;number=0.05214&amp;sourceID=30","0.05214")</f>
        <v>0.05214</v>
      </c>
      <c r="O730" s="4" t="str">
        <f>HYPERLINK("http://141.218.60.56/~jnz1568/getInfo.php?workbook=06_02.xlsx&amp;sheet=A0&amp;row=730&amp;col=15&amp;number=1057000000&amp;sourceID=32","1057000000")</f>
        <v>1057000000</v>
      </c>
      <c r="P730" s="4" t="str">
        <f>HYPERLINK("http://141.218.60.56/~jnz1568/getInfo.php?workbook=06_02.xlsx&amp;sheet=A0&amp;row=730&amp;col=16&amp;number=&amp;sourceID=32","")</f>
        <v/>
      </c>
      <c r="Q730" s="4" t="str">
        <f>HYPERLINK("http://141.218.60.56/~jnz1568/getInfo.php?workbook=06_02.xlsx&amp;sheet=A0&amp;row=730&amp;col=17&amp;number=&amp;sourceID=32","")</f>
        <v/>
      </c>
      <c r="R730" s="4" t="str">
        <f>HYPERLINK("http://141.218.60.56/~jnz1568/getInfo.php?workbook=06_02.xlsx&amp;sheet=A0&amp;row=730&amp;col=18&amp;number=0.01447&amp;sourceID=32","0.01447")</f>
        <v>0.01447</v>
      </c>
    </row>
    <row r="731" spans="1:18">
      <c r="A731" s="3">
        <v>6</v>
      </c>
      <c r="B731" s="3">
        <v>2</v>
      </c>
      <c r="C731" s="3">
        <v>43</v>
      </c>
      <c r="D731" s="3">
        <v>25</v>
      </c>
      <c r="E731" s="3">
        <f>((1/(INDEX(E0!J$4:J$52,C731,1)-INDEX(E0!J$4:J$52,D731,1))))*100000000</f>
        <v>0</v>
      </c>
      <c r="F731" s="4" t="str">
        <f>HYPERLINK("http://141.218.60.56/~jnz1568/getInfo.php?workbook=06_02.xlsx&amp;sheet=A0&amp;row=731&amp;col=6&amp;number=&amp;sourceID=27","")</f>
        <v/>
      </c>
      <c r="G731" s="4" t="str">
        <f>HYPERLINK("http://141.218.60.56/~jnz1568/getInfo.php?workbook=06_02.xlsx&amp;sheet=A0&amp;row=731&amp;col=7&amp;number=&amp;sourceID=34","")</f>
        <v/>
      </c>
      <c r="H731" s="4" t="str">
        <f>HYPERLINK("http://141.218.60.56/~jnz1568/getInfo.php?workbook=06_02.xlsx&amp;sheet=A0&amp;row=731&amp;col=8&amp;number=&amp;sourceID=34","")</f>
        <v/>
      </c>
      <c r="I731" s="4" t="str">
        <f>HYPERLINK("http://141.218.60.56/~jnz1568/getInfo.php?workbook=06_02.xlsx&amp;sheet=A0&amp;row=731&amp;col=9&amp;number=&amp;sourceID=34","")</f>
        <v/>
      </c>
      <c r="J731" s="4" t="str">
        <f>HYPERLINK("http://141.218.60.56/~jnz1568/getInfo.php?workbook=06_02.xlsx&amp;sheet=A0&amp;row=731&amp;col=10&amp;number=&amp;sourceID=34","")</f>
        <v/>
      </c>
      <c r="K731" s="4" t="str">
        <f>HYPERLINK("http://141.218.60.56/~jnz1568/getInfo.php?workbook=06_02.xlsx&amp;sheet=A0&amp;row=731&amp;col=11&amp;number=51240000&amp;sourceID=30","51240000")</f>
        <v>51240000</v>
      </c>
      <c r="L731" s="4" t="str">
        <f>HYPERLINK("http://141.218.60.56/~jnz1568/getInfo.php?workbook=06_02.xlsx&amp;sheet=A0&amp;row=731&amp;col=12&amp;number=&amp;sourceID=30","")</f>
        <v/>
      </c>
      <c r="M731" s="4" t="str">
        <f>HYPERLINK("http://141.218.60.56/~jnz1568/getInfo.php?workbook=06_02.xlsx&amp;sheet=A0&amp;row=731&amp;col=13&amp;number=&amp;sourceID=30","")</f>
        <v/>
      </c>
      <c r="N731" s="4" t="str">
        <f>HYPERLINK("http://141.218.60.56/~jnz1568/getInfo.php?workbook=06_02.xlsx&amp;sheet=A0&amp;row=731&amp;col=14&amp;number=0.01866&amp;sourceID=30","0.01866")</f>
        <v>0.01866</v>
      </c>
      <c r="O731" s="4" t="str">
        <f>HYPERLINK("http://141.218.60.56/~jnz1568/getInfo.php?workbook=06_02.xlsx&amp;sheet=A0&amp;row=731&amp;col=15&amp;number=123300000&amp;sourceID=32","123300000")</f>
        <v>123300000</v>
      </c>
      <c r="P731" s="4" t="str">
        <f>HYPERLINK("http://141.218.60.56/~jnz1568/getInfo.php?workbook=06_02.xlsx&amp;sheet=A0&amp;row=731&amp;col=16&amp;number=&amp;sourceID=32","")</f>
        <v/>
      </c>
      <c r="Q731" s="4" t="str">
        <f>HYPERLINK("http://141.218.60.56/~jnz1568/getInfo.php?workbook=06_02.xlsx&amp;sheet=A0&amp;row=731&amp;col=17&amp;number=&amp;sourceID=32","")</f>
        <v/>
      </c>
      <c r="R731" s="4" t="str">
        <f>HYPERLINK("http://141.218.60.56/~jnz1568/getInfo.php?workbook=06_02.xlsx&amp;sheet=A0&amp;row=731&amp;col=18&amp;number=0.0002737&amp;sourceID=32","0.0002737")</f>
        <v>0.0002737</v>
      </c>
    </row>
    <row r="732" spans="1:18">
      <c r="A732" s="3">
        <v>6</v>
      </c>
      <c r="B732" s="3">
        <v>2</v>
      </c>
      <c r="C732" s="3">
        <v>43</v>
      </c>
      <c r="D732" s="3">
        <v>26</v>
      </c>
      <c r="E732" s="3">
        <f>((1/(INDEX(E0!J$4:J$52,C732,1)-INDEX(E0!J$4:J$52,D732,1))))*100000000</f>
        <v>0</v>
      </c>
      <c r="F732" s="4" t="str">
        <f>HYPERLINK("http://141.218.60.56/~jnz1568/getInfo.php?workbook=06_02.xlsx&amp;sheet=A0&amp;row=732&amp;col=6&amp;number=&amp;sourceID=27","")</f>
        <v/>
      </c>
      <c r="G732" s="4" t="str">
        <f>HYPERLINK("http://141.218.60.56/~jnz1568/getInfo.php?workbook=06_02.xlsx&amp;sheet=A0&amp;row=732&amp;col=7&amp;number=&amp;sourceID=34","")</f>
        <v/>
      </c>
      <c r="H732" s="4" t="str">
        <f>HYPERLINK("http://141.218.60.56/~jnz1568/getInfo.php?workbook=06_02.xlsx&amp;sheet=A0&amp;row=732&amp;col=8&amp;number=&amp;sourceID=34","")</f>
        <v/>
      </c>
      <c r="I732" s="4" t="str">
        <f>HYPERLINK("http://141.218.60.56/~jnz1568/getInfo.php?workbook=06_02.xlsx&amp;sheet=A0&amp;row=732&amp;col=9&amp;number=&amp;sourceID=34","")</f>
        <v/>
      </c>
      <c r="J732" s="4" t="str">
        <f>HYPERLINK("http://141.218.60.56/~jnz1568/getInfo.php?workbook=06_02.xlsx&amp;sheet=A0&amp;row=732&amp;col=10&amp;number=&amp;sourceID=34","")</f>
        <v/>
      </c>
      <c r="K732" s="4" t="str">
        <f>HYPERLINK("http://141.218.60.56/~jnz1568/getInfo.php?workbook=06_02.xlsx&amp;sheet=A0&amp;row=732&amp;col=11&amp;number=&amp;sourceID=30","")</f>
        <v/>
      </c>
      <c r="L732" s="4" t="str">
        <f>HYPERLINK("http://141.218.60.56/~jnz1568/getInfo.php?workbook=06_02.xlsx&amp;sheet=A0&amp;row=732&amp;col=12&amp;number=2024&amp;sourceID=30","2024")</f>
        <v>2024</v>
      </c>
      <c r="M732" s="4" t="str">
        <f>HYPERLINK("http://141.218.60.56/~jnz1568/getInfo.php?workbook=06_02.xlsx&amp;sheet=A0&amp;row=732&amp;col=13&amp;number=2.731e-05&amp;sourceID=30","2.731e-05")</f>
        <v>2.731e-05</v>
      </c>
      <c r="N732" s="4" t="str">
        <f>HYPERLINK("http://141.218.60.56/~jnz1568/getInfo.php?workbook=06_02.xlsx&amp;sheet=A0&amp;row=732&amp;col=14&amp;number=&amp;sourceID=30","")</f>
        <v/>
      </c>
      <c r="O732" s="4" t="str">
        <f>HYPERLINK("http://141.218.60.56/~jnz1568/getInfo.php?workbook=06_02.xlsx&amp;sheet=A0&amp;row=732&amp;col=15&amp;number=&amp;sourceID=32","")</f>
        <v/>
      </c>
      <c r="P732" s="4" t="str">
        <f>HYPERLINK("http://141.218.60.56/~jnz1568/getInfo.php?workbook=06_02.xlsx&amp;sheet=A0&amp;row=732&amp;col=16&amp;number=1659&amp;sourceID=32","1659")</f>
        <v>1659</v>
      </c>
      <c r="Q732" s="4" t="str">
        <f>HYPERLINK("http://141.218.60.56/~jnz1568/getInfo.php?workbook=06_02.xlsx&amp;sheet=A0&amp;row=732&amp;col=17&amp;number=1.3e-05&amp;sourceID=32","1.3e-05")</f>
        <v>1.3e-05</v>
      </c>
      <c r="R732" s="4" t="str">
        <f>HYPERLINK("http://141.218.60.56/~jnz1568/getInfo.php?workbook=06_02.xlsx&amp;sheet=A0&amp;row=732&amp;col=18&amp;number=&amp;sourceID=32","")</f>
        <v/>
      </c>
    </row>
    <row r="733" spans="1:18">
      <c r="A733" s="3">
        <v>6</v>
      </c>
      <c r="B733" s="3">
        <v>2</v>
      </c>
      <c r="C733" s="3">
        <v>43</v>
      </c>
      <c r="D733" s="3">
        <v>27</v>
      </c>
      <c r="E733" s="3">
        <f>((1/(INDEX(E0!J$4:J$52,C733,1)-INDEX(E0!J$4:J$52,D733,1))))*100000000</f>
        <v>0</v>
      </c>
      <c r="F733" s="4" t="str">
        <f>HYPERLINK("http://141.218.60.56/~jnz1568/getInfo.php?workbook=06_02.xlsx&amp;sheet=A0&amp;row=733&amp;col=6&amp;number=&amp;sourceID=27","")</f>
        <v/>
      </c>
      <c r="G733" s="4" t="str">
        <f>HYPERLINK("http://141.218.60.56/~jnz1568/getInfo.php?workbook=06_02.xlsx&amp;sheet=A0&amp;row=733&amp;col=7&amp;number=&amp;sourceID=34","")</f>
        <v/>
      </c>
      <c r="H733" s="4" t="str">
        <f>HYPERLINK("http://141.218.60.56/~jnz1568/getInfo.php?workbook=06_02.xlsx&amp;sheet=A0&amp;row=733&amp;col=8&amp;number=&amp;sourceID=34","")</f>
        <v/>
      </c>
      <c r="I733" s="4" t="str">
        <f>HYPERLINK("http://141.218.60.56/~jnz1568/getInfo.php?workbook=06_02.xlsx&amp;sheet=A0&amp;row=733&amp;col=9&amp;number=&amp;sourceID=34","")</f>
        <v/>
      </c>
      <c r="J733" s="4" t="str">
        <f>HYPERLINK("http://141.218.60.56/~jnz1568/getInfo.php?workbook=06_02.xlsx&amp;sheet=A0&amp;row=733&amp;col=10&amp;number=&amp;sourceID=34","")</f>
        <v/>
      </c>
      <c r="K733" s="4" t="str">
        <f>HYPERLINK("http://141.218.60.56/~jnz1568/getInfo.php?workbook=06_02.xlsx&amp;sheet=A0&amp;row=733&amp;col=11&amp;number=&amp;sourceID=30","")</f>
        <v/>
      </c>
      <c r="L733" s="4" t="str">
        <f>HYPERLINK("http://141.218.60.56/~jnz1568/getInfo.php?workbook=06_02.xlsx&amp;sheet=A0&amp;row=733&amp;col=12&amp;number=146.2&amp;sourceID=30","146.2")</f>
        <v>146.2</v>
      </c>
      <c r="M733" s="4" t="str">
        <f>HYPERLINK("http://141.218.60.56/~jnz1568/getInfo.php?workbook=06_02.xlsx&amp;sheet=A0&amp;row=733&amp;col=13&amp;number=2.591e-06&amp;sourceID=30","2.591e-06")</f>
        <v>2.591e-06</v>
      </c>
      <c r="N733" s="4" t="str">
        <f>HYPERLINK("http://141.218.60.56/~jnz1568/getInfo.php?workbook=06_02.xlsx&amp;sheet=A0&amp;row=733&amp;col=14&amp;number=&amp;sourceID=30","")</f>
        <v/>
      </c>
      <c r="O733" s="4" t="str">
        <f>HYPERLINK("http://141.218.60.56/~jnz1568/getInfo.php?workbook=06_02.xlsx&amp;sheet=A0&amp;row=733&amp;col=15&amp;number=&amp;sourceID=32","")</f>
        <v/>
      </c>
      <c r="P733" s="4" t="str">
        <f>HYPERLINK("http://141.218.60.56/~jnz1568/getInfo.php?workbook=06_02.xlsx&amp;sheet=A0&amp;row=733&amp;col=16&amp;number=351.9&amp;sourceID=32","351.9")</f>
        <v>351.9</v>
      </c>
      <c r="Q733" s="4" t="str">
        <f>HYPERLINK("http://141.218.60.56/~jnz1568/getInfo.php?workbook=06_02.xlsx&amp;sheet=A0&amp;row=733&amp;col=17&amp;number=2.62e-08&amp;sourceID=32","2.62e-08")</f>
        <v>2.62e-08</v>
      </c>
      <c r="R733" s="4" t="str">
        <f>HYPERLINK("http://141.218.60.56/~jnz1568/getInfo.php?workbook=06_02.xlsx&amp;sheet=A0&amp;row=733&amp;col=18&amp;number=&amp;sourceID=32","")</f>
        <v/>
      </c>
    </row>
    <row r="734" spans="1:18">
      <c r="A734" s="3">
        <v>6</v>
      </c>
      <c r="B734" s="3">
        <v>2</v>
      </c>
      <c r="C734" s="3">
        <v>43</v>
      </c>
      <c r="D734" s="3">
        <v>28</v>
      </c>
      <c r="E734" s="3">
        <f>((1/(INDEX(E0!J$4:J$52,C734,1)-INDEX(E0!J$4:J$52,D734,1))))*100000000</f>
        <v>0</v>
      </c>
      <c r="F734" s="4" t="str">
        <f>HYPERLINK("http://141.218.60.56/~jnz1568/getInfo.php?workbook=06_02.xlsx&amp;sheet=A0&amp;row=734&amp;col=6&amp;number=&amp;sourceID=27","")</f>
        <v/>
      </c>
      <c r="G734" s="4" t="str">
        <f>HYPERLINK("http://141.218.60.56/~jnz1568/getInfo.php?workbook=06_02.xlsx&amp;sheet=A0&amp;row=734&amp;col=7&amp;number=&amp;sourceID=34","")</f>
        <v/>
      </c>
      <c r="H734" s="4" t="str">
        <f>HYPERLINK("http://141.218.60.56/~jnz1568/getInfo.php?workbook=06_02.xlsx&amp;sheet=A0&amp;row=734&amp;col=8&amp;number=&amp;sourceID=34","")</f>
        <v/>
      </c>
      <c r="I734" s="4" t="str">
        <f>HYPERLINK("http://141.218.60.56/~jnz1568/getInfo.php?workbook=06_02.xlsx&amp;sheet=A0&amp;row=734&amp;col=9&amp;number=&amp;sourceID=34","")</f>
        <v/>
      </c>
      <c r="J734" s="4" t="str">
        <f>HYPERLINK("http://141.218.60.56/~jnz1568/getInfo.php?workbook=06_02.xlsx&amp;sheet=A0&amp;row=734&amp;col=10&amp;number=&amp;sourceID=34","")</f>
        <v/>
      </c>
      <c r="K734" s="4" t="str">
        <f>HYPERLINK("http://141.218.60.56/~jnz1568/getInfo.php?workbook=06_02.xlsx&amp;sheet=A0&amp;row=734&amp;col=11&amp;number=&amp;sourceID=30","")</f>
        <v/>
      </c>
      <c r="L734" s="4" t="str">
        <f>HYPERLINK("http://141.218.60.56/~jnz1568/getInfo.php?workbook=06_02.xlsx&amp;sheet=A0&amp;row=734&amp;col=12&amp;number=67.72&amp;sourceID=30","67.72")</f>
        <v>67.72</v>
      </c>
      <c r="M734" s="4" t="str">
        <f>HYPERLINK("http://141.218.60.56/~jnz1568/getInfo.php?workbook=06_02.xlsx&amp;sheet=A0&amp;row=734&amp;col=13&amp;number=3.845e-07&amp;sourceID=30","3.845e-07")</f>
        <v>3.845e-07</v>
      </c>
      <c r="N734" s="4" t="str">
        <f>HYPERLINK("http://141.218.60.56/~jnz1568/getInfo.php?workbook=06_02.xlsx&amp;sheet=A0&amp;row=734&amp;col=14&amp;number=&amp;sourceID=30","")</f>
        <v/>
      </c>
      <c r="O734" s="4" t="str">
        <f>HYPERLINK("http://141.218.60.56/~jnz1568/getInfo.php?workbook=06_02.xlsx&amp;sheet=A0&amp;row=734&amp;col=15&amp;number=&amp;sourceID=32","")</f>
        <v/>
      </c>
      <c r="P734" s="4" t="str">
        <f>HYPERLINK("http://141.218.60.56/~jnz1568/getInfo.php?workbook=06_02.xlsx&amp;sheet=A0&amp;row=734&amp;col=16&amp;number=13.14&amp;sourceID=32","13.14")</f>
        <v>13.14</v>
      </c>
      <c r="Q734" s="4" t="str">
        <f>HYPERLINK("http://141.218.60.56/~jnz1568/getInfo.php?workbook=06_02.xlsx&amp;sheet=A0&amp;row=734&amp;col=17&amp;number=1.416e-06&amp;sourceID=32","1.416e-06")</f>
        <v>1.416e-06</v>
      </c>
      <c r="R734" s="4" t="str">
        <f>HYPERLINK("http://141.218.60.56/~jnz1568/getInfo.php?workbook=06_02.xlsx&amp;sheet=A0&amp;row=734&amp;col=18&amp;number=&amp;sourceID=32","")</f>
        <v/>
      </c>
    </row>
    <row r="735" spans="1:18">
      <c r="A735" s="3">
        <v>6</v>
      </c>
      <c r="B735" s="3">
        <v>2</v>
      </c>
      <c r="C735" s="3">
        <v>43</v>
      </c>
      <c r="D735" s="3">
        <v>29</v>
      </c>
      <c r="E735" s="3">
        <f>((1/(INDEX(E0!J$4:J$52,C735,1)-INDEX(E0!J$4:J$52,D735,1))))*100000000</f>
        <v>0</v>
      </c>
      <c r="F735" s="4" t="str">
        <f>HYPERLINK("http://141.218.60.56/~jnz1568/getInfo.php?workbook=06_02.xlsx&amp;sheet=A0&amp;row=735&amp;col=6&amp;number=&amp;sourceID=27","")</f>
        <v/>
      </c>
      <c r="G735" s="4" t="str">
        <f>HYPERLINK("http://141.218.60.56/~jnz1568/getInfo.php?workbook=06_02.xlsx&amp;sheet=A0&amp;row=735&amp;col=7&amp;number=&amp;sourceID=34","")</f>
        <v/>
      </c>
      <c r="H735" s="4" t="str">
        <f>HYPERLINK("http://141.218.60.56/~jnz1568/getInfo.php?workbook=06_02.xlsx&amp;sheet=A0&amp;row=735&amp;col=8&amp;number=&amp;sourceID=34","")</f>
        <v/>
      </c>
      <c r="I735" s="4" t="str">
        <f>HYPERLINK("http://141.218.60.56/~jnz1568/getInfo.php?workbook=06_02.xlsx&amp;sheet=A0&amp;row=735&amp;col=9&amp;number=&amp;sourceID=34","")</f>
        <v/>
      </c>
      <c r="J735" s="4" t="str">
        <f>HYPERLINK("http://141.218.60.56/~jnz1568/getInfo.php?workbook=06_02.xlsx&amp;sheet=A0&amp;row=735&amp;col=10&amp;number=&amp;sourceID=34","")</f>
        <v/>
      </c>
      <c r="K735" s="4" t="str">
        <f>HYPERLINK("http://141.218.60.56/~jnz1568/getInfo.php?workbook=06_02.xlsx&amp;sheet=A0&amp;row=735&amp;col=11&amp;number=&amp;sourceID=30","")</f>
        <v/>
      </c>
      <c r="L735" s="4" t="str">
        <f>HYPERLINK("http://141.218.60.56/~jnz1568/getInfo.php?workbook=06_02.xlsx&amp;sheet=A0&amp;row=735&amp;col=12&amp;number=152.3&amp;sourceID=30","152.3")</f>
        <v>152.3</v>
      </c>
      <c r="M735" s="4" t="str">
        <f>HYPERLINK("http://141.218.60.56/~jnz1568/getInfo.php?workbook=06_02.xlsx&amp;sheet=A0&amp;row=735&amp;col=13&amp;number=5.694e-06&amp;sourceID=30","5.694e-06")</f>
        <v>5.694e-06</v>
      </c>
      <c r="N735" s="4" t="str">
        <f>HYPERLINK("http://141.218.60.56/~jnz1568/getInfo.php?workbook=06_02.xlsx&amp;sheet=A0&amp;row=735&amp;col=14&amp;number=&amp;sourceID=30","")</f>
        <v/>
      </c>
      <c r="O735" s="4" t="str">
        <f>HYPERLINK("http://141.218.60.56/~jnz1568/getInfo.php?workbook=06_02.xlsx&amp;sheet=A0&amp;row=735&amp;col=15&amp;number=&amp;sourceID=32","")</f>
        <v/>
      </c>
      <c r="P735" s="4" t="str">
        <f>HYPERLINK("http://141.218.60.56/~jnz1568/getInfo.php?workbook=06_02.xlsx&amp;sheet=A0&amp;row=735&amp;col=16&amp;number=&amp;sourceID=32","")</f>
        <v/>
      </c>
      <c r="Q735" s="4" t="str">
        <f>HYPERLINK("http://141.218.60.56/~jnz1568/getInfo.php?workbook=06_02.xlsx&amp;sheet=A0&amp;row=735&amp;col=17&amp;number=&amp;sourceID=32","")</f>
        <v/>
      </c>
      <c r="R735" s="4" t="str">
        <f>HYPERLINK("http://141.218.60.56/~jnz1568/getInfo.php?workbook=06_02.xlsx&amp;sheet=A0&amp;row=735&amp;col=18&amp;number=&amp;sourceID=32","")</f>
        <v/>
      </c>
    </row>
    <row r="736" spans="1:18">
      <c r="A736" s="3">
        <v>6</v>
      </c>
      <c r="B736" s="3">
        <v>2</v>
      </c>
      <c r="C736" s="3">
        <v>43</v>
      </c>
      <c r="D736" s="3">
        <v>30</v>
      </c>
      <c r="E736" s="3">
        <f>((1/(INDEX(E0!J$4:J$52,C736,1)-INDEX(E0!J$4:J$52,D736,1))))*100000000</f>
        <v>0</v>
      </c>
      <c r="F736" s="4" t="str">
        <f>HYPERLINK("http://141.218.60.56/~jnz1568/getInfo.php?workbook=06_02.xlsx&amp;sheet=A0&amp;row=736&amp;col=6&amp;number=&amp;sourceID=27","")</f>
        <v/>
      </c>
      <c r="G736" s="4" t="str">
        <f>HYPERLINK("http://141.218.60.56/~jnz1568/getInfo.php?workbook=06_02.xlsx&amp;sheet=A0&amp;row=736&amp;col=7&amp;number=&amp;sourceID=34","")</f>
        <v/>
      </c>
      <c r="H736" s="4" t="str">
        <f>HYPERLINK("http://141.218.60.56/~jnz1568/getInfo.php?workbook=06_02.xlsx&amp;sheet=A0&amp;row=736&amp;col=8&amp;number=&amp;sourceID=34","")</f>
        <v/>
      </c>
      <c r="I736" s="4" t="str">
        <f>HYPERLINK("http://141.218.60.56/~jnz1568/getInfo.php?workbook=06_02.xlsx&amp;sheet=A0&amp;row=736&amp;col=9&amp;number=&amp;sourceID=34","")</f>
        <v/>
      </c>
      <c r="J736" s="4" t="str">
        <f>HYPERLINK("http://141.218.60.56/~jnz1568/getInfo.php?workbook=06_02.xlsx&amp;sheet=A0&amp;row=736&amp;col=10&amp;number=&amp;sourceID=34","")</f>
        <v/>
      </c>
      <c r="K736" s="4" t="str">
        <f>HYPERLINK("http://141.218.60.56/~jnz1568/getInfo.php?workbook=06_02.xlsx&amp;sheet=A0&amp;row=736&amp;col=11&amp;number=1214000000&amp;sourceID=30","1214000000")</f>
        <v>1214000000</v>
      </c>
      <c r="L736" s="4" t="str">
        <f>HYPERLINK("http://141.218.60.56/~jnz1568/getInfo.php?workbook=06_02.xlsx&amp;sheet=A0&amp;row=736&amp;col=12&amp;number=&amp;sourceID=30","")</f>
        <v/>
      </c>
      <c r="M736" s="4" t="str">
        <f>HYPERLINK("http://141.218.60.56/~jnz1568/getInfo.php?workbook=06_02.xlsx&amp;sheet=A0&amp;row=736&amp;col=13&amp;number=&amp;sourceID=30","")</f>
        <v/>
      </c>
      <c r="N736" s="4" t="str">
        <f>HYPERLINK("http://141.218.60.56/~jnz1568/getInfo.php?workbook=06_02.xlsx&amp;sheet=A0&amp;row=736&amp;col=14&amp;number=0.06084&amp;sourceID=30","0.06084")</f>
        <v>0.06084</v>
      </c>
      <c r="O736" s="4" t="str">
        <f>HYPERLINK("http://141.218.60.56/~jnz1568/getInfo.php?workbook=06_02.xlsx&amp;sheet=A0&amp;row=736&amp;col=15&amp;number=436200000&amp;sourceID=32","436200000")</f>
        <v>436200000</v>
      </c>
      <c r="P736" s="4" t="str">
        <f>HYPERLINK("http://141.218.60.56/~jnz1568/getInfo.php?workbook=06_02.xlsx&amp;sheet=A0&amp;row=736&amp;col=16&amp;number=&amp;sourceID=32","")</f>
        <v/>
      </c>
      <c r="Q736" s="4" t="str">
        <f>HYPERLINK("http://141.218.60.56/~jnz1568/getInfo.php?workbook=06_02.xlsx&amp;sheet=A0&amp;row=736&amp;col=17&amp;number=&amp;sourceID=32","")</f>
        <v/>
      </c>
      <c r="R736" s="4" t="str">
        <f>HYPERLINK("http://141.218.60.56/~jnz1568/getInfo.php?workbook=06_02.xlsx&amp;sheet=A0&amp;row=736&amp;col=18&amp;number=0.001453&amp;sourceID=32","0.001453")</f>
        <v>0.001453</v>
      </c>
    </row>
    <row r="737" spans="1:18">
      <c r="A737" s="3">
        <v>6</v>
      </c>
      <c r="B737" s="3">
        <v>2</v>
      </c>
      <c r="C737" s="3">
        <v>43</v>
      </c>
      <c r="D737" s="3">
        <v>31</v>
      </c>
      <c r="E737" s="3">
        <f>((1/(INDEX(E0!J$4:J$52,C737,1)-INDEX(E0!J$4:J$52,D737,1))))*100000000</f>
        <v>0</v>
      </c>
      <c r="F737" s="4" t="str">
        <f>HYPERLINK("http://141.218.60.56/~jnz1568/getInfo.php?workbook=06_02.xlsx&amp;sheet=A0&amp;row=737&amp;col=6&amp;number=&amp;sourceID=27","")</f>
        <v/>
      </c>
      <c r="G737" s="4" t="str">
        <f>HYPERLINK("http://141.218.60.56/~jnz1568/getInfo.php?workbook=06_02.xlsx&amp;sheet=A0&amp;row=737&amp;col=7&amp;number=&amp;sourceID=34","")</f>
        <v/>
      </c>
      <c r="H737" s="4" t="str">
        <f>HYPERLINK("http://141.218.60.56/~jnz1568/getInfo.php?workbook=06_02.xlsx&amp;sheet=A0&amp;row=737&amp;col=8&amp;number=&amp;sourceID=34","")</f>
        <v/>
      </c>
      <c r="I737" s="4" t="str">
        <f>HYPERLINK("http://141.218.60.56/~jnz1568/getInfo.php?workbook=06_02.xlsx&amp;sheet=A0&amp;row=737&amp;col=9&amp;number=&amp;sourceID=34","")</f>
        <v/>
      </c>
      <c r="J737" s="4" t="str">
        <f>HYPERLINK("http://141.218.60.56/~jnz1568/getInfo.php?workbook=06_02.xlsx&amp;sheet=A0&amp;row=737&amp;col=10&amp;number=&amp;sourceID=34","")</f>
        <v/>
      </c>
      <c r="K737" s="4" t="str">
        <f>HYPERLINK("http://141.218.60.56/~jnz1568/getInfo.php?workbook=06_02.xlsx&amp;sheet=A0&amp;row=737&amp;col=11&amp;number=&amp;sourceID=30","")</f>
        <v/>
      </c>
      <c r="L737" s="4" t="str">
        <f>HYPERLINK("http://141.218.60.56/~jnz1568/getInfo.php?workbook=06_02.xlsx&amp;sheet=A0&amp;row=737&amp;col=12&amp;number=10220&amp;sourceID=30","10220")</f>
        <v>10220</v>
      </c>
      <c r="M737" s="4" t="str">
        <f>HYPERLINK("http://141.218.60.56/~jnz1568/getInfo.php?workbook=06_02.xlsx&amp;sheet=A0&amp;row=737&amp;col=13&amp;number=&amp;sourceID=30","")</f>
        <v/>
      </c>
      <c r="N737" s="4" t="str">
        <f>HYPERLINK("http://141.218.60.56/~jnz1568/getInfo.php?workbook=06_02.xlsx&amp;sheet=A0&amp;row=737&amp;col=14&amp;number=&amp;sourceID=30","")</f>
        <v/>
      </c>
      <c r="O737" s="4" t="str">
        <f>HYPERLINK("http://141.218.60.56/~jnz1568/getInfo.php?workbook=06_02.xlsx&amp;sheet=A0&amp;row=737&amp;col=15&amp;number=&amp;sourceID=32","")</f>
        <v/>
      </c>
      <c r="P737" s="4" t="str">
        <f>HYPERLINK("http://141.218.60.56/~jnz1568/getInfo.php?workbook=06_02.xlsx&amp;sheet=A0&amp;row=737&amp;col=16&amp;number=4379&amp;sourceID=32","4379")</f>
        <v>4379</v>
      </c>
      <c r="Q737" s="4" t="str">
        <f>HYPERLINK("http://141.218.60.56/~jnz1568/getInfo.php?workbook=06_02.xlsx&amp;sheet=A0&amp;row=737&amp;col=17&amp;number=&amp;sourceID=32","")</f>
        <v/>
      </c>
      <c r="R737" s="4" t="str">
        <f>HYPERLINK("http://141.218.60.56/~jnz1568/getInfo.php?workbook=06_02.xlsx&amp;sheet=A0&amp;row=737&amp;col=18&amp;number=&amp;sourceID=32","")</f>
        <v/>
      </c>
    </row>
    <row r="738" spans="1:18">
      <c r="A738" s="3">
        <v>6</v>
      </c>
      <c r="B738" s="3">
        <v>2</v>
      </c>
      <c r="C738" s="3">
        <v>43</v>
      </c>
      <c r="D738" s="3">
        <v>32</v>
      </c>
      <c r="E738" s="3">
        <f>((1/(INDEX(E0!J$4:J$52,C738,1)-INDEX(E0!J$4:J$52,D738,1))))*100000000</f>
        <v>0</v>
      </c>
      <c r="F738" s="4" t="str">
        <f>HYPERLINK("http://141.218.60.56/~jnz1568/getInfo.php?workbook=06_02.xlsx&amp;sheet=A0&amp;row=738&amp;col=6&amp;number=&amp;sourceID=27","")</f>
        <v/>
      </c>
      <c r="G738" s="4" t="str">
        <f>HYPERLINK("http://141.218.60.56/~jnz1568/getInfo.php?workbook=06_02.xlsx&amp;sheet=A0&amp;row=738&amp;col=7&amp;number=&amp;sourceID=34","")</f>
        <v/>
      </c>
      <c r="H738" s="4" t="str">
        <f>HYPERLINK("http://141.218.60.56/~jnz1568/getInfo.php?workbook=06_02.xlsx&amp;sheet=A0&amp;row=738&amp;col=8&amp;number=&amp;sourceID=34","")</f>
        <v/>
      </c>
      <c r="I738" s="4" t="str">
        <f>HYPERLINK("http://141.218.60.56/~jnz1568/getInfo.php?workbook=06_02.xlsx&amp;sheet=A0&amp;row=738&amp;col=9&amp;number=&amp;sourceID=34","")</f>
        <v/>
      </c>
      <c r="J738" s="4" t="str">
        <f>HYPERLINK("http://141.218.60.56/~jnz1568/getInfo.php?workbook=06_02.xlsx&amp;sheet=A0&amp;row=738&amp;col=10&amp;number=&amp;sourceID=34","")</f>
        <v/>
      </c>
      <c r="K738" s="4" t="str">
        <f>HYPERLINK("http://141.218.60.56/~jnz1568/getInfo.php?workbook=06_02.xlsx&amp;sheet=A0&amp;row=738&amp;col=11&amp;number=&amp;sourceID=30","")</f>
        <v/>
      </c>
      <c r="L738" s="4" t="str">
        <f>HYPERLINK("http://141.218.60.56/~jnz1568/getInfo.php?workbook=06_02.xlsx&amp;sheet=A0&amp;row=738&amp;col=12&amp;number=&amp;sourceID=30","")</f>
        <v/>
      </c>
      <c r="M738" s="4" t="str">
        <f>HYPERLINK("http://141.218.60.56/~jnz1568/getInfo.php?workbook=06_02.xlsx&amp;sheet=A0&amp;row=738&amp;col=13&amp;number=&amp;sourceID=30","")</f>
        <v/>
      </c>
      <c r="N738" s="4" t="str">
        <f>HYPERLINK("http://141.218.60.56/~jnz1568/getInfo.php?workbook=06_02.xlsx&amp;sheet=A0&amp;row=738&amp;col=14&amp;number=1e-15&amp;sourceID=30","1e-15")</f>
        <v>1e-15</v>
      </c>
      <c r="O738" s="4" t="str">
        <f>HYPERLINK("http://141.218.60.56/~jnz1568/getInfo.php?workbook=06_02.xlsx&amp;sheet=A0&amp;row=738&amp;col=15&amp;number=&amp;sourceID=32","")</f>
        <v/>
      </c>
      <c r="P738" s="4" t="str">
        <f>HYPERLINK("http://141.218.60.56/~jnz1568/getInfo.php?workbook=06_02.xlsx&amp;sheet=A0&amp;row=738&amp;col=16&amp;number=&amp;sourceID=32","")</f>
        <v/>
      </c>
      <c r="Q738" s="4" t="str">
        <f>HYPERLINK("http://141.218.60.56/~jnz1568/getInfo.php?workbook=06_02.xlsx&amp;sheet=A0&amp;row=738&amp;col=17&amp;number=&amp;sourceID=32","")</f>
        <v/>
      </c>
      <c r="R738" s="4" t="str">
        <f>HYPERLINK("http://141.218.60.56/~jnz1568/getInfo.php?workbook=06_02.xlsx&amp;sheet=A0&amp;row=738&amp;col=18&amp;number=0&amp;sourceID=32","0")</f>
        <v>0</v>
      </c>
    </row>
    <row r="739" spans="1:18">
      <c r="A739" s="3">
        <v>6</v>
      </c>
      <c r="B739" s="3">
        <v>2</v>
      </c>
      <c r="C739" s="3">
        <v>43</v>
      </c>
      <c r="D739" s="3">
        <v>35</v>
      </c>
      <c r="E739" s="3">
        <f>((1/(INDEX(E0!J$4:J$52,C739,1)-INDEX(E0!J$4:J$52,D739,1))))*100000000</f>
        <v>0</v>
      </c>
      <c r="F739" s="4" t="str">
        <f>HYPERLINK("http://141.218.60.56/~jnz1568/getInfo.php?workbook=06_02.xlsx&amp;sheet=A0&amp;row=739&amp;col=6&amp;number=&amp;sourceID=27","")</f>
        <v/>
      </c>
      <c r="G739" s="4" t="str">
        <f>HYPERLINK("http://141.218.60.56/~jnz1568/getInfo.php?workbook=06_02.xlsx&amp;sheet=A0&amp;row=739&amp;col=7&amp;number=&amp;sourceID=34","")</f>
        <v/>
      </c>
      <c r="H739" s="4" t="str">
        <f>HYPERLINK("http://141.218.60.56/~jnz1568/getInfo.php?workbook=06_02.xlsx&amp;sheet=A0&amp;row=739&amp;col=8&amp;number=&amp;sourceID=34","")</f>
        <v/>
      </c>
      <c r="I739" s="4" t="str">
        <f>HYPERLINK("http://141.218.60.56/~jnz1568/getInfo.php?workbook=06_02.xlsx&amp;sheet=A0&amp;row=739&amp;col=9&amp;number=&amp;sourceID=34","")</f>
        <v/>
      </c>
      <c r="J739" s="4" t="str">
        <f>HYPERLINK("http://141.218.60.56/~jnz1568/getInfo.php?workbook=06_02.xlsx&amp;sheet=A0&amp;row=739&amp;col=10&amp;number=&amp;sourceID=34","")</f>
        <v/>
      </c>
      <c r="K739" s="4" t="str">
        <f>HYPERLINK("http://141.218.60.56/~jnz1568/getInfo.php?workbook=06_02.xlsx&amp;sheet=A0&amp;row=739&amp;col=11&amp;number=&amp;sourceID=30","")</f>
        <v/>
      </c>
      <c r="L739" s="4" t="str">
        <f>HYPERLINK("http://141.218.60.56/~jnz1568/getInfo.php?workbook=06_02.xlsx&amp;sheet=A0&amp;row=739&amp;col=12&amp;number=3.366e-05&amp;sourceID=30","3.366e-05")</f>
        <v>3.366e-05</v>
      </c>
      <c r="M739" s="4" t="str">
        <f>HYPERLINK("http://141.218.60.56/~jnz1568/getInfo.php?workbook=06_02.xlsx&amp;sheet=A0&amp;row=739&amp;col=13&amp;number=&amp;sourceID=30","")</f>
        <v/>
      </c>
      <c r="N739" s="4" t="str">
        <f>HYPERLINK("http://141.218.60.56/~jnz1568/getInfo.php?workbook=06_02.xlsx&amp;sheet=A0&amp;row=739&amp;col=14&amp;number=&amp;sourceID=30","")</f>
        <v/>
      </c>
      <c r="O739" s="4" t="str">
        <f>HYPERLINK("http://141.218.60.56/~jnz1568/getInfo.php?workbook=06_02.xlsx&amp;sheet=A0&amp;row=739&amp;col=15&amp;number=&amp;sourceID=32","")</f>
        <v/>
      </c>
      <c r="P739" s="4" t="str">
        <f>HYPERLINK("http://141.218.60.56/~jnz1568/getInfo.php?workbook=06_02.xlsx&amp;sheet=A0&amp;row=739&amp;col=16&amp;number=0.0001066&amp;sourceID=32","0.0001066")</f>
        <v>0.0001066</v>
      </c>
      <c r="Q739" s="4" t="str">
        <f>HYPERLINK("http://141.218.60.56/~jnz1568/getInfo.php?workbook=06_02.xlsx&amp;sheet=A0&amp;row=739&amp;col=17&amp;number=&amp;sourceID=32","")</f>
        <v/>
      </c>
      <c r="R739" s="4" t="str">
        <f>HYPERLINK("http://141.218.60.56/~jnz1568/getInfo.php?workbook=06_02.xlsx&amp;sheet=A0&amp;row=739&amp;col=18&amp;number=&amp;sourceID=32","")</f>
        <v/>
      </c>
    </row>
    <row r="740" spans="1:18">
      <c r="A740" s="3">
        <v>6</v>
      </c>
      <c r="B740" s="3">
        <v>2</v>
      </c>
      <c r="C740" s="3">
        <v>43</v>
      </c>
      <c r="D740" s="3">
        <v>36</v>
      </c>
      <c r="E740" s="3">
        <f>((1/(INDEX(E0!J$4:J$52,C740,1)-INDEX(E0!J$4:J$52,D740,1))))*100000000</f>
        <v>0</v>
      </c>
      <c r="F740" s="4" t="str">
        <f>HYPERLINK("http://141.218.60.56/~jnz1568/getInfo.php?workbook=06_02.xlsx&amp;sheet=A0&amp;row=740&amp;col=6&amp;number=&amp;sourceID=27","")</f>
        <v/>
      </c>
      <c r="G740" s="4" t="str">
        <f>HYPERLINK("http://141.218.60.56/~jnz1568/getInfo.php?workbook=06_02.xlsx&amp;sheet=A0&amp;row=740&amp;col=7&amp;number=&amp;sourceID=34","")</f>
        <v/>
      </c>
      <c r="H740" s="4" t="str">
        <f>HYPERLINK("http://141.218.60.56/~jnz1568/getInfo.php?workbook=06_02.xlsx&amp;sheet=A0&amp;row=740&amp;col=8&amp;number=&amp;sourceID=34","")</f>
        <v/>
      </c>
      <c r="I740" s="4" t="str">
        <f>HYPERLINK("http://141.218.60.56/~jnz1568/getInfo.php?workbook=06_02.xlsx&amp;sheet=A0&amp;row=740&amp;col=9&amp;number=&amp;sourceID=34","")</f>
        <v/>
      </c>
      <c r="J740" s="4" t="str">
        <f>HYPERLINK("http://141.218.60.56/~jnz1568/getInfo.php?workbook=06_02.xlsx&amp;sheet=A0&amp;row=740&amp;col=10&amp;number=&amp;sourceID=34","")</f>
        <v/>
      </c>
      <c r="K740" s="4" t="str">
        <f>HYPERLINK("http://141.218.60.56/~jnz1568/getInfo.php?workbook=06_02.xlsx&amp;sheet=A0&amp;row=740&amp;col=11&amp;number=&amp;sourceID=30","")</f>
        <v/>
      </c>
      <c r="L740" s="4" t="str">
        <f>HYPERLINK("http://141.218.60.56/~jnz1568/getInfo.php?workbook=06_02.xlsx&amp;sheet=A0&amp;row=740&amp;col=12&amp;number=1.658e-05&amp;sourceID=30","1.658e-05")</f>
        <v>1.658e-05</v>
      </c>
      <c r="M740" s="4" t="str">
        <f>HYPERLINK("http://141.218.60.56/~jnz1568/getInfo.php?workbook=06_02.xlsx&amp;sheet=A0&amp;row=740&amp;col=13&amp;number=5.668e-12&amp;sourceID=30","5.668e-12")</f>
        <v>5.668e-12</v>
      </c>
      <c r="N740" s="4" t="str">
        <f>HYPERLINK("http://141.218.60.56/~jnz1568/getInfo.php?workbook=06_02.xlsx&amp;sheet=A0&amp;row=740&amp;col=14&amp;number=&amp;sourceID=30","")</f>
        <v/>
      </c>
      <c r="O740" s="4" t="str">
        <f>HYPERLINK("http://141.218.60.56/~jnz1568/getInfo.php?workbook=06_02.xlsx&amp;sheet=A0&amp;row=740&amp;col=15&amp;number=&amp;sourceID=32","")</f>
        <v/>
      </c>
      <c r="P740" s="4" t="str">
        <f>HYPERLINK("http://141.218.60.56/~jnz1568/getInfo.php?workbook=06_02.xlsx&amp;sheet=A0&amp;row=740&amp;col=16&amp;number=5.037e-05&amp;sourceID=32","5.037e-05")</f>
        <v>5.037e-05</v>
      </c>
      <c r="Q740" s="4" t="str">
        <f>HYPERLINK("http://141.218.60.56/~jnz1568/getInfo.php?workbook=06_02.xlsx&amp;sheet=A0&amp;row=740&amp;col=17&amp;number=2.436e-11&amp;sourceID=32","2.436e-11")</f>
        <v>2.436e-11</v>
      </c>
      <c r="R740" s="4" t="str">
        <f>HYPERLINK("http://141.218.60.56/~jnz1568/getInfo.php?workbook=06_02.xlsx&amp;sheet=A0&amp;row=740&amp;col=18&amp;number=&amp;sourceID=32","")</f>
        <v/>
      </c>
    </row>
    <row r="741" spans="1:18">
      <c r="A741" s="3">
        <v>6</v>
      </c>
      <c r="B741" s="3">
        <v>2</v>
      </c>
      <c r="C741" s="3">
        <v>43</v>
      </c>
      <c r="D741" s="3">
        <v>37</v>
      </c>
      <c r="E741" s="3">
        <f>((1/(INDEX(E0!J$4:J$52,C741,1)-INDEX(E0!J$4:J$52,D741,1))))*100000000</f>
        <v>0</v>
      </c>
      <c r="F741" s="4" t="str">
        <f>HYPERLINK("http://141.218.60.56/~jnz1568/getInfo.php?workbook=06_02.xlsx&amp;sheet=A0&amp;row=741&amp;col=6&amp;number=&amp;sourceID=27","")</f>
        <v/>
      </c>
      <c r="G741" s="4" t="str">
        <f>HYPERLINK("http://141.218.60.56/~jnz1568/getInfo.php?workbook=06_02.xlsx&amp;sheet=A0&amp;row=741&amp;col=7&amp;number=&amp;sourceID=34","")</f>
        <v/>
      </c>
      <c r="H741" s="4" t="str">
        <f>HYPERLINK("http://141.218.60.56/~jnz1568/getInfo.php?workbook=06_02.xlsx&amp;sheet=A0&amp;row=741&amp;col=8&amp;number=&amp;sourceID=34","")</f>
        <v/>
      </c>
      <c r="I741" s="4" t="str">
        <f>HYPERLINK("http://141.218.60.56/~jnz1568/getInfo.php?workbook=06_02.xlsx&amp;sheet=A0&amp;row=741&amp;col=9&amp;number=&amp;sourceID=34","")</f>
        <v/>
      </c>
      <c r="J741" s="4" t="str">
        <f>HYPERLINK("http://141.218.60.56/~jnz1568/getInfo.php?workbook=06_02.xlsx&amp;sheet=A0&amp;row=741&amp;col=10&amp;number=&amp;sourceID=34","")</f>
        <v/>
      </c>
      <c r="K741" s="4" t="str">
        <f>HYPERLINK("http://141.218.60.56/~jnz1568/getInfo.php?workbook=06_02.xlsx&amp;sheet=A0&amp;row=741&amp;col=11&amp;number=&amp;sourceID=30","")</f>
        <v/>
      </c>
      <c r="L741" s="4" t="str">
        <f>HYPERLINK("http://141.218.60.56/~jnz1568/getInfo.php?workbook=06_02.xlsx&amp;sheet=A0&amp;row=741&amp;col=12&amp;number=&amp;sourceID=30","")</f>
        <v/>
      </c>
      <c r="M741" s="4" t="str">
        <f>HYPERLINK("http://141.218.60.56/~jnz1568/getInfo.php?workbook=06_02.xlsx&amp;sheet=A0&amp;row=741&amp;col=13&amp;number=&amp;sourceID=30","")</f>
        <v/>
      </c>
      <c r="N741" s="4" t="str">
        <f>HYPERLINK("http://141.218.60.56/~jnz1568/getInfo.php?workbook=06_02.xlsx&amp;sheet=A0&amp;row=741&amp;col=14&amp;number=0&amp;sourceID=30","0")</f>
        <v>0</v>
      </c>
      <c r="O741" s="4" t="str">
        <f>HYPERLINK("http://141.218.60.56/~jnz1568/getInfo.php?workbook=06_02.xlsx&amp;sheet=A0&amp;row=741&amp;col=15&amp;number=&amp;sourceID=32","")</f>
        <v/>
      </c>
      <c r="P741" s="4" t="str">
        <f>HYPERLINK("http://141.218.60.56/~jnz1568/getInfo.php?workbook=06_02.xlsx&amp;sheet=A0&amp;row=741&amp;col=16&amp;number=&amp;sourceID=32","")</f>
        <v/>
      </c>
      <c r="Q741" s="4" t="str">
        <f>HYPERLINK("http://141.218.60.56/~jnz1568/getInfo.php?workbook=06_02.xlsx&amp;sheet=A0&amp;row=741&amp;col=17&amp;number=&amp;sourceID=32","")</f>
        <v/>
      </c>
      <c r="R741" s="4" t="str">
        <f>HYPERLINK("http://141.218.60.56/~jnz1568/getInfo.php?workbook=06_02.xlsx&amp;sheet=A0&amp;row=741&amp;col=18&amp;number=&amp;sourceID=32","")</f>
        <v/>
      </c>
    </row>
    <row r="742" spans="1:18">
      <c r="A742" s="3">
        <v>6</v>
      </c>
      <c r="B742" s="3">
        <v>2</v>
      </c>
      <c r="C742" s="3">
        <v>43</v>
      </c>
      <c r="D742" s="3">
        <v>38</v>
      </c>
      <c r="E742" s="3">
        <f>((1/(INDEX(E0!J$4:J$52,C742,1)-INDEX(E0!J$4:J$52,D742,1))))*100000000</f>
        <v>0</v>
      </c>
      <c r="F742" s="4" t="str">
        <f>HYPERLINK("http://141.218.60.56/~jnz1568/getInfo.php?workbook=06_02.xlsx&amp;sheet=A0&amp;row=742&amp;col=6&amp;number=&amp;sourceID=27","")</f>
        <v/>
      </c>
      <c r="G742" s="4" t="str">
        <f>HYPERLINK("http://141.218.60.56/~jnz1568/getInfo.php?workbook=06_02.xlsx&amp;sheet=A0&amp;row=742&amp;col=7&amp;number=&amp;sourceID=34","")</f>
        <v/>
      </c>
      <c r="H742" s="4" t="str">
        <f>HYPERLINK("http://141.218.60.56/~jnz1568/getInfo.php?workbook=06_02.xlsx&amp;sheet=A0&amp;row=742&amp;col=8&amp;number=&amp;sourceID=34","")</f>
        <v/>
      </c>
      <c r="I742" s="4" t="str">
        <f>HYPERLINK("http://141.218.60.56/~jnz1568/getInfo.php?workbook=06_02.xlsx&amp;sheet=A0&amp;row=742&amp;col=9&amp;number=&amp;sourceID=34","")</f>
        <v/>
      </c>
      <c r="J742" s="4" t="str">
        <f>HYPERLINK("http://141.218.60.56/~jnz1568/getInfo.php?workbook=06_02.xlsx&amp;sheet=A0&amp;row=742&amp;col=10&amp;number=&amp;sourceID=34","")</f>
        <v/>
      </c>
      <c r="K742" s="4" t="str">
        <f>HYPERLINK("http://141.218.60.56/~jnz1568/getInfo.php?workbook=06_02.xlsx&amp;sheet=A0&amp;row=742&amp;col=11&amp;number=1.675&amp;sourceID=30","1.675")</f>
        <v>1.675</v>
      </c>
      <c r="L742" s="4" t="str">
        <f>HYPERLINK("http://141.218.60.56/~jnz1568/getInfo.php?workbook=06_02.xlsx&amp;sheet=A0&amp;row=742&amp;col=12&amp;number=&amp;sourceID=30","")</f>
        <v/>
      </c>
      <c r="M742" s="4" t="str">
        <f>HYPERLINK("http://141.218.60.56/~jnz1568/getInfo.php?workbook=06_02.xlsx&amp;sheet=A0&amp;row=742&amp;col=13&amp;number=&amp;sourceID=30","")</f>
        <v/>
      </c>
      <c r="N742" s="4" t="str">
        <f>HYPERLINK("http://141.218.60.56/~jnz1568/getInfo.php?workbook=06_02.xlsx&amp;sheet=A0&amp;row=742&amp;col=14&amp;number=0&amp;sourceID=30","0")</f>
        <v>0</v>
      </c>
      <c r="O742" s="4" t="str">
        <f>HYPERLINK("http://141.218.60.56/~jnz1568/getInfo.php?workbook=06_02.xlsx&amp;sheet=A0&amp;row=742&amp;col=15&amp;number=&amp;sourceID=32","")</f>
        <v/>
      </c>
      <c r="P742" s="4" t="str">
        <f>HYPERLINK("http://141.218.60.56/~jnz1568/getInfo.php?workbook=06_02.xlsx&amp;sheet=A0&amp;row=742&amp;col=16&amp;number=&amp;sourceID=32","")</f>
        <v/>
      </c>
      <c r="Q742" s="4" t="str">
        <f>HYPERLINK("http://141.218.60.56/~jnz1568/getInfo.php?workbook=06_02.xlsx&amp;sheet=A0&amp;row=742&amp;col=17&amp;number=&amp;sourceID=32","")</f>
        <v/>
      </c>
      <c r="R742" s="4" t="str">
        <f>HYPERLINK("http://141.218.60.56/~jnz1568/getInfo.php?workbook=06_02.xlsx&amp;sheet=A0&amp;row=742&amp;col=18&amp;number=&amp;sourceID=32","")</f>
        <v/>
      </c>
    </row>
    <row r="743" spans="1:18">
      <c r="A743" s="3">
        <v>6</v>
      </c>
      <c r="B743" s="3">
        <v>2</v>
      </c>
      <c r="C743" s="3">
        <v>43</v>
      </c>
      <c r="D743" s="3">
        <v>39</v>
      </c>
      <c r="E743" s="3">
        <f>((1/(INDEX(E0!J$4:J$52,C743,1)-INDEX(E0!J$4:J$52,D743,1))))*100000000</f>
        <v>0</v>
      </c>
      <c r="F743" s="4" t="str">
        <f>HYPERLINK("http://141.218.60.56/~jnz1568/getInfo.php?workbook=06_02.xlsx&amp;sheet=A0&amp;row=743&amp;col=6&amp;number=&amp;sourceID=27","")</f>
        <v/>
      </c>
      <c r="G743" s="4" t="str">
        <f>HYPERLINK("http://141.218.60.56/~jnz1568/getInfo.php?workbook=06_02.xlsx&amp;sheet=A0&amp;row=743&amp;col=7&amp;number=&amp;sourceID=34","")</f>
        <v/>
      </c>
      <c r="H743" s="4" t="str">
        <f>HYPERLINK("http://141.218.60.56/~jnz1568/getInfo.php?workbook=06_02.xlsx&amp;sheet=A0&amp;row=743&amp;col=8&amp;number=&amp;sourceID=34","")</f>
        <v/>
      </c>
      <c r="I743" s="4" t="str">
        <f>HYPERLINK("http://141.218.60.56/~jnz1568/getInfo.php?workbook=06_02.xlsx&amp;sheet=A0&amp;row=743&amp;col=9&amp;number=&amp;sourceID=34","")</f>
        <v/>
      </c>
      <c r="J743" s="4" t="str">
        <f>HYPERLINK("http://141.218.60.56/~jnz1568/getInfo.php?workbook=06_02.xlsx&amp;sheet=A0&amp;row=743&amp;col=10&amp;number=&amp;sourceID=34","")</f>
        <v/>
      </c>
      <c r="K743" s="4" t="str">
        <f>HYPERLINK("http://141.218.60.56/~jnz1568/getInfo.php?workbook=06_02.xlsx&amp;sheet=A0&amp;row=743&amp;col=11&amp;number=0.2141&amp;sourceID=30","0.2141")</f>
        <v>0.2141</v>
      </c>
      <c r="L743" s="4" t="str">
        <f>HYPERLINK("http://141.218.60.56/~jnz1568/getInfo.php?workbook=06_02.xlsx&amp;sheet=A0&amp;row=743&amp;col=12&amp;number=&amp;sourceID=30","")</f>
        <v/>
      </c>
      <c r="M743" s="4" t="str">
        <f>HYPERLINK("http://141.218.60.56/~jnz1568/getInfo.php?workbook=06_02.xlsx&amp;sheet=A0&amp;row=743&amp;col=13&amp;number=&amp;sourceID=30","")</f>
        <v/>
      </c>
      <c r="N743" s="4" t="str">
        <f>HYPERLINK("http://141.218.60.56/~jnz1568/getInfo.php?workbook=06_02.xlsx&amp;sheet=A0&amp;row=743&amp;col=14&amp;number=0&amp;sourceID=30","0")</f>
        <v>0</v>
      </c>
      <c r="O743" s="4" t="str">
        <f>HYPERLINK("http://141.218.60.56/~jnz1568/getInfo.php?workbook=06_02.xlsx&amp;sheet=A0&amp;row=743&amp;col=15&amp;number=&amp;sourceID=32","")</f>
        <v/>
      </c>
      <c r="P743" s="4" t="str">
        <f>HYPERLINK("http://141.218.60.56/~jnz1568/getInfo.php?workbook=06_02.xlsx&amp;sheet=A0&amp;row=743&amp;col=16&amp;number=&amp;sourceID=32","")</f>
        <v/>
      </c>
      <c r="Q743" s="4" t="str">
        <f>HYPERLINK("http://141.218.60.56/~jnz1568/getInfo.php?workbook=06_02.xlsx&amp;sheet=A0&amp;row=743&amp;col=17&amp;number=&amp;sourceID=32","")</f>
        <v/>
      </c>
      <c r="R743" s="4" t="str">
        <f>HYPERLINK("http://141.218.60.56/~jnz1568/getInfo.php?workbook=06_02.xlsx&amp;sheet=A0&amp;row=743&amp;col=18&amp;number=&amp;sourceID=32","")</f>
        <v/>
      </c>
    </row>
    <row r="744" spans="1:18">
      <c r="A744" s="3">
        <v>6</v>
      </c>
      <c r="B744" s="3">
        <v>2</v>
      </c>
      <c r="C744" s="3">
        <v>43</v>
      </c>
      <c r="D744" s="3">
        <v>40</v>
      </c>
      <c r="E744" s="3"/>
      <c r="F744" s="4" t="str">
        <f>HYPERLINK("http://141.218.60.56/~jnz1568/getInfo.php?workbook=06_02.xlsx&amp;sheet=A0&amp;row=744&amp;col=6&amp;number=&amp;sourceID=27","")</f>
        <v/>
      </c>
      <c r="G744" s="4" t="str">
        <f>HYPERLINK("http://141.218.60.56/~jnz1568/getInfo.php?workbook=06_02.xlsx&amp;sheet=A0&amp;row=744&amp;col=7&amp;number=&amp;sourceID=34","")</f>
        <v/>
      </c>
      <c r="H744" s="4" t="str">
        <f>HYPERLINK("http://141.218.60.56/~jnz1568/getInfo.php?workbook=06_02.xlsx&amp;sheet=A0&amp;row=744&amp;col=8&amp;number=&amp;sourceID=34","")</f>
        <v/>
      </c>
      <c r="I744" s="4" t="str">
        <f>HYPERLINK("http://141.218.60.56/~jnz1568/getInfo.php?workbook=06_02.xlsx&amp;sheet=A0&amp;row=744&amp;col=9&amp;number=&amp;sourceID=34","")</f>
        <v/>
      </c>
      <c r="J744" s="4" t="str">
        <f>HYPERLINK("http://141.218.60.56/~jnz1568/getInfo.php?workbook=06_02.xlsx&amp;sheet=A0&amp;row=744&amp;col=10&amp;number=&amp;sourceID=34","")</f>
        <v/>
      </c>
      <c r="K744" s="4" t="str">
        <f>HYPERLINK("http://141.218.60.56/~jnz1568/getInfo.php?workbook=06_02.xlsx&amp;sheet=A0&amp;row=744&amp;col=11&amp;number=&amp;sourceID=30","")</f>
        <v/>
      </c>
      <c r="L744" s="4" t="str">
        <f>HYPERLINK("http://141.218.60.56/~jnz1568/getInfo.php?workbook=06_02.xlsx&amp;sheet=A0&amp;row=744&amp;col=12&amp;number=0&amp;sourceID=30","0")</f>
        <v>0</v>
      </c>
      <c r="M744" s="4" t="str">
        <f>HYPERLINK("http://141.218.60.56/~jnz1568/getInfo.php?workbook=06_02.xlsx&amp;sheet=A0&amp;row=744&amp;col=13&amp;number=2.07e-10&amp;sourceID=30","2.07e-10")</f>
        <v>2.07e-10</v>
      </c>
      <c r="N744" s="4" t="str">
        <f>HYPERLINK("http://141.218.60.56/~jnz1568/getInfo.php?workbook=06_02.xlsx&amp;sheet=A0&amp;row=744&amp;col=14&amp;number=&amp;sourceID=30","")</f>
        <v/>
      </c>
      <c r="O744" s="4" t="str">
        <f>HYPERLINK("http://141.218.60.56/~jnz1568/getInfo.php?workbook=06_02.xlsx&amp;sheet=A0&amp;row=744&amp;col=15&amp;number=&amp;sourceID=32","")</f>
        <v/>
      </c>
      <c r="P744" s="4" t="str">
        <f>HYPERLINK("http://141.218.60.56/~jnz1568/getInfo.php?workbook=06_02.xlsx&amp;sheet=A0&amp;row=744&amp;col=16&amp;number=&amp;sourceID=32","")</f>
        <v/>
      </c>
      <c r="Q744" s="4" t="str">
        <f>HYPERLINK("http://141.218.60.56/~jnz1568/getInfo.php?workbook=06_02.xlsx&amp;sheet=A0&amp;row=744&amp;col=17&amp;number=&amp;sourceID=32","")</f>
        <v/>
      </c>
      <c r="R744" s="4" t="str">
        <f>HYPERLINK("http://141.218.60.56/~jnz1568/getInfo.php?workbook=06_02.xlsx&amp;sheet=A0&amp;row=744&amp;col=18&amp;number=&amp;sourceID=32","")</f>
        <v/>
      </c>
    </row>
    <row r="745" spans="1:18">
      <c r="A745" s="3">
        <v>6</v>
      </c>
      <c r="B745" s="3">
        <v>2</v>
      </c>
      <c r="C745" s="3">
        <v>43</v>
      </c>
      <c r="D745" s="3">
        <v>41</v>
      </c>
      <c r="E745" s="3"/>
      <c r="F745" s="4" t="str">
        <f>HYPERLINK("http://141.218.60.56/~jnz1568/getInfo.php?workbook=06_02.xlsx&amp;sheet=A0&amp;row=745&amp;col=6&amp;number=&amp;sourceID=27","")</f>
        <v/>
      </c>
      <c r="G745" s="4" t="str">
        <f>HYPERLINK("http://141.218.60.56/~jnz1568/getInfo.php?workbook=06_02.xlsx&amp;sheet=A0&amp;row=745&amp;col=7&amp;number=&amp;sourceID=34","")</f>
        <v/>
      </c>
      <c r="H745" s="4" t="str">
        <f>HYPERLINK("http://141.218.60.56/~jnz1568/getInfo.php?workbook=06_02.xlsx&amp;sheet=A0&amp;row=745&amp;col=8&amp;number=&amp;sourceID=34","")</f>
        <v/>
      </c>
      <c r="I745" s="4" t="str">
        <f>HYPERLINK("http://141.218.60.56/~jnz1568/getInfo.php?workbook=06_02.xlsx&amp;sheet=A0&amp;row=745&amp;col=9&amp;number=&amp;sourceID=34","")</f>
        <v/>
      </c>
      <c r="J745" s="4" t="str">
        <f>HYPERLINK("http://141.218.60.56/~jnz1568/getInfo.php?workbook=06_02.xlsx&amp;sheet=A0&amp;row=745&amp;col=10&amp;number=&amp;sourceID=34","")</f>
        <v/>
      </c>
      <c r="K745" s="4" t="str">
        <f>HYPERLINK("http://141.218.60.56/~jnz1568/getInfo.php?workbook=06_02.xlsx&amp;sheet=A0&amp;row=745&amp;col=11&amp;number=&amp;sourceID=30","")</f>
        <v/>
      </c>
      <c r="L745" s="4" t="str">
        <f>HYPERLINK("http://141.218.60.56/~jnz1568/getInfo.php?workbook=06_02.xlsx&amp;sheet=A0&amp;row=745&amp;col=12&amp;number=0&amp;sourceID=30","0")</f>
        <v>0</v>
      </c>
      <c r="M745" s="4" t="str">
        <f>HYPERLINK("http://141.218.60.56/~jnz1568/getInfo.php?workbook=06_02.xlsx&amp;sheet=A0&amp;row=745&amp;col=13&amp;number=2.395e-11&amp;sourceID=30","2.395e-11")</f>
        <v>2.395e-11</v>
      </c>
      <c r="N745" s="4" t="str">
        <f>HYPERLINK("http://141.218.60.56/~jnz1568/getInfo.php?workbook=06_02.xlsx&amp;sheet=A0&amp;row=745&amp;col=14&amp;number=&amp;sourceID=30","")</f>
        <v/>
      </c>
      <c r="O745" s="4" t="str">
        <f>HYPERLINK("http://141.218.60.56/~jnz1568/getInfo.php?workbook=06_02.xlsx&amp;sheet=A0&amp;row=745&amp;col=15&amp;number=&amp;sourceID=32","")</f>
        <v/>
      </c>
      <c r="P745" s="4" t="str">
        <f>HYPERLINK("http://141.218.60.56/~jnz1568/getInfo.php?workbook=06_02.xlsx&amp;sheet=A0&amp;row=745&amp;col=16&amp;number=&amp;sourceID=32","")</f>
        <v/>
      </c>
      <c r="Q745" s="4" t="str">
        <f>HYPERLINK("http://141.218.60.56/~jnz1568/getInfo.php?workbook=06_02.xlsx&amp;sheet=A0&amp;row=745&amp;col=17&amp;number=&amp;sourceID=32","")</f>
        <v/>
      </c>
      <c r="R745" s="4" t="str">
        <f>HYPERLINK("http://141.218.60.56/~jnz1568/getInfo.php?workbook=06_02.xlsx&amp;sheet=A0&amp;row=745&amp;col=18&amp;number=&amp;sourceID=32","")</f>
        <v/>
      </c>
    </row>
    <row r="746" spans="1:18">
      <c r="A746" s="3">
        <v>6</v>
      </c>
      <c r="B746" s="3">
        <v>2</v>
      </c>
      <c r="C746" s="3">
        <v>43</v>
      </c>
      <c r="D746" s="3">
        <v>42</v>
      </c>
      <c r="E746" s="3"/>
      <c r="F746" s="4" t="str">
        <f>HYPERLINK("http://141.218.60.56/~jnz1568/getInfo.php?workbook=06_02.xlsx&amp;sheet=A0&amp;row=746&amp;col=6&amp;number=&amp;sourceID=27","")</f>
        <v/>
      </c>
      <c r="G746" s="4" t="str">
        <f>HYPERLINK("http://141.218.60.56/~jnz1568/getInfo.php?workbook=06_02.xlsx&amp;sheet=A0&amp;row=746&amp;col=7&amp;number=&amp;sourceID=34","")</f>
        <v/>
      </c>
      <c r="H746" s="4" t="str">
        <f>HYPERLINK("http://141.218.60.56/~jnz1568/getInfo.php?workbook=06_02.xlsx&amp;sheet=A0&amp;row=746&amp;col=8&amp;number=&amp;sourceID=34","")</f>
        <v/>
      </c>
      <c r="I746" s="4" t="str">
        <f>HYPERLINK("http://141.218.60.56/~jnz1568/getInfo.php?workbook=06_02.xlsx&amp;sheet=A0&amp;row=746&amp;col=9&amp;number=&amp;sourceID=34","")</f>
        <v/>
      </c>
      <c r="J746" s="4" t="str">
        <f>HYPERLINK("http://141.218.60.56/~jnz1568/getInfo.php?workbook=06_02.xlsx&amp;sheet=A0&amp;row=746&amp;col=10&amp;number=&amp;sourceID=34","")</f>
        <v/>
      </c>
      <c r="K746" s="4" t="str">
        <f>HYPERLINK("http://141.218.60.56/~jnz1568/getInfo.php?workbook=06_02.xlsx&amp;sheet=A0&amp;row=746&amp;col=11&amp;number=&amp;sourceID=30","")</f>
        <v/>
      </c>
      <c r="L746" s="4" t="str">
        <f>HYPERLINK("http://141.218.60.56/~jnz1568/getInfo.php?workbook=06_02.xlsx&amp;sheet=A0&amp;row=746&amp;col=12&amp;number=0&amp;sourceID=30","0")</f>
        <v>0</v>
      </c>
      <c r="M746" s="4" t="str">
        <f>HYPERLINK("http://141.218.60.56/~jnz1568/getInfo.php?workbook=06_02.xlsx&amp;sheet=A0&amp;row=746&amp;col=13&amp;number=3.317e-11&amp;sourceID=30","3.317e-11")</f>
        <v>3.317e-11</v>
      </c>
      <c r="N746" s="4" t="str">
        <f>HYPERLINK("http://141.218.60.56/~jnz1568/getInfo.php?workbook=06_02.xlsx&amp;sheet=A0&amp;row=746&amp;col=14&amp;number=&amp;sourceID=30","")</f>
        <v/>
      </c>
      <c r="O746" s="4" t="str">
        <f>HYPERLINK("http://141.218.60.56/~jnz1568/getInfo.php?workbook=06_02.xlsx&amp;sheet=A0&amp;row=746&amp;col=15&amp;number=&amp;sourceID=32","")</f>
        <v/>
      </c>
      <c r="P746" s="4" t="str">
        <f>HYPERLINK("http://141.218.60.56/~jnz1568/getInfo.php?workbook=06_02.xlsx&amp;sheet=A0&amp;row=746&amp;col=16&amp;number=&amp;sourceID=32","")</f>
        <v/>
      </c>
      <c r="Q746" s="4" t="str">
        <f>HYPERLINK("http://141.218.60.56/~jnz1568/getInfo.php?workbook=06_02.xlsx&amp;sheet=A0&amp;row=746&amp;col=17&amp;number=&amp;sourceID=32","")</f>
        <v/>
      </c>
      <c r="R746" s="4" t="str">
        <f>HYPERLINK("http://141.218.60.56/~jnz1568/getInfo.php?workbook=06_02.xlsx&amp;sheet=A0&amp;row=746&amp;col=18&amp;number=&amp;sourceID=32","")</f>
        <v/>
      </c>
    </row>
    <row r="747" spans="1:18">
      <c r="A747" s="3">
        <v>6</v>
      </c>
      <c r="B747" s="3">
        <v>2</v>
      </c>
      <c r="C747" s="3">
        <v>44</v>
      </c>
      <c r="D747" s="3">
        <v>2</v>
      </c>
      <c r="E747" s="3">
        <f>((1/(INDEX(E0!J$4:J$52,C747,1)-INDEX(E0!J$4:J$52,D747,1))))*100000000</f>
        <v>0</v>
      </c>
      <c r="F747" s="4" t="str">
        <f>HYPERLINK("http://141.218.60.56/~jnz1568/getInfo.php?workbook=06_02.xlsx&amp;sheet=A0&amp;row=747&amp;col=6&amp;number=&amp;sourceID=27","")</f>
        <v/>
      </c>
      <c r="G747" s="4" t="str">
        <f>HYPERLINK("http://141.218.60.56/~jnz1568/getInfo.php?workbook=06_02.xlsx&amp;sheet=A0&amp;row=747&amp;col=7&amp;number=&amp;sourceID=34","")</f>
        <v/>
      </c>
      <c r="H747" s="4" t="str">
        <f>HYPERLINK("http://141.218.60.56/~jnz1568/getInfo.php?workbook=06_02.xlsx&amp;sheet=A0&amp;row=747&amp;col=8&amp;number=&amp;sourceID=34","")</f>
        <v/>
      </c>
      <c r="I747" s="4" t="str">
        <f>HYPERLINK("http://141.218.60.56/~jnz1568/getInfo.php?workbook=06_02.xlsx&amp;sheet=A0&amp;row=747&amp;col=9&amp;number=&amp;sourceID=34","")</f>
        <v/>
      </c>
      <c r="J747" s="4" t="str">
        <f>HYPERLINK("http://141.218.60.56/~jnz1568/getInfo.php?workbook=06_02.xlsx&amp;sheet=A0&amp;row=747&amp;col=10&amp;number=&amp;sourceID=34","")</f>
        <v/>
      </c>
      <c r="K747" s="4" t="str">
        <f>HYPERLINK("http://141.218.60.56/~jnz1568/getInfo.php?workbook=06_02.xlsx&amp;sheet=A0&amp;row=747&amp;col=11&amp;number=&amp;sourceID=30","")</f>
        <v/>
      </c>
      <c r="L747" s="4" t="str">
        <f>HYPERLINK("http://141.218.60.56/~jnz1568/getInfo.php?workbook=06_02.xlsx&amp;sheet=A0&amp;row=747&amp;col=12&amp;number=0.002056&amp;sourceID=30","0.002056")</f>
        <v>0.002056</v>
      </c>
      <c r="M747" s="4" t="str">
        <f>HYPERLINK("http://141.218.60.56/~jnz1568/getInfo.php?workbook=06_02.xlsx&amp;sheet=A0&amp;row=747&amp;col=13&amp;number=&amp;sourceID=30","")</f>
        <v/>
      </c>
      <c r="N747" s="4" t="str">
        <f>HYPERLINK("http://141.218.60.56/~jnz1568/getInfo.php?workbook=06_02.xlsx&amp;sheet=A0&amp;row=747&amp;col=14&amp;number=&amp;sourceID=30","")</f>
        <v/>
      </c>
      <c r="O747" s="4" t="str">
        <f>HYPERLINK("http://141.218.60.56/~jnz1568/getInfo.php?workbook=06_02.xlsx&amp;sheet=A0&amp;row=747&amp;col=15&amp;number=&amp;sourceID=32","")</f>
        <v/>
      </c>
      <c r="P747" s="4" t="str">
        <f>HYPERLINK("http://141.218.60.56/~jnz1568/getInfo.php?workbook=06_02.xlsx&amp;sheet=A0&amp;row=747&amp;col=16&amp;number=4e-05&amp;sourceID=32","4e-05")</f>
        <v>4e-05</v>
      </c>
      <c r="Q747" s="4" t="str">
        <f>HYPERLINK("http://141.218.60.56/~jnz1568/getInfo.php?workbook=06_02.xlsx&amp;sheet=A0&amp;row=747&amp;col=17&amp;number=&amp;sourceID=32","")</f>
        <v/>
      </c>
      <c r="R747" s="4" t="str">
        <f>HYPERLINK("http://141.218.60.56/~jnz1568/getInfo.php?workbook=06_02.xlsx&amp;sheet=A0&amp;row=747&amp;col=18&amp;number=&amp;sourceID=32","")</f>
        <v/>
      </c>
    </row>
    <row r="748" spans="1:18">
      <c r="A748" s="3">
        <v>6</v>
      </c>
      <c r="B748" s="3">
        <v>2</v>
      </c>
      <c r="C748" s="3">
        <v>44</v>
      </c>
      <c r="D748" s="3">
        <v>4</v>
      </c>
      <c r="E748" s="3">
        <f>((1/(INDEX(E0!J$4:J$52,C748,1)-INDEX(E0!J$4:J$52,D748,1))))*100000000</f>
        <v>0</v>
      </c>
      <c r="F748" s="4" t="str">
        <f>HYPERLINK("http://141.218.60.56/~jnz1568/getInfo.php?workbook=06_02.xlsx&amp;sheet=A0&amp;row=748&amp;col=6&amp;number=&amp;sourceID=27","")</f>
        <v/>
      </c>
      <c r="G748" s="4" t="str">
        <f>HYPERLINK("http://141.218.60.56/~jnz1568/getInfo.php?workbook=06_02.xlsx&amp;sheet=A0&amp;row=748&amp;col=7&amp;number=&amp;sourceID=34","")</f>
        <v/>
      </c>
      <c r="H748" s="4" t="str">
        <f>HYPERLINK("http://141.218.60.56/~jnz1568/getInfo.php?workbook=06_02.xlsx&amp;sheet=A0&amp;row=748&amp;col=8&amp;number=&amp;sourceID=34","")</f>
        <v/>
      </c>
      <c r="I748" s="4" t="str">
        <f>HYPERLINK("http://141.218.60.56/~jnz1568/getInfo.php?workbook=06_02.xlsx&amp;sheet=A0&amp;row=748&amp;col=9&amp;number=&amp;sourceID=34","")</f>
        <v/>
      </c>
      <c r="J748" s="4" t="str">
        <f>HYPERLINK("http://141.218.60.56/~jnz1568/getInfo.php?workbook=06_02.xlsx&amp;sheet=A0&amp;row=748&amp;col=10&amp;number=&amp;sourceID=34","")</f>
        <v/>
      </c>
      <c r="K748" s="4" t="str">
        <f>HYPERLINK("http://141.218.60.56/~jnz1568/getInfo.php?workbook=06_02.xlsx&amp;sheet=A0&amp;row=748&amp;col=11&amp;number=&amp;sourceID=30","")</f>
        <v/>
      </c>
      <c r="L748" s="4" t="str">
        <f>HYPERLINK("http://141.218.60.56/~jnz1568/getInfo.php?workbook=06_02.xlsx&amp;sheet=A0&amp;row=748&amp;col=12&amp;number=&amp;sourceID=30","")</f>
        <v/>
      </c>
      <c r="M748" s="4" t="str">
        <f>HYPERLINK("http://141.218.60.56/~jnz1568/getInfo.php?workbook=06_02.xlsx&amp;sheet=A0&amp;row=748&amp;col=13&amp;number=&amp;sourceID=30","")</f>
        <v/>
      </c>
      <c r="N748" s="4" t="str">
        <f>HYPERLINK("http://141.218.60.56/~jnz1568/getInfo.php?workbook=06_02.xlsx&amp;sheet=A0&amp;row=748&amp;col=14&amp;number=2.729e-09&amp;sourceID=30","2.729e-09")</f>
        <v>2.729e-09</v>
      </c>
      <c r="O748" s="4" t="str">
        <f>HYPERLINK("http://141.218.60.56/~jnz1568/getInfo.php?workbook=06_02.xlsx&amp;sheet=A0&amp;row=748&amp;col=15&amp;number=&amp;sourceID=32","")</f>
        <v/>
      </c>
      <c r="P748" s="4" t="str">
        <f>HYPERLINK("http://141.218.60.56/~jnz1568/getInfo.php?workbook=06_02.xlsx&amp;sheet=A0&amp;row=748&amp;col=16&amp;number=&amp;sourceID=32","")</f>
        <v/>
      </c>
      <c r="Q748" s="4" t="str">
        <f>HYPERLINK("http://141.218.60.56/~jnz1568/getInfo.php?workbook=06_02.xlsx&amp;sheet=A0&amp;row=748&amp;col=17&amp;number=&amp;sourceID=32","")</f>
        <v/>
      </c>
      <c r="R748" s="4" t="str">
        <f>HYPERLINK("http://141.218.60.56/~jnz1568/getInfo.php?workbook=06_02.xlsx&amp;sheet=A0&amp;row=748&amp;col=18&amp;number=1.163e-09&amp;sourceID=32","1.163e-09")</f>
        <v>1.163e-09</v>
      </c>
    </row>
    <row r="749" spans="1:18">
      <c r="A749" s="3">
        <v>6</v>
      </c>
      <c r="B749" s="3">
        <v>2</v>
      </c>
      <c r="C749" s="3">
        <v>44</v>
      </c>
      <c r="D749" s="3">
        <v>6</v>
      </c>
      <c r="E749" s="3">
        <f>((1/(INDEX(E0!J$4:J$52,C749,1)-INDEX(E0!J$4:J$52,D749,1))))*100000000</f>
        <v>0</v>
      </c>
      <c r="F749" s="4" t="str">
        <f>HYPERLINK("http://141.218.60.56/~jnz1568/getInfo.php?workbook=06_02.xlsx&amp;sheet=A0&amp;row=749&amp;col=6&amp;number=&amp;sourceID=27","")</f>
        <v/>
      </c>
      <c r="G749" s="4" t="str">
        <f>HYPERLINK("http://141.218.60.56/~jnz1568/getInfo.php?workbook=06_02.xlsx&amp;sheet=A0&amp;row=749&amp;col=7&amp;number=&amp;sourceID=34","")</f>
        <v/>
      </c>
      <c r="H749" s="4" t="str">
        <f>HYPERLINK("http://141.218.60.56/~jnz1568/getInfo.php?workbook=06_02.xlsx&amp;sheet=A0&amp;row=749&amp;col=8&amp;number=&amp;sourceID=34","")</f>
        <v/>
      </c>
      <c r="I749" s="4" t="str">
        <f>HYPERLINK("http://141.218.60.56/~jnz1568/getInfo.php?workbook=06_02.xlsx&amp;sheet=A0&amp;row=749&amp;col=9&amp;number=&amp;sourceID=34","")</f>
        <v/>
      </c>
      <c r="J749" s="4" t="str">
        <f>HYPERLINK("http://141.218.60.56/~jnz1568/getInfo.php?workbook=06_02.xlsx&amp;sheet=A0&amp;row=749&amp;col=10&amp;number=&amp;sourceID=34","")</f>
        <v/>
      </c>
      <c r="K749" s="4" t="str">
        <f>HYPERLINK("http://141.218.60.56/~jnz1568/getInfo.php?workbook=06_02.xlsx&amp;sheet=A0&amp;row=749&amp;col=11&amp;number=0.0716&amp;sourceID=30","0.0716")</f>
        <v>0.0716</v>
      </c>
      <c r="L749" s="4" t="str">
        <f>HYPERLINK("http://141.218.60.56/~jnz1568/getInfo.php?workbook=06_02.xlsx&amp;sheet=A0&amp;row=749&amp;col=12&amp;number=&amp;sourceID=30","")</f>
        <v/>
      </c>
      <c r="M749" s="4" t="str">
        <f>HYPERLINK("http://141.218.60.56/~jnz1568/getInfo.php?workbook=06_02.xlsx&amp;sheet=A0&amp;row=749&amp;col=13&amp;number=&amp;sourceID=30","")</f>
        <v/>
      </c>
      <c r="N749" s="4" t="str">
        <f>HYPERLINK("http://141.218.60.56/~jnz1568/getInfo.php?workbook=06_02.xlsx&amp;sheet=A0&amp;row=749&amp;col=14&amp;number=4.603e-10&amp;sourceID=30","4.603e-10")</f>
        <v>4.603e-10</v>
      </c>
      <c r="O749" s="4" t="str">
        <f>HYPERLINK("http://141.218.60.56/~jnz1568/getInfo.php?workbook=06_02.xlsx&amp;sheet=A0&amp;row=749&amp;col=15&amp;number=0.2026&amp;sourceID=32","0.2026")</f>
        <v>0.2026</v>
      </c>
      <c r="P749" s="4" t="str">
        <f>HYPERLINK("http://141.218.60.56/~jnz1568/getInfo.php?workbook=06_02.xlsx&amp;sheet=A0&amp;row=749&amp;col=16&amp;number=&amp;sourceID=32","")</f>
        <v/>
      </c>
      <c r="Q749" s="4" t="str">
        <f>HYPERLINK("http://141.218.60.56/~jnz1568/getInfo.php?workbook=06_02.xlsx&amp;sheet=A0&amp;row=749&amp;col=17&amp;number=&amp;sourceID=32","")</f>
        <v/>
      </c>
      <c r="R749" s="4" t="str">
        <f>HYPERLINK("http://141.218.60.56/~jnz1568/getInfo.php?workbook=06_02.xlsx&amp;sheet=A0&amp;row=749&amp;col=18&amp;number=5.363e-12&amp;sourceID=32","5.363e-12")</f>
        <v>5.363e-12</v>
      </c>
    </row>
    <row r="750" spans="1:18">
      <c r="A750" s="3">
        <v>6</v>
      </c>
      <c r="B750" s="3">
        <v>2</v>
      </c>
      <c r="C750" s="3">
        <v>44</v>
      </c>
      <c r="D750" s="3">
        <v>7</v>
      </c>
      <c r="E750" s="3">
        <f>((1/(INDEX(E0!J$4:J$52,C750,1)-INDEX(E0!J$4:J$52,D750,1))))*100000000</f>
        <v>0</v>
      </c>
      <c r="F750" s="4" t="str">
        <f>HYPERLINK("http://141.218.60.56/~jnz1568/getInfo.php?workbook=06_02.xlsx&amp;sheet=A0&amp;row=750&amp;col=6&amp;number=&amp;sourceID=27","")</f>
        <v/>
      </c>
      <c r="G750" s="4" t="str">
        <f>HYPERLINK("http://141.218.60.56/~jnz1568/getInfo.php?workbook=06_02.xlsx&amp;sheet=A0&amp;row=750&amp;col=7&amp;number=&amp;sourceID=34","")</f>
        <v/>
      </c>
      <c r="H750" s="4" t="str">
        <f>HYPERLINK("http://141.218.60.56/~jnz1568/getInfo.php?workbook=06_02.xlsx&amp;sheet=A0&amp;row=750&amp;col=8&amp;number=&amp;sourceID=34","")</f>
        <v/>
      </c>
      <c r="I750" s="4" t="str">
        <f>HYPERLINK("http://141.218.60.56/~jnz1568/getInfo.php?workbook=06_02.xlsx&amp;sheet=A0&amp;row=750&amp;col=9&amp;number=&amp;sourceID=34","")</f>
        <v/>
      </c>
      <c r="J750" s="4" t="str">
        <f>HYPERLINK("http://141.218.60.56/~jnz1568/getInfo.php?workbook=06_02.xlsx&amp;sheet=A0&amp;row=750&amp;col=10&amp;number=&amp;sourceID=34","")</f>
        <v/>
      </c>
      <c r="K750" s="4" t="str">
        <f>HYPERLINK("http://141.218.60.56/~jnz1568/getInfo.php?workbook=06_02.xlsx&amp;sheet=A0&amp;row=750&amp;col=11&amp;number=&amp;sourceID=30","")</f>
        <v/>
      </c>
      <c r="L750" s="4" t="str">
        <f>HYPERLINK("http://141.218.60.56/~jnz1568/getInfo.php?workbook=06_02.xlsx&amp;sheet=A0&amp;row=750&amp;col=12&amp;number=&amp;sourceID=30","")</f>
        <v/>
      </c>
      <c r="M750" s="4" t="str">
        <f>HYPERLINK("http://141.218.60.56/~jnz1568/getInfo.php?workbook=06_02.xlsx&amp;sheet=A0&amp;row=750&amp;col=13&amp;number=&amp;sourceID=30","")</f>
        <v/>
      </c>
      <c r="N750" s="4" t="str">
        <f>HYPERLINK("http://141.218.60.56/~jnz1568/getInfo.php?workbook=06_02.xlsx&amp;sheet=A0&amp;row=750&amp;col=14&amp;number=1.031e-09&amp;sourceID=30","1.031e-09")</f>
        <v>1.031e-09</v>
      </c>
      <c r="O750" s="4" t="str">
        <f>HYPERLINK("http://141.218.60.56/~jnz1568/getInfo.php?workbook=06_02.xlsx&amp;sheet=A0&amp;row=750&amp;col=15&amp;number=&amp;sourceID=32","")</f>
        <v/>
      </c>
      <c r="P750" s="4" t="str">
        <f>HYPERLINK("http://141.218.60.56/~jnz1568/getInfo.php?workbook=06_02.xlsx&amp;sheet=A0&amp;row=750&amp;col=16&amp;number=&amp;sourceID=32","")</f>
        <v/>
      </c>
      <c r="Q750" s="4" t="str">
        <f>HYPERLINK("http://141.218.60.56/~jnz1568/getInfo.php?workbook=06_02.xlsx&amp;sheet=A0&amp;row=750&amp;col=17&amp;number=&amp;sourceID=32","")</f>
        <v/>
      </c>
      <c r="R750" s="4" t="str">
        <f>HYPERLINK("http://141.218.60.56/~jnz1568/getInfo.php?workbook=06_02.xlsx&amp;sheet=A0&amp;row=750&amp;col=18&amp;number=2.965e-09&amp;sourceID=32","2.965e-09")</f>
        <v>2.965e-09</v>
      </c>
    </row>
    <row r="751" spans="1:18">
      <c r="A751" s="3">
        <v>6</v>
      </c>
      <c r="B751" s="3">
        <v>2</v>
      </c>
      <c r="C751" s="3">
        <v>44</v>
      </c>
      <c r="D751" s="3">
        <v>8</v>
      </c>
      <c r="E751" s="3">
        <f>((1/(INDEX(E0!J$4:J$52,C751,1)-INDEX(E0!J$4:J$52,D751,1))))*100000000</f>
        <v>0</v>
      </c>
      <c r="F751" s="4" t="str">
        <f>HYPERLINK("http://141.218.60.56/~jnz1568/getInfo.php?workbook=06_02.xlsx&amp;sheet=A0&amp;row=751&amp;col=6&amp;number=&amp;sourceID=27","")</f>
        <v/>
      </c>
      <c r="G751" s="4" t="str">
        <f>HYPERLINK("http://141.218.60.56/~jnz1568/getInfo.php?workbook=06_02.xlsx&amp;sheet=A0&amp;row=751&amp;col=7&amp;number=&amp;sourceID=34","")</f>
        <v/>
      </c>
      <c r="H751" s="4" t="str">
        <f>HYPERLINK("http://141.218.60.56/~jnz1568/getInfo.php?workbook=06_02.xlsx&amp;sheet=A0&amp;row=751&amp;col=8&amp;number=&amp;sourceID=34","")</f>
        <v/>
      </c>
      <c r="I751" s="4" t="str">
        <f>HYPERLINK("http://141.218.60.56/~jnz1568/getInfo.php?workbook=06_02.xlsx&amp;sheet=A0&amp;row=751&amp;col=9&amp;number=&amp;sourceID=34","")</f>
        <v/>
      </c>
      <c r="J751" s="4" t="str">
        <f>HYPERLINK("http://141.218.60.56/~jnz1568/getInfo.php?workbook=06_02.xlsx&amp;sheet=A0&amp;row=751&amp;col=10&amp;number=&amp;sourceID=34","")</f>
        <v/>
      </c>
      <c r="K751" s="4" t="str">
        <f>HYPERLINK("http://141.218.60.56/~jnz1568/getInfo.php?workbook=06_02.xlsx&amp;sheet=A0&amp;row=751&amp;col=11&amp;number=&amp;sourceID=30","")</f>
        <v/>
      </c>
      <c r="L751" s="4" t="str">
        <f>HYPERLINK("http://141.218.60.56/~jnz1568/getInfo.php?workbook=06_02.xlsx&amp;sheet=A0&amp;row=751&amp;col=12&amp;number=0.0009056&amp;sourceID=30","0.0009056")</f>
        <v>0.0009056</v>
      </c>
      <c r="M751" s="4" t="str">
        <f>HYPERLINK("http://141.218.60.56/~jnz1568/getInfo.php?workbook=06_02.xlsx&amp;sheet=A0&amp;row=751&amp;col=13&amp;number=&amp;sourceID=30","")</f>
        <v/>
      </c>
      <c r="N751" s="4" t="str">
        <f>HYPERLINK("http://141.218.60.56/~jnz1568/getInfo.php?workbook=06_02.xlsx&amp;sheet=A0&amp;row=751&amp;col=14&amp;number=&amp;sourceID=30","")</f>
        <v/>
      </c>
      <c r="O751" s="4" t="str">
        <f>HYPERLINK("http://141.218.60.56/~jnz1568/getInfo.php?workbook=06_02.xlsx&amp;sheet=A0&amp;row=751&amp;col=15&amp;number=&amp;sourceID=32","")</f>
        <v/>
      </c>
      <c r="P751" s="4" t="str">
        <f>HYPERLINK("http://141.218.60.56/~jnz1568/getInfo.php?workbook=06_02.xlsx&amp;sheet=A0&amp;row=751&amp;col=16&amp;number=0.000737&amp;sourceID=32","0.000737")</f>
        <v>0.000737</v>
      </c>
      <c r="Q751" s="4" t="str">
        <f>HYPERLINK("http://141.218.60.56/~jnz1568/getInfo.php?workbook=06_02.xlsx&amp;sheet=A0&amp;row=751&amp;col=17&amp;number=&amp;sourceID=32","")</f>
        <v/>
      </c>
      <c r="R751" s="4" t="str">
        <f>HYPERLINK("http://141.218.60.56/~jnz1568/getInfo.php?workbook=06_02.xlsx&amp;sheet=A0&amp;row=751&amp;col=18&amp;number=&amp;sourceID=32","")</f>
        <v/>
      </c>
    </row>
    <row r="752" spans="1:18">
      <c r="A752" s="3">
        <v>6</v>
      </c>
      <c r="B752" s="3">
        <v>2</v>
      </c>
      <c r="C752" s="3">
        <v>44</v>
      </c>
      <c r="D752" s="3">
        <v>10</v>
      </c>
      <c r="E752" s="3">
        <f>((1/(INDEX(E0!J$4:J$52,C752,1)-INDEX(E0!J$4:J$52,D752,1))))*100000000</f>
        <v>0</v>
      </c>
      <c r="F752" s="4" t="str">
        <f>HYPERLINK("http://141.218.60.56/~jnz1568/getInfo.php?workbook=06_02.xlsx&amp;sheet=A0&amp;row=752&amp;col=6&amp;number=&amp;sourceID=27","")</f>
        <v/>
      </c>
      <c r="G752" s="4" t="str">
        <f>HYPERLINK("http://141.218.60.56/~jnz1568/getInfo.php?workbook=06_02.xlsx&amp;sheet=A0&amp;row=752&amp;col=7&amp;number=&amp;sourceID=34","")</f>
        <v/>
      </c>
      <c r="H752" s="4" t="str">
        <f>HYPERLINK("http://141.218.60.56/~jnz1568/getInfo.php?workbook=06_02.xlsx&amp;sheet=A0&amp;row=752&amp;col=8&amp;number=&amp;sourceID=34","")</f>
        <v/>
      </c>
      <c r="I752" s="4" t="str">
        <f>HYPERLINK("http://141.218.60.56/~jnz1568/getInfo.php?workbook=06_02.xlsx&amp;sheet=A0&amp;row=752&amp;col=9&amp;number=&amp;sourceID=34","")</f>
        <v/>
      </c>
      <c r="J752" s="4" t="str">
        <f>HYPERLINK("http://141.218.60.56/~jnz1568/getInfo.php?workbook=06_02.xlsx&amp;sheet=A0&amp;row=752&amp;col=10&amp;number=&amp;sourceID=34","")</f>
        <v/>
      </c>
      <c r="K752" s="4" t="str">
        <f>HYPERLINK("http://141.218.60.56/~jnz1568/getInfo.php?workbook=06_02.xlsx&amp;sheet=A0&amp;row=752&amp;col=11&amp;number=&amp;sourceID=30","")</f>
        <v/>
      </c>
      <c r="L752" s="4" t="str">
        <f>HYPERLINK("http://141.218.60.56/~jnz1568/getInfo.php?workbook=06_02.xlsx&amp;sheet=A0&amp;row=752&amp;col=12&amp;number=&amp;sourceID=30","")</f>
        <v/>
      </c>
      <c r="M752" s="4" t="str">
        <f>HYPERLINK("http://141.218.60.56/~jnz1568/getInfo.php?workbook=06_02.xlsx&amp;sheet=A0&amp;row=752&amp;col=13&amp;number=&amp;sourceID=30","")</f>
        <v/>
      </c>
      <c r="N752" s="4" t="str">
        <f>HYPERLINK("http://141.218.60.56/~jnz1568/getInfo.php?workbook=06_02.xlsx&amp;sheet=A0&amp;row=752&amp;col=14&amp;number=1.604e-10&amp;sourceID=30","1.604e-10")</f>
        <v>1.604e-10</v>
      </c>
      <c r="O752" s="4" t="str">
        <f>HYPERLINK("http://141.218.60.56/~jnz1568/getInfo.php?workbook=06_02.xlsx&amp;sheet=A0&amp;row=752&amp;col=15&amp;number=&amp;sourceID=32","")</f>
        <v/>
      </c>
      <c r="P752" s="4" t="str">
        <f>HYPERLINK("http://141.218.60.56/~jnz1568/getInfo.php?workbook=06_02.xlsx&amp;sheet=A0&amp;row=752&amp;col=16&amp;number=&amp;sourceID=32","")</f>
        <v/>
      </c>
      <c r="Q752" s="4" t="str">
        <f>HYPERLINK("http://141.218.60.56/~jnz1568/getInfo.php?workbook=06_02.xlsx&amp;sheet=A0&amp;row=752&amp;col=17&amp;number=&amp;sourceID=32","")</f>
        <v/>
      </c>
      <c r="R752" s="4" t="str">
        <f>HYPERLINK("http://141.218.60.56/~jnz1568/getInfo.php?workbook=06_02.xlsx&amp;sheet=A0&amp;row=752&amp;col=18&amp;number=2.487e-10&amp;sourceID=32","2.487e-10")</f>
        <v>2.487e-10</v>
      </c>
    </row>
    <row r="753" spans="1:18">
      <c r="A753" s="3">
        <v>6</v>
      </c>
      <c r="B753" s="3">
        <v>2</v>
      </c>
      <c r="C753" s="3">
        <v>44</v>
      </c>
      <c r="D753" s="3">
        <v>12</v>
      </c>
      <c r="E753" s="3">
        <f>((1/(INDEX(E0!J$4:J$52,C753,1)-INDEX(E0!J$4:J$52,D753,1))))*100000000</f>
        <v>0</v>
      </c>
      <c r="F753" s="4" t="str">
        <f>HYPERLINK("http://141.218.60.56/~jnz1568/getInfo.php?workbook=06_02.xlsx&amp;sheet=A0&amp;row=753&amp;col=6&amp;number=&amp;sourceID=27","")</f>
        <v/>
      </c>
      <c r="G753" s="4" t="str">
        <f>HYPERLINK("http://141.218.60.56/~jnz1568/getInfo.php?workbook=06_02.xlsx&amp;sheet=A0&amp;row=753&amp;col=7&amp;number=&amp;sourceID=34","")</f>
        <v/>
      </c>
      <c r="H753" s="4" t="str">
        <f>HYPERLINK("http://141.218.60.56/~jnz1568/getInfo.php?workbook=06_02.xlsx&amp;sheet=A0&amp;row=753&amp;col=8&amp;number=&amp;sourceID=34","")</f>
        <v/>
      </c>
      <c r="I753" s="4" t="str">
        <f>HYPERLINK("http://141.218.60.56/~jnz1568/getInfo.php?workbook=06_02.xlsx&amp;sheet=A0&amp;row=753&amp;col=9&amp;number=&amp;sourceID=34","")</f>
        <v/>
      </c>
      <c r="J753" s="4" t="str">
        <f>HYPERLINK("http://141.218.60.56/~jnz1568/getInfo.php?workbook=06_02.xlsx&amp;sheet=A0&amp;row=753&amp;col=10&amp;number=&amp;sourceID=34","")</f>
        <v/>
      </c>
      <c r="K753" s="4" t="str">
        <f>HYPERLINK("http://141.218.60.56/~jnz1568/getInfo.php?workbook=06_02.xlsx&amp;sheet=A0&amp;row=753&amp;col=11&amp;number=0.02879&amp;sourceID=30","0.02879")</f>
        <v>0.02879</v>
      </c>
      <c r="L753" s="4" t="str">
        <f>HYPERLINK("http://141.218.60.56/~jnz1568/getInfo.php?workbook=06_02.xlsx&amp;sheet=A0&amp;row=753&amp;col=12&amp;number=&amp;sourceID=30","")</f>
        <v/>
      </c>
      <c r="M753" s="4" t="str">
        <f>HYPERLINK("http://141.218.60.56/~jnz1568/getInfo.php?workbook=06_02.xlsx&amp;sheet=A0&amp;row=753&amp;col=13&amp;number=&amp;sourceID=30","")</f>
        <v/>
      </c>
      <c r="N753" s="4" t="str">
        <f>HYPERLINK("http://141.218.60.56/~jnz1568/getInfo.php?workbook=06_02.xlsx&amp;sheet=A0&amp;row=753&amp;col=14&amp;number=1.922e-10&amp;sourceID=30","1.922e-10")</f>
        <v>1.922e-10</v>
      </c>
      <c r="O753" s="4" t="str">
        <f>HYPERLINK("http://141.218.60.56/~jnz1568/getInfo.php?workbook=06_02.xlsx&amp;sheet=A0&amp;row=753&amp;col=15&amp;number=0.007584&amp;sourceID=32","0.007584")</f>
        <v>0.007584</v>
      </c>
      <c r="P753" s="4" t="str">
        <f>HYPERLINK("http://141.218.60.56/~jnz1568/getInfo.php?workbook=06_02.xlsx&amp;sheet=A0&amp;row=753&amp;col=16&amp;number=&amp;sourceID=32","")</f>
        <v/>
      </c>
      <c r="Q753" s="4" t="str">
        <f>HYPERLINK("http://141.218.60.56/~jnz1568/getInfo.php?workbook=06_02.xlsx&amp;sheet=A0&amp;row=753&amp;col=17&amp;number=&amp;sourceID=32","")</f>
        <v/>
      </c>
      <c r="R753" s="4" t="str">
        <f>HYPERLINK("http://141.218.60.56/~jnz1568/getInfo.php?workbook=06_02.xlsx&amp;sheet=A0&amp;row=753&amp;col=18&amp;number=2.108e-10&amp;sourceID=32","2.108e-10")</f>
        <v>2.108e-10</v>
      </c>
    </row>
    <row r="754" spans="1:18">
      <c r="A754" s="3">
        <v>6</v>
      </c>
      <c r="B754" s="3">
        <v>2</v>
      </c>
      <c r="C754" s="3">
        <v>44</v>
      </c>
      <c r="D754" s="3">
        <v>13</v>
      </c>
      <c r="E754" s="3">
        <f>((1/(INDEX(E0!J$4:J$52,C754,1)-INDEX(E0!J$4:J$52,D754,1))))*100000000</f>
        <v>0</v>
      </c>
      <c r="F754" s="4" t="str">
        <f>HYPERLINK("http://141.218.60.56/~jnz1568/getInfo.php?workbook=06_02.xlsx&amp;sheet=A0&amp;row=754&amp;col=6&amp;number=&amp;sourceID=27","")</f>
        <v/>
      </c>
      <c r="G754" s="4" t="str">
        <f>HYPERLINK("http://141.218.60.56/~jnz1568/getInfo.php?workbook=06_02.xlsx&amp;sheet=A0&amp;row=754&amp;col=7&amp;number=&amp;sourceID=34","")</f>
        <v/>
      </c>
      <c r="H754" s="4" t="str">
        <f>HYPERLINK("http://141.218.60.56/~jnz1568/getInfo.php?workbook=06_02.xlsx&amp;sheet=A0&amp;row=754&amp;col=8&amp;number=&amp;sourceID=34","")</f>
        <v/>
      </c>
      <c r="I754" s="4" t="str">
        <f>HYPERLINK("http://141.218.60.56/~jnz1568/getInfo.php?workbook=06_02.xlsx&amp;sheet=A0&amp;row=754&amp;col=9&amp;number=&amp;sourceID=34","")</f>
        <v/>
      </c>
      <c r="J754" s="4" t="str">
        <f>HYPERLINK("http://141.218.60.56/~jnz1568/getInfo.php?workbook=06_02.xlsx&amp;sheet=A0&amp;row=754&amp;col=10&amp;number=&amp;sourceID=34","")</f>
        <v/>
      </c>
      <c r="K754" s="4" t="str">
        <f>HYPERLINK("http://141.218.60.56/~jnz1568/getInfo.php?workbook=06_02.xlsx&amp;sheet=A0&amp;row=754&amp;col=11&amp;number=&amp;sourceID=30","")</f>
        <v/>
      </c>
      <c r="L754" s="4" t="str">
        <f>HYPERLINK("http://141.218.60.56/~jnz1568/getInfo.php?workbook=06_02.xlsx&amp;sheet=A0&amp;row=754&amp;col=12&amp;number=140000&amp;sourceID=30","140000")</f>
        <v>140000</v>
      </c>
      <c r="M754" s="4" t="str">
        <f>HYPERLINK("http://141.218.60.56/~jnz1568/getInfo.php?workbook=06_02.xlsx&amp;sheet=A0&amp;row=754&amp;col=13&amp;number=&amp;sourceID=30","")</f>
        <v/>
      </c>
      <c r="N754" s="4" t="str">
        <f>HYPERLINK("http://141.218.60.56/~jnz1568/getInfo.php?workbook=06_02.xlsx&amp;sheet=A0&amp;row=754&amp;col=14&amp;number=&amp;sourceID=30","")</f>
        <v/>
      </c>
      <c r="O754" s="4" t="str">
        <f>HYPERLINK("http://141.218.60.56/~jnz1568/getInfo.php?workbook=06_02.xlsx&amp;sheet=A0&amp;row=754&amp;col=15&amp;number=&amp;sourceID=32","")</f>
        <v/>
      </c>
      <c r="P754" s="4" t="str">
        <f>HYPERLINK("http://141.218.60.56/~jnz1568/getInfo.php?workbook=06_02.xlsx&amp;sheet=A0&amp;row=754&amp;col=16&amp;number=140000&amp;sourceID=32","140000")</f>
        <v>140000</v>
      </c>
      <c r="Q754" s="4" t="str">
        <f>HYPERLINK("http://141.218.60.56/~jnz1568/getInfo.php?workbook=06_02.xlsx&amp;sheet=A0&amp;row=754&amp;col=17&amp;number=&amp;sourceID=32","")</f>
        <v/>
      </c>
      <c r="R754" s="4" t="str">
        <f>HYPERLINK("http://141.218.60.56/~jnz1568/getInfo.php?workbook=06_02.xlsx&amp;sheet=A0&amp;row=754&amp;col=18&amp;number=&amp;sourceID=32","")</f>
        <v/>
      </c>
    </row>
    <row r="755" spans="1:18">
      <c r="A755" s="3">
        <v>6</v>
      </c>
      <c r="B755" s="3">
        <v>2</v>
      </c>
      <c r="C755" s="3">
        <v>44</v>
      </c>
      <c r="D755" s="3">
        <v>14</v>
      </c>
      <c r="E755" s="3">
        <f>((1/(INDEX(E0!J$4:J$52,C755,1)-INDEX(E0!J$4:J$52,D755,1))))*100000000</f>
        <v>0</v>
      </c>
      <c r="F755" s="4" t="str">
        <f>HYPERLINK("http://141.218.60.56/~jnz1568/getInfo.php?workbook=06_02.xlsx&amp;sheet=A0&amp;row=755&amp;col=6&amp;number=&amp;sourceID=27","")</f>
        <v/>
      </c>
      <c r="G755" s="4" t="str">
        <f>HYPERLINK("http://141.218.60.56/~jnz1568/getInfo.php?workbook=06_02.xlsx&amp;sheet=A0&amp;row=755&amp;col=7&amp;number=&amp;sourceID=34","")</f>
        <v/>
      </c>
      <c r="H755" s="4" t="str">
        <f>HYPERLINK("http://141.218.60.56/~jnz1568/getInfo.php?workbook=06_02.xlsx&amp;sheet=A0&amp;row=755&amp;col=8&amp;number=&amp;sourceID=34","")</f>
        <v/>
      </c>
      <c r="I755" s="4" t="str">
        <f>HYPERLINK("http://141.218.60.56/~jnz1568/getInfo.php?workbook=06_02.xlsx&amp;sheet=A0&amp;row=755&amp;col=9&amp;number=&amp;sourceID=34","")</f>
        <v/>
      </c>
      <c r="J755" s="4" t="str">
        <f>HYPERLINK("http://141.218.60.56/~jnz1568/getInfo.php?workbook=06_02.xlsx&amp;sheet=A0&amp;row=755&amp;col=10&amp;number=&amp;sourceID=34","")</f>
        <v/>
      </c>
      <c r="K755" s="4" t="str">
        <f>HYPERLINK("http://141.218.60.56/~jnz1568/getInfo.php?workbook=06_02.xlsx&amp;sheet=A0&amp;row=755&amp;col=11&amp;number=&amp;sourceID=30","")</f>
        <v/>
      </c>
      <c r="L755" s="4" t="str">
        <f>HYPERLINK("http://141.218.60.56/~jnz1568/getInfo.php?workbook=06_02.xlsx&amp;sheet=A0&amp;row=755&amp;col=12&amp;number=38780&amp;sourceID=30","38780")</f>
        <v>38780</v>
      </c>
      <c r="M755" s="4" t="str">
        <f>HYPERLINK("http://141.218.60.56/~jnz1568/getInfo.php?workbook=06_02.xlsx&amp;sheet=A0&amp;row=755&amp;col=13&amp;number=5.933e-06&amp;sourceID=30","5.933e-06")</f>
        <v>5.933e-06</v>
      </c>
      <c r="N755" s="4" t="str">
        <f>HYPERLINK("http://141.218.60.56/~jnz1568/getInfo.php?workbook=06_02.xlsx&amp;sheet=A0&amp;row=755&amp;col=14&amp;number=&amp;sourceID=30","")</f>
        <v/>
      </c>
      <c r="O755" s="4" t="str">
        <f>HYPERLINK("http://141.218.60.56/~jnz1568/getInfo.php?workbook=06_02.xlsx&amp;sheet=A0&amp;row=755&amp;col=15&amp;number=&amp;sourceID=32","")</f>
        <v/>
      </c>
      <c r="P755" s="4" t="str">
        <f>HYPERLINK("http://141.218.60.56/~jnz1568/getInfo.php?workbook=06_02.xlsx&amp;sheet=A0&amp;row=755&amp;col=16&amp;number=38720&amp;sourceID=32","38720")</f>
        <v>38720</v>
      </c>
      <c r="Q755" s="4" t="str">
        <f>HYPERLINK("http://141.218.60.56/~jnz1568/getInfo.php?workbook=06_02.xlsx&amp;sheet=A0&amp;row=755&amp;col=17&amp;number=8.561e-06&amp;sourceID=32","8.561e-06")</f>
        <v>8.561e-06</v>
      </c>
      <c r="R755" s="4" t="str">
        <f>HYPERLINK("http://141.218.60.56/~jnz1568/getInfo.php?workbook=06_02.xlsx&amp;sheet=A0&amp;row=755&amp;col=18&amp;number=&amp;sourceID=32","")</f>
        <v/>
      </c>
    </row>
    <row r="756" spans="1:18">
      <c r="A756" s="3">
        <v>6</v>
      </c>
      <c r="B756" s="3">
        <v>2</v>
      </c>
      <c r="C756" s="3">
        <v>44</v>
      </c>
      <c r="D756" s="3">
        <v>15</v>
      </c>
      <c r="E756" s="3">
        <f>((1/(INDEX(E0!J$4:J$52,C756,1)-INDEX(E0!J$4:J$52,D756,1))))*100000000</f>
        <v>0</v>
      </c>
      <c r="F756" s="4" t="str">
        <f>HYPERLINK("http://141.218.60.56/~jnz1568/getInfo.php?workbook=06_02.xlsx&amp;sheet=A0&amp;row=756&amp;col=6&amp;number=&amp;sourceID=27","")</f>
        <v/>
      </c>
      <c r="G756" s="4" t="str">
        <f>HYPERLINK("http://141.218.60.56/~jnz1568/getInfo.php?workbook=06_02.xlsx&amp;sheet=A0&amp;row=756&amp;col=7&amp;number=&amp;sourceID=34","")</f>
        <v/>
      </c>
      <c r="H756" s="4" t="str">
        <f>HYPERLINK("http://141.218.60.56/~jnz1568/getInfo.php?workbook=06_02.xlsx&amp;sheet=A0&amp;row=756&amp;col=8&amp;number=&amp;sourceID=34","")</f>
        <v/>
      </c>
      <c r="I756" s="4" t="str">
        <f>HYPERLINK("http://141.218.60.56/~jnz1568/getInfo.php?workbook=06_02.xlsx&amp;sheet=A0&amp;row=756&amp;col=9&amp;number=&amp;sourceID=34","")</f>
        <v/>
      </c>
      <c r="J756" s="4" t="str">
        <f>HYPERLINK("http://141.218.60.56/~jnz1568/getInfo.php?workbook=06_02.xlsx&amp;sheet=A0&amp;row=756&amp;col=10&amp;number=&amp;sourceID=34","")</f>
        <v/>
      </c>
      <c r="K756" s="4" t="str">
        <f>HYPERLINK("http://141.218.60.56/~jnz1568/getInfo.php?workbook=06_02.xlsx&amp;sheet=A0&amp;row=756&amp;col=11&amp;number=&amp;sourceID=30","")</f>
        <v/>
      </c>
      <c r="L756" s="4" t="str">
        <f>HYPERLINK("http://141.218.60.56/~jnz1568/getInfo.php?workbook=06_02.xlsx&amp;sheet=A0&amp;row=756&amp;col=12&amp;number=2593&amp;sourceID=30","2593")</f>
        <v>2593</v>
      </c>
      <c r="M756" s="4" t="str">
        <f>HYPERLINK("http://141.218.60.56/~jnz1568/getInfo.php?workbook=06_02.xlsx&amp;sheet=A0&amp;row=756&amp;col=13&amp;number=2.572e-06&amp;sourceID=30","2.572e-06")</f>
        <v>2.572e-06</v>
      </c>
      <c r="N756" s="4" t="str">
        <f>HYPERLINK("http://141.218.60.56/~jnz1568/getInfo.php?workbook=06_02.xlsx&amp;sheet=A0&amp;row=756&amp;col=14&amp;number=&amp;sourceID=30","")</f>
        <v/>
      </c>
      <c r="O756" s="4" t="str">
        <f>HYPERLINK("http://141.218.60.56/~jnz1568/getInfo.php?workbook=06_02.xlsx&amp;sheet=A0&amp;row=756&amp;col=15&amp;number=&amp;sourceID=32","")</f>
        <v/>
      </c>
      <c r="P756" s="4" t="str">
        <f>HYPERLINK("http://141.218.60.56/~jnz1568/getInfo.php?workbook=06_02.xlsx&amp;sheet=A0&amp;row=756&amp;col=16&amp;number=2592&amp;sourceID=32","2592")</f>
        <v>2592</v>
      </c>
      <c r="Q756" s="4" t="str">
        <f>HYPERLINK("http://141.218.60.56/~jnz1568/getInfo.php?workbook=06_02.xlsx&amp;sheet=A0&amp;row=756&amp;col=17&amp;number=3.251e-06&amp;sourceID=32","3.251e-06")</f>
        <v>3.251e-06</v>
      </c>
      <c r="R756" s="4" t="str">
        <f>HYPERLINK("http://141.218.60.56/~jnz1568/getInfo.php?workbook=06_02.xlsx&amp;sheet=A0&amp;row=756&amp;col=18&amp;number=&amp;sourceID=32","")</f>
        <v/>
      </c>
    </row>
    <row r="757" spans="1:18">
      <c r="A757" s="3">
        <v>6</v>
      </c>
      <c r="B757" s="3">
        <v>2</v>
      </c>
      <c r="C757" s="3">
        <v>44</v>
      </c>
      <c r="D757" s="3">
        <v>16</v>
      </c>
      <c r="E757" s="3">
        <f>((1/(INDEX(E0!J$4:J$52,C757,1)-INDEX(E0!J$4:J$52,D757,1))))*100000000</f>
        <v>0</v>
      </c>
      <c r="F757" s="4" t="str">
        <f>HYPERLINK("http://141.218.60.56/~jnz1568/getInfo.php?workbook=06_02.xlsx&amp;sheet=A0&amp;row=757&amp;col=6&amp;number=&amp;sourceID=27","")</f>
        <v/>
      </c>
      <c r="G757" s="4" t="str">
        <f>HYPERLINK("http://141.218.60.56/~jnz1568/getInfo.php?workbook=06_02.xlsx&amp;sheet=A0&amp;row=757&amp;col=7&amp;number=&amp;sourceID=34","")</f>
        <v/>
      </c>
      <c r="H757" s="4" t="str">
        <f>HYPERLINK("http://141.218.60.56/~jnz1568/getInfo.php?workbook=06_02.xlsx&amp;sheet=A0&amp;row=757&amp;col=8&amp;number=&amp;sourceID=34","")</f>
        <v/>
      </c>
      <c r="I757" s="4" t="str">
        <f>HYPERLINK("http://141.218.60.56/~jnz1568/getInfo.php?workbook=06_02.xlsx&amp;sheet=A0&amp;row=757&amp;col=9&amp;number=&amp;sourceID=34","")</f>
        <v/>
      </c>
      <c r="J757" s="4" t="str">
        <f>HYPERLINK("http://141.218.60.56/~jnz1568/getInfo.php?workbook=06_02.xlsx&amp;sheet=A0&amp;row=757&amp;col=10&amp;number=&amp;sourceID=34","")</f>
        <v/>
      </c>
      <c r="K757" s="4" t="str">
        <f>HYPERLINK("http://141.218.60.56/~jnz1568/getInfo.php?workbook=06_02.xlsx&amp;sheet=A0&amp;row=757&amp;col=11&amp;number=&amp;sourceID=30","")</f>
        <v/>
      </c>
      <c r="L757" s="4" t="str">
        <f>HYPERLINK("http://141.218.60.56/~jnz1568/getInfo.php?workbook=06_02.xlsx&amp;sheet=A0&amp;row=757&amp;col=12&amp;number=121.8&amp;sourceID=30","121.8")</f>
        <v>121.8</v>
      </c>
      <c r="M757" s="4" t="str">
        <f>HYPERLINK("http://141.218.60.56/~jnz1568/getInfo.php?workbook=06_02.xlsx&amp;sheet=A0&amp;row=757&amp;col=13&amp;number=8.563e-06&amp;sourceID=30","8.563e-06")</f>
        <v>8.563e-06</v>
      </c>
      <c r="N757" s="4" t="str">
        <f>HYPERLINK("http://141.218.60.56/~jnz1568/getInfo.php?workbook=06_02.xlsx&amp;sheet=A0&amp;row=757&amp;col=14&amp;number=&amp;sourceID=30","")</f>
        <v/>
      </c>
      <c r="O757" s="4" t="str">
        <f>HYPERLINK("http://141.218.60.56/~jnz1568/getInfo.php?workbook=06_02.xlsx&amp;sheet=A0&amp;row=757&amp;col=15&amp;number=&amp;sourceID=32","")</f>
        <v/>
      </c>
      <c r="P757" s="4" t="str">
        <f>HYPERLINK("http://141.218.60.56/~jnz1568/getInfo.php?workbook=06_02.xlsx&amp;sheet=A0&amp;row=757&amp;col=16&amp;number=165.9&amp;sourceID=32","165.9")</f>
        <v>165.9</v>
      </c>
      <c r="Q757" s="4" t="str">
        <f>HYPERLINK("http://141.218.60.56/~jnz1568/getInfo.php?workbook=06_02.xlsx&amp;sheet=A0&amp;row=757&amp;col=17&amp;number=1.356e-05&amp;sourceID=32","1.356e-05")</f>
        <v>1.356e-05</v>
      </c>
      <c r="R757" s="4" t="str">
        <f>HYPERLINK("http://141.218.60.56/~jnz1568/getInfo.php?workbook=06_02.xlsx&amp;sheet=A0&amp;row=757&amp;col=18&amp;number=&amp;sourceID=32","")</f>
        <v/>
      </c>
    </row>
    <row r="758" spans="1:18">
      <c r="A758" s="3">
        <v>6</v>
      </c>
      <c r="B758" s="3">
        <v>2</v>
      </c>
      <c r="C758" s="3">
        <v>44</v>
      </c>
      <c r="D758" s="3">
        <v>17</v>
      </c>
      <c r="E758" s="3">
        <f>((1/(INDEX(E0!J$4:J$52,C758,1)-INDEX(E0!J$4:J$52,D758,1))))*100000000</f>
        <v>0</v>
      </c>
      <c r="F758" s="4" t="str">
        <f>HYPERLINK("http://141.218.60.56/~jnz1568/getInfo.php?workbook=06_02.xlsx&amp;sheet=A0&amp;row=758&amp;col=6&amp;number=&amp;sourceID=27","")</f>
        <v/>
      </c>
      <c r="G758" s="4" t="str">
        <f>HYPERLINK("http://141.218.60.56/~jnz1568/getInfo.php?workbook=06_02.xlsx&amp;sheet=A0&amp;row=758&amp;col=7&amp;number=&amp;sourceID=34","")</f>
        <v/>
      </c>
      <c r="H758" s="4" t="str">
        <f>HYPERLINK("http://141.218.60.56/~jnz1568/getInfo.php?workbook=06_02.xlsx&amp;sheet=A0&amp;row=758&amp;col=8&amp;number=&amp;sourceID=34","")</f>
        <v/>
      </c>
      <c r="I758" s="4" t="str">
        <f>HYPERLINK("http://141.218.60.56/~jnz1568/getInfo.php?workbook=06_02.xlsx&amp;sheet=A0&amp;row=758&amp;col=9&amp;number=&amp;sourceID=34","")</f>
        <v/>
      </c>
      <c r="J758" s="4" t="str">
        <f>HYPERLINK("http://141.218.60.56/~jnz1568/getInfo.php?workbook=06_02.xlsx&amp;sheet=A0&amp;row=758&amp;col=10&amp;number=&amp;sourceID=34","")</f>
        <v/>
      </c>
      <c r="K758" s="4" t="str">
        <f>HYPERLINK("http://141.218.60.56/~jnz1568/getInfo.php?workbook=06_02.xlsx&amp;sheet=A0&amp;row=758&amp;col=11&amp;number=&amp;sourceID=30","")</f>
        <v/>
      </c>
      <c r="L758" s="4" t="str">
        <f>HYPERLINK("http://141.218.60.56/~jnz1568/getInfo.php?workbook=06_02.xlsx&amp;sheet=A0&amp;row=758&amp;col=12&amp;number=&amp;sourceID=30","")</f>
        <v/>
      </c>
      <c r="M758" s="4" t="str">
        <f>HYPERLINK("http://141.218.60.56/~jnz1568/getInfo.php?workbook=06_02.xlsx&amp;sheet=A0&amp;row=758&amp;col=13&amp;number=&amp;sourceID=30","")</f>
        <v/>
      </c>
      <c r="N758" s="4" t="str">
        <f>HYPERLINK("http://141.218.60.56/~jnz1568/getInfo.php?workbook=06_02.xlsx&amp;sheet=A0&amp;row=758&amp;col=14&amp;number=9.109e-11&amp;sourceID=30","9.109e-11")</f>
        <v>9.109e-11</v>
      </c>
      <c r="O758" s="4" t="str">
        <f>HYPERLINK("http://141.218.60.56/~jnz1568/getInfo.php?workbook=06_02.xlsx&amp;sheet=A0&amp;row=758&amp;col=15&amp;number=&amp;sourceID=32","")</f>
        <v/>
      </c>
      <c r="P758" s="4" t="str">
        <f>HYPERLINK("http://141.218.60.56/~jnz1568/getInfo.php?workbook=06_02.xlsx&amp;sheet=A0&amp;row=758&amp;col=16&amp;number=&amp;sourceID=32","")</f>
        <v/>
      </c>
      <c r="Q758" s="4" t="str">
        <f>HYPERLINK("http://141.218.60.56/~jnz1568/getInfo.php?workbook=06_02.xlsx&amp;sheet=A0&amp;row=758&amp;col=17&amp;number=&amp;sourceID=32","")</f>
        <v/>
      </c>
      <c r="R758" s="4" t="str">
        <f>HYPERLINK("http://141.218.60.56/~jnz1568/getInfo.php?workbook=06_02.xlsx&amp;sheet=A0&amp;row=758&amp;col=18&amp;number=1.899e-10&amp;sourceID=32","1.899e-10")</f>
        <v>1.899e-10</v>
      </c>
    </row>
    <row r="759" spans="1:18">
      <c r="A759" s="3">
        <v>6</v>
      </c>
      <c r="B759" s="3">
        <v>2</v>
      </c>
      <c r="C759" s="3">
        <v>44</v>
      </c>
      <c r="D759" s="3">
        <v>18</v>
      </c>
      <c r="E759" s="3">
        <f>((1/(INDEX(E0!J$4:J$52,C759,1)-INDEX(E0!J$4:J$52,D759,1))))*100000000</f>
        <v>0</v>
      </c>
      <c r="F759" s="4" t="str">
        <f>HYPERLINK("http://141.218.60.56/~jnz1568/getInfo.php?workbook=06_02.xlsx&amp;sheet=A0&amp;row=759&amp;col=6&amp;number=&amp;sourceID=27","")</f>
        <v/>
      </c>
      <c r="G759" s="4" t="str">
        <f>HYPERLINK("http://141.218.60.56/~jnz1568/getInfo.php?workbook=06_02.xlsx&amp;sheet=A0&amp;row=759&amp;col=7&amp;number=&amp;sourceID=34","")</f>
        <v/>
      </c>
      <c r="H759" s="4" t="str">
        <f>HYPERLINK("http://141.218.60.56/~jnz1568/getInfo.php?workbook=06_02.xlsx&amp;sheet=A0&amp;row=759&amp;col=8&amp;number=&amp;sourceID=34","")</f>
        <v/>
      </c>
      <c r="I759" s="4" t="str">
        <f>HYPERLINK("http://141.218.60.56/~jnz1568/getInfo.php?workbook=06_02.xlsx&amp;sheet=A0&amp;row=759&amp;col=9&amp;number=&amp;sourceID=34","")</f>
        <v/>
      </c>
      <c r="J759" s="4" t="str">
        <f>HYPERLINK("http://141.218.60.56/~jnz1568/getInfo.php?workbook=06_02.xlsx&amp;sheet=A0&amp;row=759&amp;col=10&amp;number=&amp;sourceID=34","")</f>
        <v/>
      </c>
      <c r="K759" s="4" t="str">
        <f>HYPERLINK("http://141.218.60.56/~jnz1568/getInfo.php?workbook=06_02.xlsx&amp;sheet=A0&amp;row=759&amp;col=11&amp;number=&amp;sourceID=30","")</f>
        <v/>
      </c>
      <c r="L759" s="4" t="str">
        <f>HYPERLINK("http://141.218.60.56/~jnz1568/getInfo.php?workbook=06_02.xlsx&amp;sheet=A0&amp;row=759&amp;col=12&amp;number=0.0001176&amp;sourceID=30","0.0001176")</f>
        <v>0.0001176</v>
      </c>
      <c r="M759" s="4" t="str">
        <f>HYPERLINK("http://141.218.60.56/~jnz1568/getInfo.php?workbook=06_02.xlsx&amp;sheet=A0&amp;row=759&amp;col=13&amp;number=&amp;sourceID=30","")</f>
        <v/>
      </c>
      <c r="N759" s="4" t="str">
        <f>HYPERLINK("http://141.218.60.56/~jnz1568/getInfo.php?workbook=06_02.xlsx&amp;sheet=A0&amp;row=759&amp;col=14&amp;number=&amp;sourceID=30","")</f>
        <v/>
      </c>
      <c r="O759" s="4" t="str">
        <f>HYPERLINK("http://141.218.60.56/~jnz1568/getInfo.php?workbook=06_02.xlsx&amp;sheet=A0&amp;row=759&amp;col=15&amp;number=&amp;sourceID=32","")</f>
        <v/>
      </c>
      <c r="P759" s="4" t="str">
        <f>HYPERLINK("http://141.218.60.56/~jnz1568/getInfo.php?workbook=06_02.xlsx&amp;sheet=A0&amp;row=759&amp;col=16&amp;number=0.0001299&amp;sourceID=32","0.0001299")</f>
        <v>0.0001299</v>
      </c>
      <c r="Q759" s="4" t="str">
        <f>HYPERLINK("http://141.218.60.56/~jnz1568/getInfo.php?workbook=06_02.xlsx&amp;sheet=A0&amp;row=759&amp;col=17&amp;number=&amp;sourceID=32","")</f>
        <v/>
      </c>
      <c r="R759" s="4" t="str">
        <f>HYPERLINK("http://141.218.60.56/~jnz1568/getInfo.php?workbook=06_02.xlsx&amp;sheet=A0&amp;row=759&amp;col=18&amp;number=&amp;sourceID=32","")</f>
        <v/>
      </c>
    </row>
    <row r="760" spans="1:18">
      <c r="A760" s="3">
        <v>6</v>
      </c>
      <c r="B760" s="3">
        <v>2</v>
      </c>
      <c r="C760" s="3">
        <v>44</v>
      </c>
      <c r="D760" s="3">
        <v>21</v>
      </c>
      <c r="E760" s="3">
        <f>((1/(INDEX(E0!J$4:J$52,C760,1)-INDEX(E0!J$4:J$52,D760,1))))*100000000</f>
        <v>0</v>
      </c>
      <c r="F760" s="4" t="str">
        <f>HYPERLINK("http://141.218.60.56/~jnz1568/getInfo.php?workbook=06_02.xlsx&amp;sheet=A0&amp;row=760&amp;col=6&amp;number=&amp;sourceID=27","")</f>
        <v/>
      </c>
      <c r="G760" s="4" t="str">
        <f>HYPERLINK("http://141.218.60.56/~jnz1568/getInfo.php?workbook=06_02.xlsx&amp;sheet=A0&amp;row=760&amp;col=7&amp;number=&amp;sourceID=34","")</f>
        <v/>
      </c>
      <c r="H760" s="4" t="str">
        <f>HYPERLINK("http://141.218.60.56/~jnz1568/getInfo.php?workbook=06_02.xlsx&amp;sheet=A0&amp;row=760&amp;col=8&amp;number=&amp;sourceID=34","")</f>
        <v/>
      </c>
      <c r="I760" s="4" t="str">
        <f>HYPERLINK("http://141.218.60.56/~jnz1568/getInfo.php?workbook=06_02.xlsx&amp;sheet=A0&amp;row=760&amp;col=9&amp;number=&amp;sourceID=34","")</f>
        <v/>
      </c>
      <c r="J760" s="4" t="str">
        <f>HYPERLINK("http://141.218.60.56/~jnz1568/getInfo.php?workbook=06_02.xlsx&amp;sheet=A0&amp;row=760&amp;col=10&amp;number=&amp;sourceID=34","")</f>
        <v/>
      </c>
      <c r="K760" s="4" t="str">
        <f>HYPERLINK("http://141.218.60.56/~jnz1568/getInfo.php?workbook=06_02.xlsx&amp;sheet=A0&amp;row=760&amp;col=11&amp;number=&amp;sourceID=30","")</f>
        <v/>
      </c>
      <c r="L760" s="4" t="str">
        <f>HYPERLINK("http://141.218.60.56/~jnz1568/getInfo.php?workbook=06_02.xlsx&amp;sheet=A0&amp;row=760&amp;col=12&amp;number=&amp;sourceID=30","")</f>
        <v/>
      </c>
      <c r="M760" s="4" t="str">
        <f>HYPERLINK("http://141.218.60.56/~jnz1568/getInfo.php?workbook=06_02.xlsx&amp;sheet=A0&amp;row=760&amp;col=13&amp;number=&amp;sourceID=30","")</f>
        <v/>
      </c>
      <c r="N760" s="4" t="str">
        <f>HYPERLINK("http://141.218.60.56/~jnz1568/getInfo.php?workbook=06_02.xlsx&amp;sheet=A0&amp;row=760&amp;col=14&amp;number=6.03e-13&amp;sourceID=30","6.03e-13")</f>
        <v>6.03e-13</v>
      </c>
      <c r="O760" s="4" t="str">
        <f>HYPERLINK("http://141.218.60.56/~jnz1568/getInfo.php?workbook=06_02.xlsx&amp;sheet=A0&amp;row=760&amp;col=15&amp;number=&amp;sourceID=32","")</f>
        <v/>
      </c>
      <c r="P760" s="4" t="str">
        <f>HYPERLINK("http://141.218.60.56/~jnz1568/getInfo.php?workbook=06_02.xlsx&amp;sheet=A0&amp;row=760&amp;col=16&amp;number=&amp;sourceID=32","")</f>
        <v/>
      </c>
      <c r="Q760" s="4" t="str">
        <f>HYPERLINK("http://141.218.60.56/~jnz1568/getInfo.php?workbook=06_02.xlsx&amp;sheet=A0&amp;row=760&amp;col=17&amp;number=&amp;sourceID=32","")</f>
        <v/>
      </c>
      <c r="R760" s="4" t="str">
        <f>HYPERLINK("http://141.218.60.56/~jnz1568/getInfo.php?workbook=06_02.xlsx&amp;sheet=A0&amp;row=760&amp;col=18&amp;number=1.376e-12&amp;sourceID=32","1.376e-12")</f>
        <v>1.376e-12</v>
      </c>
    </row>
    <row r="761" spans="1:18">
      <c r="A761" s="3">
        <v>6</v>
      </c>
      <c r="B761" s="3">
        <v>2</v>
      </c>
      <c r="C761" s="3">
        <v>44</v>
      </c>
      <c r="D761" s="3">
        <v>22</v>
      </c>
      <c r="E761" s="3">
        <f>((1/(INDEX(E0!J$4:J$52,C761,1)-INDEX(E0!J$4:J$52,D761,1))))*100000000</f>
        <v>0</v>
      </c>
      <c r="F761" s="4" t="str">
        <f>HYPERLINK("http://141.218.60.56/~jnz1568/getInfo.php?workbook=06_02.xlsx&amp;sheet=A0&amp;row=761&amp;col=6&amp;number=&amp;sourceID=27","")</f>
        <v/>
      </c>
      <c r="G761" s="4" t="str">
        <f>HYPERLINK("http://141.218.60.56/~jnz1568/getInfo.php?workbook=06_02.xlsx&amp;sheet=A0&amp;row=761&amp;col=7&amp;number=&amp;sourceID=34","")</f>
        <v/>
      </c>
      <c r="H761" s="4" t="str">
        <f>HYPERLINK("http://141.218.60.56/~jnz1568/getInfo.php?workbook=06_02.xlsx&amp;sheet=A0&amp;row=761&amp;col=8&amp;number=&amp;sourceID=34","")</f>
        <v/>
      </c>
      <c r="I761" s="4" t="str">
        <f>HYPERLINK("http://141.218.60.56/~jnz1568/getInfo.php?workbook=06_02.xlsx&amp;sheet=A0&amp;row=761&amp;col=9&amp;number=&amp;sourceID=34","")</f>
        <v/>
      </c>
      <c r="J761" s="4" t="str">
        <f>HYPERLINK("http://141.218.60.56/~jnz1568/getInfo.php?workbook=06_02.xlsx&amp;sheet=A0&amp;row=761&amp;col=10&amp;number=&amp;sourceID=34","")</f>
        <v/>
      </c>
      <c r="K761" s="4" t="str">
        <f>HYPERLINK("http://141.218.60.56/~jnz1568/getInfo.php?workbook=06_02.xlsx&amp;sheet=A0&amp;row=761&amp;col=11&amp;number=0.4056&amp;sourceID=30","0.4056")</f>
        <v>0.4056</v>
      </c>
      <c r="L761" s="4" t="str">
        <f>HYPERLINK("http://141.218.60.56/~jnz1568/getInfo.php?workbook=06_02.xlsx&amp;sheet=A0&amp;row=761&amp;col=12&amp;number=&amp;sourceID=30","")</f>
        <v/>
      </c>
      <c r="M761" s="4" t="str">
        <f>HYPERLINK("http://141.218.60.56/~jnz1568/getInfo.php?workbook=06_02.xlsx&amp;sheet=A0&amp;row=761&amp;col=13&amp;number=&amp;sourceID=30","")</f>
        <v/>
      </c>
      <c r="N761" s="4" t="str">
        <f>HYPERLINK("http://141.218.60.56/~jnz1568/getInfo.php?workbook=06_02.xlsx&amp;sheet=A0&amp;row=761&amp;col=14&amp;number=1.248e-11&amp;sourceID=30","1.248e-11")</f>
        <v>1.248e-11</v>
      </c>
      <c r="O761" s="4" t="str">
        <f>HYPERLINK("http://141.218.60.56/~jnz1568/getInfo.php?workbook=06_02.xlsx&amp;sheet=A0&amp;row=761&amp;col=15&amp;number=0.4834&amp;sourceID=32","0.4834")</f>
        <v>0.4834</v>
      </c>
      <c r="P761" s="4" t="str">
        <f>HYPERLINK("http://141.218.60.56/~jnz1568/getInfo.php?workbook=06_02.xlsx&amp;sheet=A0&amp;row=761&amp;col=16&amp;number=&amp;sourceID=32","")</f>
        <v/>
      </c>
      <c r="Q761" s="4" t="str">
        <f>HYPERLINK("http://141.218.60.56/~jnz1568/getInfo.php?workbook=06_02.xlsx&amp;sheet=A0&amp;row=761&amp;col=17&amp;number=&amp;sourceID=32","")</f>
        <v/>
      </c>
      <c r="R761" s="4" t="str">
        <f>HYPERLINK("http://141.218.60.56/~jnz1568/getInfo.php?workbook=06_02.xlsx&amp;sheet=A0&amp;row=761&amp;col=18&amp;number=1.742e-11&amp;sourceID=32","1.742e-11")</f>
        <v>1.742e-11</v>
      </c>
    </row>
    <row r="762" spans="1:18">
      <c r="A762" s="3">
        <v>6</v>
      </c>
      <c r="B762" s="3">
        <v>2</v>
      </c>
      <c r="C762" s="3">
        <v>44</v>
      </c>
      <c r="D762" s="3">
        <v>23</v>
      </c>
      <c r="E762" s="3">
        <f>((1/(INDEX(E0!J$4:J$52,C762,1)-INDEX(E0!J$4:J$52,D762,1))))*100000000</f>
        <v>0</v>
      </c>
      <c r="F762" s="4" t="str">
        <f>HYPERLINK("http://141.218.60.56/~jnz1568/getInfo.php?workbook=06_02.xlsx&amp;sheet=A0&amp;row=762&amp;col=6&amp;number=&amp;sourceID=27","")</f>
        <v/>
      </c>
      <c r="G762" s="4" t="str">
        <f>HYPERLINK("http://141.218.60.56/~jnz1568/getInfo.php?workbook=06_02.xlsx&amp;sheet=A0&amp;row=762&amp;col=7&amp;number=&amp;sourceID=34","")</f>
        <v/>
      </c>
      <c r="H762" s="4" t="str">
        <f>HYPERLINK("http://141.218.60.56/~jnz1568/getInfo.php?workbook=06_02.xlsx&amp;sheet=A0&amp;row=762&amp;col=8&amp;number=&amp;sourceID=34","")</f>
        <v/>
      </c>
      <c r="I762" s="4" t="str">
        <f>HYPERLINK("http://141.218.60.56/~jnz1568/getInfo.php?workbook=06_02.xlsx&amp;sheet=A0&amp;row=762&amp;col=9&amp;number=&amp;sourceID=34","")</f>
        <v/>
      </c>
      <c r="J762" s="4" t="str">
        <f>HYPERLINK("http://141.218.60.56/~jnz1568/getInfo.php?workbook=06_02.xlsx&amp;sheet=A0&amp;row=762&amp;col=10&amp;number=&amp;sourceID=34","")</f>
        <v/>
      </c>
      <c r="K762" s="4" t="str">
        <f>HYPERLINK("http://141.218.60.56/~jnz1568/getInfo.php?workbook=06_02.xlsx&amp;sheet=A0&amp;row=762&amp;col=11&amp;number=&amp;sourceID=30","")</f>
        <v/>
      </c>
      <c r="L762" s="4" t="str">
        <f>HYPERLINK("http://141.218.60.56/~jnz1568/getInfo.php?workbook=06_02.xlsx&amp;sheet=A0&amp;row=762&amp;col=12&amp;number=12120&amp;sourceID=30","12120")</f>
        <v>12120</v>
      </c>
      <c r="M762" s="4" t="str">
        <f>HYPERLINK("http://141.218.60.56/~jnz1568/getInfo.php?workbook=06_02.xlsx&amp;sheet=A0&amp;row=762&amp;col=13&amp;number=&amp;sourceID=30","")</f>
        <v/>
      </c>
      <c r="N762" s="4" t="str">
        <f>HYPERLINK("http://141.218.60.56/~jnz1568/getInfo.php?workbook=06_02.xlsx&amp;sheet=A0&amp;row=762&amp;col=14&amp;number=&amp;sourceID=30","")</f>
        <v/>
      </c>
      <c r="O762" s="4" t="str">
        <f>HYPERLINK("http://141.218.60.56/~jnz1568/getInfo.php?workbook=06_02.xlsx&amp;sheet=A0&amp;row=762&amp;col=15&amp;number=&amp;sourceID=32","")</f>
        <v/>
      </c>
      <c r="P762" s="4" t="str">
        <f>HYPERLINK("http://141.218.60.56/~jnz1568/getInfo.php?workbook=06_02.xlsx&amp;sheet=A0&amp;row=762&amp;col=16&amp;number=12150&amp;sourceID=32","12150")</f>
        <v>12150</v>
      </c>
      <c r="Q762" s="4" t="str">
        <f>HYPERLINK("http://141.218.60.56/~jnz1568/getInfo.php?workbook=06_02.xlsx&amp;sheet=A0&amp;row=762&amp;col=17&amp;number=&amp;sourceID=32","")</f>
        <v/>
      </c>
      <c r="R762" s="4" t="str">
        <f>HYPERLINK("http://141.218.60.56/~jnz1568/getInfo.php?workbook=06_02.xlsx&amp;sheet=A0&amp;row=762&amp;col=18&amp;number=&amp;sourceID=32","")</f>
        <v/>
      </c>
    </row>
    <row r="763" spans="1:18">
      <c r="A763" s="3">
        <v>6</v>
      </c>
      <c r="B763" s="3">
        <v>2</v>
      </c>
      <c r="C763" s="3">
        <v>44</v>
      </c>
      <c r="D763" s="3">
        <v>24</v>
      </c>
      <c r="E763" s="3">
        <f>((1/(INDEX(E0!J$4:J$52,C763,1)-INDEX(E0!J$4:J$52,D763,1))))*100000000</f>
        <v>0</v>
      </c>
      <c r="F763" s="4" t="str">
        <f>HYPERLINK("http://141.218.60.56/~jnz1568/getInfo.php?workbook=06_02.xlsx&amp;sheet=A0&amp;row=763&amp;col=6&amp;number=&amp;sourceID=27","")</f>
        <v/>
      </c>
      <c r="G763" s="4" t="str">
        <f>HYPERLINK("http://141.218.60.56/~jnz1568/getInfo.php?workbook=06_02.xlsx&amp;sheet=A0&amp;row=763&amp;col=7&amp;number=&amp;sourceID=34","")</f>
        <v/>
      </c>
      <c r="H763" s="4" t="str">
        <f>HYPERLINK("http://141.218.60.56/~jnz1568/getInfo.php?workbook=06_02.xlsx&amp;sheet=A0&amp;row=763&amp;col=8&amp;number=&amp;sourceID=34","")</f>
        <v/>
      </c>
      <c r="I763" s="4" t="str">
        <f>HYPERLINK("http://141.218.60.56/~jnz1568/getInfo.php?workbook=06_02.xlsx&amp;sheet=A0&amp;row=763&amp;col=9&amp;number=&amp;sourceID=34","")</f>
        <v/>
      </c>
      <c r="J763" s="4" t="str">
        <f>HYPERLINK("http://141.218.60.56/~jnz1568/getInfo.php?workbook=06_02.xlsx&amp;sheet=A0&amp;row=763&amp;col=10&amp;number=&amp;sourceID=34","")</f>
        <v/>
      </c>
      <c r="K763" s="4" t="str">
        <f>HYPERLINK("http://141.218.60.56/~jnz1568/getInfo.php?workbook=06_02.xlsx&amp;sheet=A0&amp;row=763&amp;col=11&amp;number=&amp;sourceID=30","")</f>
        <v/>
      </c>
      <c r="L763" s="4" t="str">
        <f>HYPERLINK("http://141.218.60.56/~jnz1568/getInfo.php?workbook=06_02.xlsx&amp;sheet=A0&amp;row=763&amp;col=12&amp;number=3361&amp;sourceID=30","3361")</f>
        <v>3361</v>
      </c>
      <c r="M763" s="4" t="str">
        <f>HYPERLINK("http://141.218.60.56/~jnz1568/getInfo.php?workbook=06_02.xlsx&amp;sheet=A0&amp;row=763&amp;col=13&amp;number=2.191e-07&amp;sourceID=30","2.191e-07")</f>
        <v>2.191e-07</v>
      </c>
      <c r="N763" s="4" t="str">
        <f>HYPERLINK("http://141.218.60.56/~jnz1568/getInfo.php?workbook=06_02.xlsx&amp;sheet=A0&amp;row=763&amp;col=14&amp;number=&amp;sourceID=30","")</f>
        <v/>
      </c>
      <c r="O763" s="4" t="str">
        <f>HYPERLINK("http://141.218.60.56/~jnz1568/getInfo.php?workbook=06_02.xlsx&amp;sheet=A0&amp;row=763&amp;col=15&amp;number=&amp;sourceID=32","")</f>
        <v/>
      </c>
      <c r="P763" s="4" t="str">
        <f>HYPERLINK("http://141.218.60.56/~jnz1568/getInfo.php?workbook=06_02.xlsx&amp;sheet=A0&amp;row=763&amp;col=16&amp;number=3366&amp;sourceID=32","3366")</f>
        <v>3366</v>
      </c>
      <c r="Q763" s="4" t="str">
        <f>HYPERLINK("http://141.218.60.56/~jnz1568/getInfo.php?workbook=06_02.xlsx&amp;sheet=A0&amp;row=763&amp;col=17&amp;number=3.63e-07&amp;sourceID=32","3.63e-07")</f>
        <v>3.63e-07</v>
      </c>
      <c r="R763" s="4" t="str">
        <f>HYPERLINK("http://141.218.60.56/~jnz1568/getInfo.php?workbook=06_02.xlsx&amp;sheet=A0&amp;row=763&amp;col=18&amp;number=&amp;sourceID=32","")</f>
        <v/>
      </c>
    </row>
    <row r="764" spans="1:18">
      <c r="A764" s="3">
        <v>6</v>
      </c>
      <c r="B764" s="3">
        <v>2</v>
      </c>
      <c r="C764" s="3">
        <v>44</v>
      </c>
      <c r="D764" s="3">
        <v>25</v>
      </c>
      <c r="E764" s="3">
        <f>((1/(INDEX(E0!J$4:J$52,C764,1)-INDEX(E0!J$4:J$52,D764,1))))*100000000</f>
        <v>0</v>
      </c>
      <c r="F764" s="4" t="str">
        <f>HYPERLINK("http://141.218.60.56/~jnz1568/getInfo.php?workbook=06_02.xlsx&amp;sheet=A0&amp;row=764&amp;col=6&amp;number=&amp;sourceID=27","")</f>
        <v/>
      </c>
      <c r="G764" s="4" t="str">
        <f>HYPERLINK("http://141.218.60.56/~jnz1568/getInfo.php?workbook=06_02.xlsx&amp;sheet=A0&amp;row=764&amp;col=7&amp;number=&amp;sourceID=34","")</f>
        <v/>
      </c>
      <c r="H764" s="4" t="str">
        <f>HYPERLINK("http://141.218.60.56/~jnz1568/getInfo.php?workbook=06_02.xlsx&amp;sheet=A0&amp;row=764&amp;col=8&amp;number=&amp;sourceID=34","")</f>
        <v/>
      </c>
      <c r="I764" s="4" t="str">
        <f>HYPERLINK("http://141.218.60.56/~jnz1568/getInfo.php?workbook=06_02.xlsx&amp;sheet=A0&amp;row=764&amp;col=9&amp;number=&amp;sourceID=34","")</f>
        <v/>
      </c>
      <c r="J764" s="4" t="str">
        <f>HYPERLINK("http://141.218.60.56/~jnz1568/getInfo.php?workbook=06_02.xlsx&amp;sheet=A0&amp;row=764&amp;col=10&amp;number=&amp;sourceID=34","")</f>
        <v/>
      </c>
      <c r="K764" s="4" t="str">
        <f>HYPERLINK("http://141.218.60.56/~jnz1568/getInfo.php?workbook=06_02.xlsx&amp;sheet=A0&amp;row=764&amp;col=11&amp;number=&amp;sourceID=30","")</f>
        <v/>
      </c>
      <c r="L764" s="4" t="str">
        <f>HYPERLINK("http://141.218.60.56/~jnz1568/getInfo.php?workbook=06_02.xlsx&amp;sheet=A0&amp;row=764&amp;col=12&amp;number=224.4&amp;sourceID=30","224.4")</f>
        <v>224.4</v>
      </c>
      <c r="M764" s="4" t="str">
        <f>HYPERLINK("http://141.218.60.56/~jnz1568/getInfo.php?workbook=06_02.xlsx&amp;sheet=A0&amp;row=764&amp;col=13&amp;number=7.167e-08&amp;sourceID=30","7.167e-08")</f>
        <v>7.167e-08</v>
      </c>
      <c r="N764" s="4" t="str">
        <f>HYPERLINK("http://141.218.60.56/~jnz1568/getInfo.php?workbook=06_02.xlsx&amp;sheet=A0&amp;row=764&amp;col=14&amp;number=&amp;sourceID=30","")</f>
        <v/>
      </c>
      <c r="O764" s="4" t="str">
        <f>HYPERLINK("http://141.218.60.56/~jnz1568/getInfo.php?workbook=06_02.xlsx&amp;sheet=A0&amp;row=764&amp;col=15&amp;number=&amp;sourceID=32","")</f>
        <v/>
      </c>
      <c r="P764" s="4" t="str">
        <f>HYPERLINK("http://141.218.60.56/~jnz1568/getInfo.php?workbook=06_02.xlsx&amp;sheet=A0&amp;row=764&amp;col=16&amp;number=224.9&amp;sourceID=32","224.9")</f>
        <v>224.9</v>
      </c>
      <c r="Q764" s="4" t="str">
        <f>HYPERLINK("http://141.218.60.56/~jnz1568/getInfo.php?workbook=06_02.xlsx&amp;sheet=A0&amp;row=764&amp;col=17&amp;number=1.025e-07&amp;sourceID=32","1.025e-07")</f>
        <v>1.025e-07</v>
      </c>
      <c r="R764" s="4" t="str">
        <f>HYPERLINK("http://141.218.60.56/~jnz1568/getInfo.php?workbook=06_02.xlsx&amp;sheet=A0&amp;row=764&amp;col=18&amp;number=&amp;sourceID=32","")</f>
        <v/>
      </c>
    </row>
    <row r="765" spans="1:18">
      <c r="A765" s="3">
        <v>6</v>
      </c>
      <c r="B765" s="3">
        <v>2</v>
      </c>
      <c r="C765" s="3">
        <v>44</v>
      </c>
      <c r="D765" s="3">
        <v>26</v>
      </c>
      <c r="E765" s="3">
        <f>((1/(INDEX(E0!J$4:J$52,C765,1)-INDEX(E0!J$4:J$52,D765,1))))*100000000</f>
        <v>0</v>
      </c>
      <c r="F765" s="4" t="str">
        <f>HYPERLINK("http://141.218.60.56/~jnz1568/getInfo.php?workbook=06_02.xlsx&amp;sheet=A0&amp;row=765&amp;col=6&amp;number=&amp;sourceID=27","")</f>
        <v/>
      </c>
      <c r="G765" s="4" t="str">
        <f>HYPERLINK("http://141.218.60.56/~jnz1568/getInfo.php?workbook=06_02.xlsx&amp;sheet=A0&amp;row=765&amp;col=7&amp;number=&amp;sourceID=34","")</f>
        <v/>
      </c>
      <c r="H765" s="4" t="str">
        <f>HYPERLINK("http://141.218.60.56/~jnz1568/getInfo.php?workbook=06_02.xlsx&amp;sheet=A0&amp;row=765&amp;col=8&amp;number=&amp;sourceID=34","")</f>
        <v/>
      </c>
      <c r="I765" s="4" t="str">
        <f>HYPERLINK("http://141.218.60.56/~jnz1568/getInfo.php?workbook=06_02.xlsx&amp;sheet=A0&amp;row=765&amp;col=9&amp;number=&amp;sourceID=34","")</f>
        <v/>
      </c>
      <c r="J765" s="4" t="str">
        <f>HYPERLINK("http://141.218.60.56/~jnz1568/getInfo.php?workbook=06_02.xlsx&amp;sheet=A0&amp;row=765&amp;col=10&amp;number=&amp;sourceID=34","")</f>
        <v/>
      </c>
      <c r="K765" s="4" t="str">
        <f>HYPERLINK("http://141.218.60.56/~jnz1568/getInfo.php?workbook=06_02.xlsx&amp;sheet=A0&amp;row=765&amp;col=11&amp;number=72880000&amp;sourceID=30","72880000")</f>
        <v>72880000</v>
      </c>
      <c r="L765" s="4" t="str">
        <f>HYPERLINK("http://141.218.60.56/~jnz1568/getInfo.php?workbook=06_02.xlsx&amp;sheet=A0&amp;row=765&amp;col=12&amp;number=&amp;sourceID=30","")</f>
        <v/>
      </c>
      <c r="M765" s="4" t="str">
        <f>HYPERLINK("http://141.218.60.56/~jnz1568/getInfo.php?workbook=06_02.xlsx&amp;sheet=A0&amp;row=765&amp;col=13&amp;number=&amp;sourceID=30","")</f>
        <v/>
      </c>
      <c r="N765" s="4" t="str">
        <f>HYPERLINK("http://141.218.60.56/~jnz1568/getInfo.php?workbook=06_02.xlsx&amp;sheet=A0&amp;row=765&amp;col=14&amp;number=7.562e-05&amp;sourceID=30","7.562e-05")</f>
        <v>7.562e-05</v>
      </c>
      <c r="O765" s="4" t="str">
        <f>HYPERLINK("http://141.218.60.56/~jnz1568/getInfo.php?workbook=06_02.xlsx&amp;sheet=A0&amp;row=765&amp;col=15&amp;number=136700000&amp;sourceID=32","136700000")</f>
        <v>136700000</v>
      </c>
      <c r="P765" s="4" t="str">
        <f>HYPERLINK("http://141.218.60.56/~jnz1568/getInfo.php?workbook=06_02.xlsx&amp;sheet=A0&amp;row=765&amp;col=16&amp;number=&amp;sourceID=32","")</f>
        <v/>
      </c>
      <c r="Q765" s="4" t="str">
        <f>HYPERLINK("http://141.218.60.56/~jnz1568/getInfo.php?workbook=06_02.xlsx&amp;sheet=A0&amp;row=765&amp;col=17&amp;number=&amp;sourceID=32","")</f>
        <v/>
      </c>
      <c r="R765" s="4" t="str">
        <f>HYPERLINK("http://141.218.60.56/~jnz1568/getInfo.php?workbook=06_02.xlsx&amp;sheet=A0&amp;row=765&amp;col=18&amp;number=0.009287&amp;sourceID=32","0.009287")</f>
        <v>0.009287</v>
      </c>
    </row>
    <row r="766" spans="1:18">
      <c r="A766" s="3">
        <v>6</v>
      </c>
      <c r="B766" s="3">
        <v>2</v>
      </c>
      <c r="C766" s="3">
        <v>44</v>
      </c>
      <c r="D766" s="3">
        <v>27</v>
      </c>
      <c r="E766" s="3">
        <f>((1/(INDEX(E0!J$4:J$52,C766,1)-INDEX(E0!J$4:J$52,D766,1))))*100000000</f>
        <v>0</v>
      </c>
      <c r="F766" s="4" t="str">
        <f>HYPERLINK("http://141.218.60.56/~jnz1568/getInfo.php?workbook=06_02.xlsx&amp;sheet=A0&amp;row=766&amp;col=6&amp;number=&amp;sourceID=27","")</f>
        <v/>
      </c>
      <c r="G766" s="4" t="str">
        <f>HYPERLINK("http://141.218.60.56/~jnz1568/getInfo.php?workbook=06_02.xlsx&amp;sheet=A0&amp;row=766&amp;col=7&amp;number=&amp;sourceID=34","")</f>
        <v/>
      </c>
      <c r="H766" s="4" t="str">
        <f>HYPERLINK("http://141.218.60.56/~jnz1568/getInfo.php?workbook=06_02.xlsx&amp;sheet=A0&amp;row=766&amp;col=8&amp;number=&amp;sourceID=34","")</f>
        <v/>
      </c>
      <c r="I766" s="4" t="str">
        <f>HYPERLINK("http://141.218.60.56/~jnz1568/getInfo.php?workbook=06_02.xlsx&amp;sheet=A0&amp;row=766&amp;col=9&amp;number=&amp;sourceID=34","")</f>
        <v/>
      </c>
      <c r="J766" s="4" t="str">
        <f>HYPERLINK("http://141.218.60.56/~jnz1568/getInfo.php?workbook=06_02.xlsx&amp;sheet=A0&amp;row=766&amp;col=10&amp;number=&amp;sourceID=34","")</f>
        <v/>
      </c>
      <c r="K766" s="4" t="str">
        <f>HYPERLINK("http://141.218.60.56/~jnz1568/getInfo.php?workbook=06_02.xlsx&amp;sheet=A0&amp;row=766&amp;col=11&amp;number=2443000000&amp;sourceID=30","2443000000")</f>
        <v>2443000000</v>
      </c>
      <c r="L766" s="4" t="str">
        <f>HYPERLINK("http://141.218.60.56/~jnz1568/getInfo.php?workbook=06_02.xlsx&amp;sheet=A0&amp;row=766&amp;col=12&amp;number=&amp;sourceID=30","")</f>
        <v/>
      </c>
      <c r="M766" s="4" t="str">
        <f>HYPERLINK("http://141.218.60.56/~jnz1568/getInfo.php?workbook=06_02.xlsx&amp;sheet=A0&amp;row=766&amp;col=13&amp;number=&amp;sourceID=30","")</f>
        <v/>
      </c>
      <c r="N766" s="4" t="str">
        <f>HYPERLINK("http://141.218.60.56/~jnz1568/getInfo.php?workbook=06_02.xlsx&amp;sheet=A0&amp;row=766&amp;col=14&amp;number=0.05595&amp;sourceID=30","0.05595")</f>
        <v>0.05595</v>
      </c>
      <c r="O766" s="4" t="str">
        <f>HYPERLINK("http://141.218.60.56/~jnz1568/getInfo.php?workbook=06_02.xlsx&amp;sheet=A0&amp;row=766&amp;col=15&amp;number=2444000000&amp;sourceID=32","2444000000")</f>
        <v>2444000000</v>
      </c>
      <c r="P766" s="4" t="str">
        <f>HYPERLINK("http://141.218.60.56/~jnz1568/getInfo.php?workbook=06_02.xlsx&amp;sheet=A0&amp;row=766&amp;col=16&amp;number=&amp;sourceID=32","")</f>
        <v/>
      </c>
      <c r="Q766" s="4" t="str">
        <f>HYPERLINK("http://141.218.60.56/~jnz1568/getInfo.php?workbook=06_02.xlsx&amp;sheet=A0&amp;row=766&amp;col=17&amp;number=&amp;sourceID=32","")</f>
        <v/>
      </c>
      <c r="R766" s="4" t="str">
        <f>HYPERLINK("http://141.218.60.56/~jnz1568/getInfo.php?workbook=06_02.xlsx&amp;sheet=A0&amp;row=766&amp;col=18&amp;number=0.05598&amp;sourceID=32","0.05598")</f>
        <v>0.05598</v>
      </c>
    </row>
    <row r="767" spans="1:18">
      <c r="A767" s="3">
        <v>6</v>
      </c>
      <c r="B767" s="3">
        <v>2</v>
      </c>
      <c r="C767" s="3">
        <v>44</v>
      </c>
      <c r="D767" s="3">
        <v>28</v>
      </c>
      <c r="E767" s="3">
        <f>((1/(INDEX(E0!J$4:J$52,C767,1)-INDEX(E0!J$4:J$52,D767,1))))*100000000</f>
        <v>0</v>
      </c>
      <c r="F767" s="4" t="str">
        <f>HYPERLINK("http://141.218.60.56/~jnz1568/getInfo.php?workbook=06_02.xlsx&amp;sheet=A0&amp;row=767&amp;col=6&amp;number=&amp;sourceID=27","")</f>
        <v/>
      </c>
      <c r="G767" s="4" t="str">
        <f>HYPERLINK("http://141.218.60.56/~jnz1568/getInfo.php?workbook=06_02.xlsx&amp;sheet=A0&amp;row=767&amp;col=7&amp;number=&amp;sourceID=34","")</f>
        <v/>
      </c>
      <c r="H767" s="4" t="str">
        <f>HYPERLINK("http://141.218.60.56/~jnz1568/getInfo.php?workbook=06_02.xlsx&amp;sheet=A0&amp;row=767&amp;col=8&amp;number=&amp;sourceID=34","")</f>
        <v/>
      </c>
      <c r="I767" s="4" t="str">
        <f>HYPERLINK("http://141.218.60.56/~jnz1568/getInfo.php?workbook=06_02.xlsx&amp;sheet=A0&amp;row=767&amp;col=9&amp;number=&amp;sourceID=34","")</f>
        <v/>
      </c>
      <c r="J767" s="4" t="str">
        <f>HYPERLINK("http://141.218.60.56/~jnz1568/getInfo.php?workbook=06_02.xlsx&amp;sheet=A0&amp;row=767&amp;col=10&amp;number=&amp;sourceID=34","")</f>
        <v/>
      </c>
      <c r="K767" s="4" t="str">
        <f>HYPERLINK("http://141.218.60.56/~jnz1568/getInfo.php?workbook=06_02.xlsx&amp;sheet=A0&amp;row=767&amp;col=11&amp;number=140900000&amp;sourceID=30","140900000")</f>
        <v>140900000</v>
      </c>
      <c r="L767" s="4" t="str">
        <f>HYPERLINK("http://141.218.60.56/~jnz1568/getInfo.php?workbook=06_02.xlsx&amp;sheet=A0&amp;row=767&amp;col=12&amp;number=&amp;sourceID=30","")</f>
        <v/>
      </c>
      <c r="M767" s="4" t="str">
        <f>HYPERLINK("http://141.218.60.56/~jnz1568/getInfo.php?workbook=06_02.xlsx&amp;sheet=A0&amp;row=767&amp;col=13&amp;number=&amp;sourceID=30","")</f>
        <v/>
      </c>
      <c r="N767" s="4" t="str">
        <f>HYPERLINK("http://141.218.60.56/~jnz1568/getInfo.php?workbook=06_02.xlsx&amp;sheet=A0&amp;row=767&amp;col=14&amp;number=0.009251&amp;sourceID=30","0.009251")</f>
        <v>0.009251</v>
      </c>
      <c r="O767" s="4" t="str">
        <f>HYPERLINK("http://141.218.60.56/~jnz1568/getInfo.php?workbook=06_02.xlsx&amp;sheet=A0&amp;row=767&amp;col=15&amp;number=77070000&amp;sourceID=32","77070000")</f>
        <v>77070000</v>
      </c>
      <c r="P767" s="4" t="str">
        <f>HYPERLINK("http://141.218.60.56/~jnz1568/getInfo.php?workbook=06_02.xlsx&amp;sheet=A0&amp;row=767&amp;col=16&amp;number=&amp;sourceID=32","")</f>
        <v/>
      </c>
      <c r="Q767" s="4" t="str">
        <f>HYPERLINK("http://141.218.60.56/~jnz1568/getInfo.php?workbook=06_02.xlsx&amp;sheet=A0&amp;row=767&amp;col=17&amp;number=&amp;sourceID=32","")</f>
        <v/>
      </c>
      <c r="R767" s="4" t="str">
        <f>HYPERLINK("http://141.218.60.56/~jnz1568/getInfo.php?workbook=06_02.xlsx&amp;sheet=A0&amp;row=767&amp;col=18&amp;number=4.521e-05&amp;sourceID=32","4.521e-05")</f>
        <v>4.521e-05</v>
      </c>
    </row>
    <row r="768" spans="1:18">
      <c r="A768" s="3">
        <v>6</v>
      </c>
      <c r="B768" s="3">
        <v>2</v>
      </c>
      <c r="C768" s="3">
        <v>44</v>
      </c>
      <c r="D768" s="3">
        <v>29</v>
      </c>
      <c r="E768" s="3">
        <f>((1/(INDEX(E0!J$4:J$52,C768,1)-INDEX(E0!J$4:J$52,D768,1))))*100000000</f>
        <v>0</v>
      </c>
      <c r="F768" s="4" t="str">
        <f>HYPERLINK("http://141.218.60.56/~jnz1568/getInfo.php?workbook=06_02.xlsx&amp;sheet=A0&amp;row=768&amp;col=6&amp;number=&amp;sourceID=27","")</f>
        <v/>
      </c>
      <c r="G768" s="4" t="str">
        <f>HYPERLINK("http://141.218.60.56/~jnz1568/getInfo.php?workbook=06_02.xlsx&amp;sheet=A0&amp;row=768&amp;col=7&amp;number=&amp;sourceID=34","")</f>
        <v/>
      </c>
      <c r="H768" s="4" t="str">
        <f>HYPERLINK("http://141.218.60.56/~jnz1568/getInfo.php?workbook=06_02.xlsx&amp;sheet=A0&amp;row=768&amp;col=8&amp;number=&amp;sourceID=34","")</f>
        <v/>
      </c>
      <c r="I768" s="4" t="str">
        <f>HYPERLINK("http://141.218.60.56/~jnz1568/getInfo.php?workbook=06_02.xlsx&amp;sheet=A0&amp;row=768&amp;col=9&amp;number=&amp;sourceID=34","")</f>
        <v/>
      </c>
      <c r="J768" s="4" t="str">
        <f>HYPERLINK("http://141.218.60.56/~jnz1568/getInfo.php?workbook=06_02.xlsx&amp;sheet=A0&amp;row=768&amp;col=10&amp;number=&amp;sourceID=34","")</f>
        <v/>
      </c>
      <c r="K768" s="4" t="str">
        <f>HYPERLINK("http://141.218.60.56/~jnz1568/getInfo.php?workbook=06_02.xlsx&amp;sheet=A0&amp;row=768&amp;col=11&amp;number=3393000&amp;sourceID=30","3393000")</f>
        <v>3393000</v>
      </c>
      <c r="L768" s="4" t="str">
        <f>HYPERLINK("http://141.218.60.56/~jnz1568/getInfo.php?workbook=06_02.xlsx&amp;sheet=A0&amp;row=768&amp;col=12&amp;number=&amp;sourceID=30","")</f>
        <v/>
      </c>
      <c r="M768" s="4" t="str">
        <f>HYPERLINK("http://141.218.60.56/~jnz1568/getInfo.php?workbook=06_02.xlsx&amp;sheet=A0&amp;row=768&amp;col=13&amp;number=&amp;sourceID=30","")</f>
        <v/>
      </c>
      <c r="N768" s="4" t="str">
        <f>HYPERLINK("http://141.218.60.56/~jnz1568/getInfo.php?workbook=06_02.xlsx&amp;sheet=A0&amp;row=768&amp;col=14&amp;number=7.4e-14&amp;sourceID=30","7.4e-14")</f>
        <v>7.4e-14</v>
      </c>
      <c r="O768" s="4" t="str">
        <f>HYPERLINK("http://141.218.60.56/~jnz1568/getInfo.php?workbook=06_02.xlsx&amp;sheet=A0&amp;row=768&amp;col=15&amp;number=&amp;sourceID=32","")</f>
        <v/>
      </c>
      <c r="P768" s="4" t="str">
        <f>HYPERLINK("http://141.218.60.56/~jnz1568/getInfo.php?workbook=06_02.xlsx&amp;sheet=A0&amp;row=768&amp;col=16&amp;number=&amp;sourceID=32","")</f>
        <v/>
      </c>
      <c r="Q768" s="4" t="str">
        <f>HYPERLINK("http://141.218.60.56/~jnz1568/getInfo.php?workbook=06_02.xlsx&amp;sheet=A0&amp;row=768&amp;col=17&amp;number=&amp;sourceID=32","")</f>
        <v/>
      </c>
      <c r="R768" s="4" t="str">
        <f>HYPERLINK("http://141.218.60.56/~jnz1568/getInfo.php?workbook=06_02.xlsx&amp;sheet=A0&amp;row=768&amp;col=18&amp;number=&amp;sourceID=32","")</f>
        <v/>
      </c>
    </row>
    <row r="769" spans="1:18">
      <c r="A769" s="3">
        <v>6</v>
      </c>
      <c r="B769" s="3">
        <v>2</v>
      </c>
      <c r="C769" s="3">
        <v>44</v>
      </c>
      <c r="D769" s="3">
        <v>30</v>
      </c>
      <c r="E769" s="3">
        <f>((1/(INDEX(E0!J$4:J$52,C769,1)-INDEX(E0!J$4:J$52,D769,1))))*100000000</f>
        <v>0</v>
      </c>
      <c r="F769" s="4" t="str">
        <f>HYPERLINK("http://141.218.60.56/~jnz1568/getInfo.php?workbook=06_02.xlsx&amp;sheet=A0&amp;row=769&amp;col=6&amp;number=&amp;sourceID=27","")</f>
        <v/>
      </c>
      <c r="G769" s="4" t="str">
        <f>HYPERLINK("http://141.218.60.56/~jnz1568/getInfo.php?workbook=06_02.xlsx&amp;sheet=A0&amp;row=769&amp;col=7&amp;number=&amp;sourceID=34","")</f>
        <v/>
      </c>
      <c r="H769" s="4" t="str">
        <f>HYPERLINK("http://141.218.60.56/~jnz1568/getInfo.php?workbook=06_02.xlsx&amp;sheet=A0&amp;row=769&amp;col=8&amp;number=&amp;sourceID=34","")</f>
        <v/>
      </c>
      <c r="I769" s="4" t="str">
        <f>HYPERLINK("http://141.218.60.56/~jnz1568/getInfo.php?workbook=06_02.xlsx&amp;sheet=A0&amp;row=769&amp;col=9&amp;number=&amp;sourceID=34","")</f>
        <v/>
      </c>
      <c r="J769" s="4" t="str">
        <f>HYPERLINK("http://141.218.60.56/~jnz1568/getInfo.php?workbook=06_02.xlsx&amp;sheet=A0&amp;row=769&amp;col=10&amp;number=&amp;sourceID=34","")</f>
        <v/>
      </c>
      <c r="K769" s="4" t="str">
        <f>HYPERLINK("http://141.218.60.56/~jnz1568/getInfo.php?workbook=06_02.xlsx&amp;sheet=A0&amp;row=769&amp;col=11&amp;number=&amp;sourceID=30","")</f>
        <v/>
      </c>
      <c r="L769" s="4" t="str">
        <f>HYPERLINK("http://141.218.60.56/~jnz1568/getInfo.php?workbook=06_02.xlsx&amp;sheet=A0&amp;row=769&amp;col=12&amp;number=6.179&amp;sourceID=30","6.179")</f>
        <v>6.179</v>
      </c>
      <c r="M769" s="4" t="str">
        <f>HYPERLINK("http://141.218.60.56/~jnz1568/getInfo.php?workbook=06_02.xlsx&amp;sheet=A0&amp;row=769&amp;col=13&amp;number=3.208e-07&amp;sourceID=30","3.208e-07")</f>
        <v>3.208e-07</v>
      </c>
      <c r="N769" s="4" t="str">
        <f>HYPERLINK("http://141.218.60.56/~jnz1568/getInfo.php?workbook=06_02.xlsx&amp;sheet=A0&amp;row=769&amp;col=14&amp;number=&amp;sourceID=30","")</f>
        <v/>
      </c>
      <c r="O769" s="4" t="str">
        <f>HYPERLINK("http://141.218.60.56/~jnz1568/getInfo.php?workbook=06_02.xlsx&amp;sheet=A0&amp;row=769&amp;col=15&amp;number=&amp;sourceID=32","")</f>
        <v/>
      </c>
      <c r="P769" s="4" t="str">
        <f>HYPERLINK("http://141.218.60.56/~jnz1568/getInfo.php?workbook=06_02.xlsx&amp;sheet=A0&amp;row=769&amp;col=16&amp;number=8.474&amp;sourceID=32","8.474")</f>
        <v>8.474</v>
      </c>
      <c r="Q769" s="4" t="str">
        <f>HYPERLINK("http://141.218.60.56/~jnz1568/getInfo.php?workbook=06_02.xlsx&amp;sheet=A0&amp;row=769&amp;col=17&amp;number=5.753e-07&amp;sourceID=32","5.753e-07")</f>
        <v>5.753e-07</v>
      </c>
      <c r="R769" s="4" t="str">
        <f>HYPERLINK("http://141.218.60.56/~jnz1568/getInfo.php?workbook=06_02.xlsx&amp;sheet=A0&amp;row=769&amp;col=18&amp;number=&amp;sourceID=32","")</f>
        <v/>
      </c>
    </row>
    <row r="770" spans="1:18">
      <c r="A770" s="3">
        <v>6</v>
      </c>
      <c r="B770" s="3">
        <v>2</v>
      </c>
      <c r="C770" s="3">
        <v>44</v>
      </c>
      <c r="D770" s="3">
        <v>31</v>
      </c>
      <c r="E770" s="3">
        <f>((1/(INDEX(E0!J$4:J$52,C770,1)-INDEX(E0!J$4:J$52,D770,1))))*100000000</f>
        <v>0</v>
      </c>
      <c r="F770" s="4" t="str">
        <f>HYPERLINK("http://141.218.60.56/~jnz1568/getInfo.php?workbook=06_02.xlsx&amp;sheet=A0&amp;row=770&amp;col=6&amp;number=&amp;sourceID=27","")</f>
        <v/>
      </c>
      <c r="G770" s="4" t="str">
        <f>HYPERLINK("http://141.218.60.56/~jnz1568/getInfo.php?workbook=06_02.xlsx&amp;sheet=A0&amp;row=770&amp;col=7&amp;number=&amp;sourceID=34","")</f>
        <v/>
      </c>
      <c r="H770" s="4" t="str">
        <f>HYPERLINK("http://141.218.60.56/~jnz1568/getInfo.php?workbook=06_02.xlsx&amp;sheet=A0&amp;row=770&amp;col=8&amp;number=&amp;sourceID=34","")</f>
        <v/>
      </c>
      <c r="I770" s="4" t="str">
        <f>HYPERLINK("http://141.218.60.56/~jnz1568/getInfo.php?workbook=06_02.xlsx&amp;sheet=A0&amp;row=770&amp;col=9&amp;number=&amp;sourceID=34","")</f>
        <v/>
      </c>
      <c r="J770" s="4" t="str">
        <f>HYPERLINK("http://141.218.60.56/~jnz1568/getInfo.php?workbook=06_02.xlsx&amp;sheet=A0&amp;row=770&amp;col=10&amp;number=&amp;sourceID=34","")</f>
        <v/>
      </c>
      <c r="K770" s="4" t="str">
        <f>HYPERLINK("http://141.218.60.56/~jnz1568/getInfo.php?workbook=06_02.xlsx&amp;sheet=A0&amp;row=770&amp;col=11&amp;number=&amp;sourceID=30","")</f>
        <v/>
      </c>
      <c r="L770" s="4" t="str">
        <f>HYPERLINK("http://141.218.60.56/~jnz1568/getInfo.php?workbook=06_02.xlsx&amp;sheet=A0&amp;row=770&amp;col=12&amp;number=&amp;sourceID=30","")</f>
        <v/>
      </c>
      <c r="M770" s="4" t="str">
        <f>HYPERLINK("http://141.218.60.56/~jnz1568/getInfo.php?workbook=06_02.xlsx&amp;sheet=A0&amp;row=770&amp;col=13&amp;number=&amp;sourceID=30","")</f>
        <v/>
      </c>
      <c r="N770" s="4" t="str">
        <f>HYPERLINK("http://141.218.60.56/~jnz1568/getInfo.php?workbook=06_02.xlsx&amp;sheet=A0&amp;row=770&amp;col=14&amp;number=2.938e-12&amp;sourceID=30","2.938e-12")</f>
        <v>2.938e-12</v>
      </c>
      <c r="O770" s="4" t="str">
        <f>HYPERLINK("http://141.218.60.56/~jnz1568/getInfo.php?workbook=06_02.xlsx&amp;sheet=A0&amp;row=770&amp;col=15&amp;number=&amp;sourceID=32","")</f>
        <v/>
      </c>
      <c r="P770" s="4" t="str">
        <f>HYPERLINK("http://141.218.60.56/~jnz1568/getInfo.php?workbook=06_02.xlsx&amp;sheet=A0&amp;row=770&amp;col=16&amp;number=&amp;sourceID=32","")</f>
        <v/>
      </c>
      <c r="Q770" s="4" t="str">
        <f>HYPERLINK("http://141.218.60.56/~jnz1568/getInfo.php?workbook=06_02.xlsx&amp;sheet=A0&amp;row=770&amp;col=17&amp;number=&amp;sourceID=32","")</f>
        <v/>
      </c>
      <c r="R770" s="4" t="str">
        <f>HYPERLINK("http://141.218.60.56/~jnz1568/getInfo.php?workbook=06_02.xlsx&amp;sheet=A0&amp;row=770&amp;col=18&amp;number=3.943e-12&amp;sourceID=32","3.943e-12")</f>
        <v>3.943e-12</v>
      </c>
    </row>
    <row r="771" spans="1:18">
      <c r="A771" s="3">
        <v>6</v>
      </c>
      <c r="B771" s="3">
        <v>2</v>
      </c>
      <c r="C771" s="3">
        <v>44</v>
      </c>
      <c r="D771" s="3">
        <v>32</v>
      </c>
      <c r="E771" s="3">
        <f>((1/(INDEX(E0!J$4:J$52,C771,1)-INDEX(E0!J$4:J$52,D771,1))))*100000000</f>
        <v>0</v>
      </c>
      <c r="F771" s="4" t="str">
        <f>HYPERLINK("http://141.218.60.56/~jnz1568/getInfo.php?workbook=06_02.xlsx&amp;sheet=A0&amp;row=771&amp;col=6&amp;number=&amp;sourceID=27","")</f>
        <v/>
      </c>
      <c r="G771" s="4" t="str">
        <f>HYPERLINK("http://141.218.60.56/~jnz1568/getInfo.php?workbook=06_02.xlsx&amp;sheet=A0&amp;row=771&amp;col=7&amp;number=&amp;sourceID=34","")</f>
        <v/>
      </c>
      <c r="H771" s="4" t="str">
        <f>HYPERLINK("http://141.218.60.56/~jnz1568/getInfo.php?workbook=06_02.xlsx&amp;sheet=A0&amp;row=771&amp;col=8&amp;number=&amp;sourceID=34","")</f>
        <v/>
      </c>
      <c r="I771" s="4" t="str">
        <f>HYPERLINK("http://141.218.60.56/~jnz1568/getInfo.php?workbook=06_02.xlsx&amp;sheet=A0&amp;row=771&amp;col=9&amp;number=&amp;sourceID=34","")</f>
        <v/>
      </c>
      <c r="J771" s="4" t="str">
        <f>HYPERLINK("http://141.218.60.56/~jnz1568/getInfo.php?workbook=06_02.xlsx&amp;sheet=A0&amp;row=771&amp;col=10&amp;number=&amp;sourceID=34","")</f>
        <v/>
      </c>
      <c r="K771" s="4" t="str">
        <f>HYPERLINK("http://141.218.60.56/~jnz1568/getInfo.php?workbook=06_02.xlsx&amp;sheet=A0&amp;row=771&amp;col=11&amp;number=&amp;sourceID=30","")</f>
        <v/>
      </c>
      <c r="L771" s="4" t="str">
        <f>HYPERLINK("http://141.218.60.56/~jnz1568/getInfo.php?workbook=06_02.xlsx&amp;sheet=A0&amp;row=771&amp;col=12&amp;number=1.158e-10&amp;sourceID=30","1.158e-10")</f>
        <v>1.158e-10</v>
      </c>
      <c r="M771" s="4" t="str">
        <f>HYPERLINK("http://141.218.60.56/~jnz1568/getInfo.php?workbook=06_02.xlsx&amp;sheet=A0&amp;row=771&amp;col=13&amp;number=&amp;sourceID=30","")</f>
        <v/>
      </c>
      <c r="N771" s="4" t="str">
        <f>HYPERLINK("http://141.218.60.56/~jnz1568/getInfo.php?workbook=06_02.xlsx&amp;sheet=A0&amp;row=771&amp;col=14&amp;number=&amp;sourceID=30","")</f>
        <v/>
      </c>
      <c r="O771" s="4" t="str">
        <f>HYPERLINK("http://141.218.60.56/~jnz1568/getInfo.php?workbook=06_02.xlsx&amp;sheet=A0&amp;row=771&amp;col=15&amp;number=&amp;sourceID=32","")</f>
        <v/>
      </c>
      <c r="P771" s="4" t="str">
        <f>HYPERLINK("http://141.218.60.56/~jnz1568/getInfo.php?workbook=06_02.xlsx&amp;sheet=A0&amp;row=771&amp;col=16&amp;number=1.341e-10&amp;sourceID=32","1.341e-10")</f>
        <v>1.341e-10</v>
      </c>
      <c r="Q771" s="4" t="str">
        <f>HYPERLINK("http://141.218.60.56/~jnz1568/getInfo.php?workbook=06_02.xlsx&amp;sheet=A0&amp;row=771&amp;col=17&amp;number=&amp;sourceID=32","")</f>
        <v/>
      </c>
      <c r="R771" s="4" t="str">
        <f>HYPERLINK("http://141.218.60.56/~jnz1568/getInfo.php?workbook=06_02.xlsx&amp;sheet=A0&amp;row=771&amp;col=18&amp;number=&amp;sourceID=32","")</f>
        <v/>
      </c>
    </row>
    <row r="772" spans="1:18">
      <c r="A772" s="3">
        <v>6</v>
      </c>
      <c r="B772" s="3">
        <v>2</v>
      </c>
      <c r="C772" s="3">
        <v>44</v>
      </c>
      <c r="D772" s="3">
        <v>35</v>
      </c>
      <c r="E772" s="3">
        <f>((1/(INDEX(E0!J$4:J$52,C772,1)-INDEX(E0!J$4:J$52,D772,1))))*100000000</f>
        <v>0</v>
      </c>
      <c r="F772" s="4" t="str">
        <f>HYPERLINK("http://141.218.60.56/~jnz1568/getInfo.php?workbook=06_02.xlsx&amp;sheet=A0&amp;row=772&amp;col=6&amp;number=&amp;sourceID=27","")</f>
        <v/>
      </c>
      <c r="G772" s="4" t="str">
        <f>HYPERLINK("http://141.218.60.56/~jnz1568/getInfo.php?workbook=06_02.xlsx&amp;sheet=A0&amp;row=772&amp;col=7&amp;number=&amp;sourceID=34","")</f>
        <v/>
      </c>
      <c r="H772" s="4" t="str">
        <f>HYPERLINK("http://141.218.60.56/~jnz1568/getInfo.php?workbook=06_02.xlsx&amp;sheet=A0&amp;row=772&amp;col=8&amp;number=&amp;sourceID=34","")</f>
        <v/>
      </c>
      <c r="I772" s="4" t="str">
        <f>HYPERLINK("http://141.218.60.56/~jnz1568/getInfo.php?workbook=06_02.xlsx&amp;sheet=A0&amp;row=772&amp;col=9&amp;number=&amp;sourceID=34","")</f>
        <v/>
      </c>
      <c r="J772" s="4" t="str">
        <f>HYPERLINK("http://141.218.60.56/~jnz1568/getInfo.php?workbook=06_02.xlsx&amp;sheet=A0&amp;row=772&amp;col=10&amp;number=&amp;sourceID=34","")</f>
        <v/>
      </c>
      <c r="K772" s="4" t="str">
        <f>HYPERLINK("http://141.218.60.56/~jnz1568/getInfo.php?workbook=06_02.xlsx&amp;sheet=A0&amp;row=772&amp;col=11&amp;number=&amp;sourceID=30","")</f>
        <v/>
      </c>
      <c r="L772" s="4" t="str">
        <f>HYPERLINK("http://141.218.60.56/~jnz1568/getInfo.php?workbook=06_02.xlsx&amp;sheet=A0&amp;row=772&amp;col=12&amp;number=&amp;sourceID=30","")</f>
        <v/>
      </c>
      <c r="M772" s="4" t="str">
        <f>HYPERLINK("http://141.218.60.56/~jnz1568/getInfo.php?workbook=06_02.xlsx&amp;sheet=A0&amp;row=772&amp;col=13&amp;number=&amp;sourceID=30","")</f>
        <v/>
      </c>
      <c r="N772" s="4" t="str">
        <f>HYPERLINK("http://141.218.60.56/~jnz1568/getInfo.php?workbook=06_02.xlsx&amp;sheet=A0&amp;row=772&amp;col=14&amp;number=0&amp;sourceID=30","0")</f>
        <v>0</v>
      </c>
      <c r="O772" s="4" t="str">
        <f>HYPERLINK("http://141.218.60.56/~jnz1568/getInfo.php?workbook=06_02.xlsx&amp;sheet=A0&amp;row=772&amp;col=15&amp;number=&amp;sourceID=32","")</f>
        <v/>
      </c>
      <c r="P772" s="4" t="str">
        <f>HYPERLINK("http://141.218.60.56/~jnz1568/getInfo.php?workbook=06_02.xlsx&amp;sheet=A0&amp;row=772&amp;col=16&amp;number=&amp;sourceID=32","")</f>
        <v/>
      </c>
      <c r="Q772" s="4" t="str">
        <f>HYPERLINK("http://141.218.60.56/~jnz1568/getInfo.php?workbook=06_02.xlsx&amp;sheet=A0&amp;row=772&amp;col=17&amp;number=&amp;sourceID=32","")</f>
        <v/>
      </c>
      <c r="R772" s="4" t="str">
        <f>HYPERLINK("http://141.218.60.56/~jnz1568/getInfo.php?workbook=06_02.xlsx&amp;sheet=A0&amp;row=772&amp;col=18&amp;number=0&amp;sourceID=32","0")</f>
        <v>0</v>
      </c>
    </row>
    <row r="773" spans="1:18">
      <c r="A773" s="3">
        <v>6</v>
      </c>
      <c r="B773" s="3">
        <v>2</v>
      </c>
      <c r="C773" s="3">
        <v>44</v>
      </c>
      <c r="D773" s="3">
        <v>36</v>
      </c>
      <c r="E773" s="3">
        <f>((1/(INDEX(E0!J$4:J$52,C773,1)-INDEX(E0!J$4:J$52,D773,1))))*100000000</f>
        <v>0</v>
      </c>
      <c r="F773" s="4" t="str">
        <f>HYPERLINK("http://141.218.60.56/~jnz1568/getInfo.php?workbook=06_02.xlsx&amp;sheet=A0&amp;row=773&amp;col=6&amp;number=&amp;sourceID=27","")</f>
        <v/>
      </c>
      <c r="G773" s="4" t="str">
        <f>HYPERLINK("http://141.218.60.56/~jnz1568/getInfo.php?workbook=06_02.xlsx&amp;sheet=A0&amp;row=773&amp;col=7&amp;number=&amp;sourceID=34","")</f>
        <v/>
      </c>
      <c r="H773" s="4" t="str">
        <f>HYPERLINK("http://141.218.60.56/~jnz1568/getInfo.php?workbook=06_02.xlsx&amp;sheet=A0&amp;row=773&amp;col=8&amp;number=&amp;sourceID=34","")</f>
        <v/>
      </c>
      <c r="I773" s="4" t="str">
        <f>HYPERLINK("http://141.218.60.56/~jnz1568/getInfo.php?workbook=06_02.xlsx&amp;sheet=A0&amp;row=773&amp;col=9&amp;number=&amp;sourceID=34","")</f>
        <v/>
      </c>
      <c r="J773" s="4" t="str">
        <f>HYPERLINK("http://141.218.60.56/~jnz1568/getInfo.php?workbook=06_02.xlsx&amp;sheet=A0&amp;row=773&amp;col=10&amp;number=&amp;sourceID=34","")</f>
        <v/>
      </c>
      <c r="K773" s="4" t="str">
        <f>HYPERLINK("http://141.218.60.56/~jnz1568/getInfo.php?workbook=06_02.xlsx&amp;sheet=A0&amp;row=773&amp;col=11&amp;number=4.804e-06&amp;sourceID=30","4.804e-06")</f>
        <v>4.804e-06</v>
      </c>
      <c r="L773" s="4" t="str">
        <f>HYPERLINK("http://141.218.60.56/~jnz1568/getInfo.php?workbook=06_02.xlsx&amp;sheet=A0&amp;row=773&amp;col=12&amp;number=&amp;sourceID=30","")</f>
        <v/>
      </c>
      <c r="M773" s="4" t="str">
        <f>HYPERLINK("http://141.218.60.56/~jnz1568/getInfo.php?workbook=06_02.xlsx&amp;sheet=A0&amp;row=773&amp;col=13&amp;number=&amp;sourceID=30","")</f>
        <v/>
      </c>
      <c r="N773" s="4" t="str">
        <f>HYPERLINK("http://141.218.60.56/~jnz1568/getInfo.php?workbook=06_02.xlsx&amp;sheet=A0&amp;row=773&amp;col=14&amp;number=0&amp;sourceID=30","0")</f>
        <v>0</v>
      </c>
      <c r="O773" s="4" t="str">
        <f>HYPERLINK("http://141.218.60.56/~jnz1568/getInfo.php?workbook=06_02.xlsx&amp;sheet=A0&amp;row=773&amp;col=15&amp;number=8.186e-06&amp;sourceID=32","8.186e-06")</f>
        <v>8.186e-06</v>
      </c>
      <c r="P773" s="4" t="str">
        <f>HYPERLINK("http://141.218.60.56/~jnz1568/getInfo.php?workbook=06_02.xlsx&amp;sheet=A0&amp;row=773&amp;col=16&amp;number=&amp;sourceID=32","")</f>
        <v/>
      </c>
      <c r="Q773" s="4" t="str">
        <f>HYPERLINK("http://141.218.60.56/~jnz1568/getInfo.php?workbook=06_02.xlsx&amp;sheet=A0&amp;row=773&amp;col=17&amp;number=&amp;sourceID=32","")</f>
        <v/>
      </c>
      <c r="R773" s="4" t="str">
        <f>HYPERLINK("http://141.218.60.56/~jnz1568/getInfo.php?workbook=06_02.xlsx&amp;sheet=A0&amp;row=773&amp;col=18&amp;number=0&amp;sourceID=32","0")</f>
        <v>0</v>
      </c>
    </row>
    <row r="774" spans="1:18">
      <c r="A774" s="3">
        <v>6</v>
      </c>
      <c r="B774" s="3">
        <v>2</v>
      </c>
      <c r="C774" s="3">
        <v>44</v>
      </c>
      <c r="D774" s="3">
        <v>37</v>
      </c>
      <c r="E774" s="3">
        <f>((1/(INDEX(E0!J$4:J$52,C774,1)-INDEX(E0!J$4:J$52,D774,1))))*100000000</f>
        <v>0</v>
      </c>
      <c r="F774" s="4" t="str">
        <f>HYPERLINK("http://141.218.60.56/~jnz1568/getInfo.php?workbook=06_02.xlsx&amp;sheet=A0&amp;row=774&amp;col=6&amp;number=&amp;sourceID=27","")</f>
        <v/>
      </c>
      <c r="G774" s="4" t="str">
        <f>HYPERLINK("http://141.218.60.56/~jnz1568/getInfo.php?workbook=06_02.xlsx&amp;sheet=A0&amp;row=774&amp;col=7&amp;number=&amp;sourceID=34","")</f>
        <v/>
      </c>
      <c r="H774" s="4" t="str">
        <f>HYPERLINK("http://141.218.60.56/~jnz1568/getInfo.php?workbook=06_02.xlsx&amp;sheet=A0&amp;row=774&amp;col=8&amp;number=&amp;sourceID=34","")</f>
        <v/>
      </c>
      <c r="I774" s="4" t="str">
        <f>HYPERLINK("http://141.218.60.56/~jnz1568/getInfo.php?workbook=06_02.xlsx&amp;sheet=A0&amp;row=774&amp;col=9&amp;number=&amp;sourceID=34","")</f>
        <v/>
      </c>
      <c r="J774" s="4" t="str">
        <f>HYPERLINK("http://141.218.60.56/~jnz1568/getInfo.php?workbook=06_02.xlsx&amp;sheet=A0&amp;row=774&amp;col=10&amp;number=&amp;sourceID=34","")</f>
        <v/>
      </c>
      <c r="K774" s="4" t="str">
        <f>HYPERLINK("http://141.218.60.56/~jnz1568/getInfo.php?workbook=06_02.xlsx&amp;sheet=A0&amp;row=774&amp;col=11&amp;number=&amp;sourceID=30","")</f>
        <v/>
      </c>
      <c r="L774" s="4" t="str">
        <f>HYPERLINK("http://141.218.60.56/~jnz1568/getInfo.php?workbook=06_02.xlsx&amp;sheet=A0&amp;row=774&amp;col=12&amp;number=2.119e-11&amp;sourceID=30","2.119e-11")</f>
        <v>2.119e-11</v>
      </c>
      <c r="M774" s="4" t="str">
        <f>HYPERLINK("http://141.218.60.56/~jnz1568/getInfo.php?workbook=06_02.xlsx&amp;sheet=A0&amp;row=774&amp;col=13&amp;number=&amp;sourceID=30","")</f>
        <v/>
      </c>
      <c r="N774" s="4" t="str">
        <f>HYPERLINK("http://141.218.60.56/~jnz1568/getInfo.php?workbook=06_02.xlsx&amp;sheet=A0&amp;row=774&amp;col=14&amp;number=&amp;sourceID=30","")</f>
        <v/>
      </c>
      <c r="O774" s="4" t="str">
        <f>HYPERLINK("http://141.218.60.56/~jnz1568/getInfo.php?workbook=06_02.xlsx&amp;sheet=A0&amp;row=774&amp;col=15&amp;number=&amp;sourceID=32","")</f>
        <v/>
      </c>
      <c r="P774" s="4" t="str">
        <f>HYPERLINK("http://141.218.60.56/~jnz1568/getInfo.php?workbook=06_02.xlsx&amp;sheet=A0&amp;row=774&amp;col=16&amp;number=&amp;sourceID=32","")</f>
        <v/>
      </c>
      <c r="Q774" s="4" t="str">
        <f>HYPERLINK("http://141.218.60.56/~jnz1568/getInfo.php?workbook=06_02.xlsx&amp;sheet=A0&amp;row=774&amp;col=17&amp;number=&amp;sourceID=32","")</f>
        <v/>
      </c>
      <c r="R774" s="4" t="str">
        <f>HYPERLINK("http://141.218.60.56/~jnz1568/getInfo.php?workbook=06_02.xlsx&amp;sheet=A0&amp;row=774&amp;col=18&amp;number=&amp;sourceID=32","")</f>
        <v/>
      </c>
    </row>
    <row r="775" spans="1:18">
      <c r="A775" s="3">
        <v>6</v>
      </c>
      <c r="B775" s="3">
        <v>2</v>
      </c>
      <c r="C775" s="3">
        <v>44</v>
      </c>
      <c r="D775" s="3">
        <v>38</v>
      </c>
      <c r="E775" s="3">
        <f>((1/(INDEX(E0!J$4:J$52,C775,1)-INDEX(E0!J$4:J$52,D775,1))))*100000000</f>
        <v>0</v>
      </c>
      <c r="F775" s="4" t="str">
        <f>HYPERLINK("http://141.218.60.56/~jnz1568/getInfo.php?workbook=06_02.xlsx&amp;sheet=A0&amp;row=775&amp;col=6&amp;number=&amp;sourceID=27","")</f>
        <v/>
      </c>
      <c r="G775" s="4" t="str">
        <f>HYPERLINK("http://141.218.60.56/~jnz1568/getInfo.php?workbook=06_02.xlsx&amp;sheet=A0&amp;row=775&amp;col=7&amp;number=&amp;sourceID=34","")</f>
        <v/>
      </c>
      <c r="H775" s="4" t="str">
        <f>HYPERLINK("http://141.218.60.56/~jnz1568/getInfo.php?workbook=06_02.xlsx&amp;sheet=A0&amp;row=775&amp;col=8&amp;number=&amp;sourceID=34","")</f>
        <v/>
      </c>
      <c r="I775" s="4" t="str">
        <f>HYPERLINK("http://141.218.60.56/~jnz1568/getInfo.php?workbook=06_02.xlsx&amp;sheet=A0&amp;row=775&amp;col=9&amp;number=&amp;sourceID=34","")</f>
        <v/>
      </c>
      <c r="J775" s="4" t="str">
        <f>HYPERLINK("http://141.218.60.56/~jnz1568/getInfo.php?workbook=06_02.xlsx&amp;sheet=A0&amp;row=775&amp;col=10&amp;number=&amp;sourceID=34","")</f>
        <v/>
      </c>
      <c r="K775" s="4" t="str">
        <f>HYPERLINK("http://141.218.60.56/~jnz1568/getInfo.php?workbook=06_02.xlsx&amp;sheet=A0&amp;row=775&amp;col=11&amp;number=&amp;sourceID=30","")</f>
        <v/>
      </c>
      <c r="L775" s="4" t="str">
        <f>HYPERLINK("http://141.218.60.56/~jnz1568/getInfo.php?workbook=06_02.xlsx&amp;sheet=A0&amp;row=775&amp;col=12&amp;number=5.756e-12&amp;sourceID=30","5.756e-12")</f>
        <v>5.756e-12</v>
      </c>
      <c r="M775" s="4" t="str">
        <f>HYPERLINK("http://141.218.60.56/~jnz1568/getInfo.php?workbook=06_02.xlsx&amp;sheet=A0&amp;row=775&amp;col=13&amp;number=0&amp;sourceID=30","0")</f>
        <v>0</v>
      </c>
      <c r="N775" s="4" t="str">
        <f>HYPERLINK("http://141.218.60.56/~jnz1568/getInfo.php?workbook=06_02.xlsx&amp;sheet=A0&amp;row=775&amp;col=14&amp;number=&amp;sourceID=30","")</f>
        <v/>
      </c>
      <c r="O775" s="4" t="str">
        <f>HYPERLINK("http://141.218.60.56/~jnz1568/getInfo.php?workbook=06_02.xlsx&amp;sheet=A0&amp;row=775&amp;col=15&amp;number=&amp;sourceID=32","")</f>
        <v/>
      </c>
      <c r="P775" s="4" t="str">
        <f>HYPERLINK("http://141.218.60.56/~jnz1568/getInfo.php?workbook=06_02.xlsx&amp;sheet=A0&amp;row=775&amp;col=16&amp;number=&amp;sourceID=32","")</f>
        <v/>
      </c>
      <c r="Q775" s="4" t="str">
        <f>HYPERLINK("http://141.218.60.56/~jnz1568/getInfo.php?workbook=06_02.xlsx&amp;sheet=A0&amp;row=775&amp;col=17&amp;number=&amp;sourceID=32","")</f>
        <v/>
      </c>
      <c r="R775" s="4" t="str">
        <f>HYPERLINK("http://141.218.60.56/~jnz1568/getInfo.php?workbook=06_02.xlsx&amp;sheet=A0&amp;row=775&amp;col=18&amp;number=&amp;sourceID=32","")</f>
        <v/>
      </c>
    </row>
    <row r="776" spans="1:18">
      <c r="A776" s="3">
        <v>6</v>
      </c>
      <c r="B776" s="3">
        <v>2</v>
      </c>
      <c r="C776" s="3">
        <v>44</v>
      </c>
      <c r="D776" s="3">
        <v>39</v>
      </c>
      <c r="E776" s="3">
        <f>((1/(INDEX(E0!J$4:J$52,C776,1)-INDEX(E0!J$4:J$52,D776,1))))*100000000</f>
        <v>0</v>
      </c>
      <c r="F776" s="4" t="str">
        <f>HYPERLINK("http://141.218.60.56/~jnz1568/getInfo.php?workbook=06_02.xlsx&amp;sheet=A0&amp;row=776&amp;col=6&amp;number=&amp;sourceID=27","")</f>
        <v/>
      </c>
      <c r="G776" s="4" t="str">
        <f>HYPERLINK("http://141.218.60.56/~jnz1568/getInfo.php?workbook=06_02.xlsx&amp;sheet=A0&amp;row=776&amp;col=7&amp;number=&amp;sourceID=34","")</f>
        <v/>
      </c>
      <c r="H776" s="4" t="str">
        <f>HYPERLINK("http://141.218.60.56/~jnz1568/getInfo.php?workbook=06_02.xlsx&amp;sheet=A0&amp;row=776&amp;col=8&amp;number=&amp;sourceID=34","")</f>
        <v/>
      </c>
      <c r="I776" s="4" t="str">
        <f>HYPERLINK("http://141.218.60.56/~jnz1568/getInfo.php?workbook=06_02.xlsx&amp;sheet=A0&amp;row=776&amp;col=9&amp;number=&amp;sourceID=34","")</f>
        <v/>
      </c>
      <c r="J776" s="4" t="str">
        <f>HYPERLINK("http://141.218.60.56/~jnz1568/getInfo.php?workbook=06_02.xlsx&amp;sheet=A0&amp;row=776&amp;col=10&amp;number=&amp;sourceID=34","")</f>
        <v/>
      </c>
      <c r="K776" s="4" t="str">
        <f>HYPERLINK("http://141.218.60.56/~jnz1568/getInfo.php?workbook=06_02.xlsx&amp;sheet=A0&amp;row=776&amp;col=11&amp;number=&amp;sourceID=30","")</f>
        <v/>
      </c>
      <c r="L776" s="4" t="str">
        <f>HYPERLINK("http://141.218.60.56/~jnz1568/getInfo.php?workbook=06_02.xlsx&amp;sheet=A0&amp;row=776&amp;col=12&amp;number=3.17e-13&amp;sourceID=30","3.17e-13")</f>
        <v>3.17e-13</v>
      </c>
      <c r="M776" s="4" t="str">
        <f>HYPERLINK("http://141.218.60.56/~jnz1568/getInfo.php?workbook=06_02.xlsx&amp;sheet=A0&amp;row=776&amp;col=13&amp;number=1e-15&amp;sourceID=30","1e-15")</f>
        <v>1e-15</v>
      </c>
      <c r="N776" s="4" t="str">
        <f>HYPERLINK("http://141.218.60.56/~jnz1568/getInfo.php?workbook=06_02.xlsx&amp;sheet=A0&amp;row=776&amp;col=14&amp;number=&amp;sourceID=30","")</f>
        <v/>
      </c>
      <c r="O776" s="4" t="str">
        <f>HYPERLINK("http://141.218.60.56/~jnz1568/getInfo.php?workbook=06_02.xlsx&amp;sheet=A0&amp;row=776&amp;col=15&amp;number=&amp;sourceID=32","")</f>
        <v/>
      </c>
      <c r="P776" s="4" t="str">
        <f>HYPERLINK("http://141.218.60.56/~jnz1568/getInfo.php?workbook=06_02.xlsx&amp;sheet=A0&amp;row=776&amp;col=16&amp;number=&amp;sourceID=32","")</f>
        <v/>
      </c>
      <c r="Q776" s="4" t="str">
        <f>HYPERLINK("http://141.218.60.56/~jnz1568/getInfo.php?workbook=06_02.xlsx&amp;sheet=A0&amp;row=776&amp;col=17&amp;number=&amp;sourceID=32","")</f>
        <v/>
      </c>
      <c r="R776" s="4" t="str">
        <f>HYPERLINK("http://141.218.60.56/~jnz1568/getInfo.php?workbook=06_02.xlsx&amp;sheet=A0&amp;row=776&amp;col=18&amp;number=&amp;sourceID=32","")</f>
        <v/>
      </c>
    </row>
    <row r="777" spans="1:18">
      <c r="A777" s="3">
        <v>6</v>
      </c>
      <c r="B777" s="3">
        <v>2</v>
      </c>
      <c r="C777" s="3">
        <v>44</v>
      </c>
      <c r="D777" s="3">
        <v>40</v>
      </c>
      <c r="E777" s="3">
        <f>((1/(INDEX(E0!J$4:J$52,C777,1)-INDEX(E0!J$4:J$52,D777,1))))*100000000</f>
        <v>0</v>
      </c>
      <c r="F777" s="4" t="str">
        <f>HYPERLINK("http://141.218.60.56/~jnz1568/getInfo.php?workbook=06_02.xlsx&amp;sheet=A0&amp;row=777&amp;col=6&amp;number=&amp;sourceID=27","")</f>
        <v/>
      </c>
      <c r="G777" s="4" t="str">
        <f>HYPERLINK("http://141.218.60.56/~jnz1568/getInfo.php?workbook=06_02.xlsx&amp;sheet=A0&amp;row=777&amp;col=7&amp;number=&amp;sourceID=34","")</f>
        <v/>
      </c>
      <c r="H777" s="4" t="str">
        <f>HYPERLINK("http://141.218.60.56/~jnz1568/getInfo.php?workbook=06_02.xlsx&amp;sheet=A0&amp;row=777&amp;col=8&amp;number=&amp;sourceID=34","")</f>
        <v/>
      </c>
      <c r="I777" s="4" t="str">
        <f>HYPERLINK("http://141.218.60.56/~jnz1568/getInfo.php?workbook=06_02.xlsx&amp;sheet=A0&amp;row=777&amp;col=9&amp;number=&amp;sourceID=34","")</f>
        <v/>
      </c>
      <c r="J777" s="4" t="str">
        <f>HYPERLINK("http://141.218.60.56/~jnz1568/getInfo.php?workbook=06_02.xlsx&amp;sheet=A0&amp;row=777&amp;col=10&amp;number=&amp;sourceID=34","")</f>
        <v/>
      </c>
      <c r="K777" s="4" t="str">
        <f>HYPERLINK("http://141.218.60.56/~jnz1568/getInfo.php?workbook=06_02.xlsx&amp;sheet=A0&amp;row=777&amp;col=11&amp;number=0.0004318&amp;sourceID=30","0.0004318")</f>
        <v>0.0004318</v>
      </c>
      <c r="L777" s="4" t="str">
        <f>HYPERLINK("http://141.218.60.56/~jnz1568/getInfo.php?workbook=06_02.xlsx&amp;sheet=A0&amp;row=777&amp;col=12&amp;number=&amp;sourceID=30","")</f>
        <v/>
      </c>
      <c r="M777" s="4" t="str">
        <f>HYPERLINK("http://141.218.60.56/~jnz1568/getInfo.php?workbook=06_02.xlsx&amp;sheet=A0&amp;row=777&amp;col=13&amp;number=&amp;sourceID=30","")</f>
        <v/>
      </c>
      <c r="N777" s="4" t="str">
        <f>HYPERLINK("http://141.218.60.56/~jnz1568/getInfo.php?workbook=06_02.xlsx&amp;sheet=A0&amp;row=777&amp;col=14&amp;number=0&amp;sourceID=30","0")</f>
        <v>0</v>
      </c>
      <c r="O777" s="4" t="str">
        <f>HYPERLINK("http://141.218.60.56/~jnz1568/getInfo.php?workbook=06_02.xlsx&amp;sheet=A0&amp;row=777&amp;col=15&amp;number=&amp;sourceID=32","")</f>
        <v/>
      </c>
      <c r="P777" s="4" t="str">
        <f>HYPERLINK("http://141.218.60.56/~jnz1568/getInfo.php?workbook=06_02.xlsx&amp;sheet=A0&amp;row=777&amp;col=16&amp;number=&amp;sourceID=32","")</f>
        <v/>
      </c>
      <c r="Q777" s="4" t="str">
        <f>HYPERLINK("http://141.218.60.56/~jnz1568/getInfo.php?workbook=06_02.xlsx&amp;sheet=A0&amp;row=777&amp;col=17&amp;number=&amp;sourceID=32","")</f>
        <v/>
      </c>
      <c r="R777" s="4" t="str">
        <f>HYPERLINK("http://141.218.60.56/~jnz1568/getInfo.php?workbook=06_02.xlsx&amp;sheet=A0&amp;row=777&amp;col=18&amp;number=&amp;sourceID=32","")</f>
        <v/>
      </c>
    </row>
    <row r="778" spans="1:18">
      <c r="A778" s="3">
        <v>6</v>
      </c>
      <c r="B778" s="3">
        <v>2</v>
      </c>
      <c r="C778" s="3">
        <v>44</v>
      </c>
      <c r="D778" s="3">
        <v>41</v>
      </c>
      <c r="E778" s="3">
        <f>((1/(INDEX(E0!J$4:J$52,C778,1)-INDEX(E0!J$4:J$52,D778,1))))*100000000</f>
        <v>0</v>
      </c>
      <c r="F778" s="4" t="str">
        <f>HYPERLINK("http://141.218.60.56/~jnz1568/getInfo.php?workbook=06_02.xlsx&amp;sheet=A0&amp;row=778&amp;col=6&amp;number=&amp;sourceID=27","")</f>
        <v/>
      </c>
      <c r="G778" s="4" t="str">
        <f>HYPERLINK("http://141.218.60.56/~jnz1568/getInfo.php?workbook=06_02.xlsx&amp;sheet=A0&amp;row=778&amp;col=7&amp;number=&amp;sourceID=34","")</f>
        <v/>
      </c>
      <c r="H778" s="4" t="str">
        <f>HYPERLINK("http://141.218.60.56/~jnz1568/getInfo.php?workbook=06_02.xlsx&amp;sheet=A0&amp;row=778&amp;col=8&amp;number=&amp;sourceID=34","")</f>
        <v/>
      </c>
      <c r="I778" s="4" t="str">
        <f>HYPERLINK("http://141.218.60.56/~jnz1568/getInfo.php?workbook=06_02.xlsx&amp;sheet=A0&amp;row=778&amp;col=9&amp;number=&amp;sourceID=34","")</f>
        <v/>
      </c>
      <c r="J778" s="4" t="str">
        <f>HYPERLINK("http://141.218.60.56/~jnz1568/getInfo.php?workbook=06_02.xlsx&amp;sheet=A0&amp;row=778&amp;col=10&amp;number=&amp;sourceID=34","")</f>
        <v/>
      </c>
      <c r="K778" s="4" t="str">
        <f>HYPERLINK("http://141.218.60.56/~jnz1568/getInfo.php?workbook=06_02.xlsx&amp;sheet=A0&amp;row=778&amp;col=11&amp;number=5.07e-05&amp;sourceID=30","5.07e-05")</f>
        <v>5.07e-05</v>
      </c>
      <c r="L778" s="4" t="str">
        <f>HYPERLINK("http://141.218.60.56/~jnz1568/getInfo.php?workbook=06_02.xlsx&amp;sheet=A0&amp;row=778&amp;col=12&amp;number=&amp;sourceID=30","")</f>
        <v/>
      </c>
      <c r="M778" s="4" t="str">
        <f>HYPERLINK("http://141.218.60.56/~jnz1568/getInfo.php?workbook=06_02.xlsx&amp;sheet=A0&amp;row=778&amp;col=13&amp;number=&amp;sourceID=30","")</f>
        <v/>
      </c>
      <c r="N778" s="4" t="str">
        <f>HYPERLINK("http://141.218.60.56/~jnz1568/getInfo.php?workbook=06_02.xlsx&amp;sheet=A0&amp;row=778&amp;col=14&amp;number=0&amp;sourceID=30","0")</f>
        <v>0</v>
      </c>
      <c r="O778" s="4" t="str">
        <f>HYPERLINK("http://141.218.60.56/~jnz1568/getInfo.php?workbook=06_02.xlsx&amp;sheet=A0&amp;row=778&amp;col=15&amp;number=&amp;sourceID=32","")</f>
        <v/>
      </c>
      <c r="P778" s="4" t="str">
        <f>HYPERLINK("http://141.218.60.56/~jnz1568/getInfo.php?workbook=06_02.xlsx&amp;sheet=A0&amp;row=778&amp;col=16&amp;number=&amp;sourceID=32","")</f>
        <v/>
      </c>
      <c r="Q778" s="4" t="str">
        <f>HYPERLINK("http://141.218.60.56/~jnz1568/getInfo.php?workbook=06_02.xlsx&amp;sheet=A0&amp;row=778&amp;col=17&amp;number=&amp;sourceID=32","")</f>
        <v/>
      </c>
      <c r="R778" s="4" t="str">
        <f>HYPERLINK("http://141.218.60.56/~jnz1568/getInfo.php?workbook=06_02.xlsx&amp;sheet=A0&amp;row=778&amp;col=18&amp;number=&amp;sourceID=32","")</f>
        <v/>
      </c>
    </row>
    <row r="779" spans="1:18">
      <c r="A779" s="3">
        <v>6</v>
      </c>
      <c r="B779" s="3">
        <v>2</v>
      </c>
      <c r="C779" s="3">
        <v>44</v>
      </c>
      <c r="D779" s="3">
        <v>42</v>
      </c>
      <c r="E779" s="3">
        <f>((1/(INDEX(E0!J$4:J$52,C779,1)-INDEX(E0!J$4:J$52,D779,1))))*100000000</f>
        <v>0</v>
      </c>
      <c r="F779" s="4" t="str">
        <f>HYPERLINK("http://141.218.60.56/~jnz1568/getInfo.php?workbook=06_02.xlsx&amp;sheet=A0&amp;row=779&amp;col=6&amp;number=&amp;sourceID=27","")</f>
        <v/>
      </c>
      <c r="G779" s="4" t="str">
        <f>HYPERLINK("http://141.218.60.56/~jnz1568/getInfo.php?workbook=06_02.xlsx&amp;sheet=A0&amp;row=779&amp;col=7&amp;number=&amp;sourceID=34","")</f>
        <v/>
      </c>
      <c r="H779" s="4" t="str">
        <f>HYPERLINK("http://141.218.60.56/~jnz1568/getInfo.php?workbook=06_02.xlsx&amp;sheet=A0&amp;row=779&amp;col=8&amp;number=&amp;sourceID=34","")</f>
        <v/>
      </c>
      <c r="I779" s="4" t="str">
        <f>HYPERLINK("http://141.218.60.56/~jnz1568/getInfo.php?workbook=06_02.xlsx&amp;sheet=A0&amp;row=779&amp;col=9&amp;number=&amp;sourceID=34","")</f>
        <v/>
      </c>
      <c r="J779" s="4" t="str">
        <f>HYPERLINK("http://141.218.60.56/~jnz1568/getInfo.php?workbook=06_02.xlsx&amp;sheet=A0&amp;row=779&amp;col=10&amp;number=&amp;sourceID=34","")</f>
        <v/>
      </c>
      <c r="K779" s="4" t="str">
        <f>HYPERLINK("http://141.218.60.56/~jnz1568/getInfo.php?workbook=06_02.xlsx&amp;sheet=A0&amp;row=779&amp;col=11&amp;number=8.81e-08&amp;sourceID=30","8.81e-08")</f>
        <v>8.81e-08</v>
      </c>
      <c r="L779" s="4" t="str">
        <f>HYPERLINK("http://141.218.60.56/~jnz1568/getInfo.php?workbook=06_02.xlsx&amp;sheet=A0&amp;row=779&amp;col=12&amp;number=&amp;sourceID=30","")</f>
        <v/>
      </c>
      <c r="M779" s="4" t="str">
        <f>HYPERLINK("http://141.218.60.56/~jnz1568/getInfo.php?workbook=06_02.xlsx&amp;sheet=A0&amp;row=779&amp;col=13&amp;number=&amp;sourceID=30","")</f>
        <v/>
      </c>
      <c r="N779" s="4" t="str">
        <f>HYPERLINK("http://141.218.60.56/~jnz1568/getInfo.php?workbook=06_02.xlsx&amp;sheet=A0&amp;row=779&amp;col=14&amp;number=0&amp;sourceID=30","0")</f>
        <v>0</v>
      </c>
      <c r="O779" s="4" t="str">
        <f>HYPERLINK("http://141.218.60.56/~jnz1568/getInfo.php?workbook=06_02.xlsx&amp;sheet=A0&amp;row=779&amp;col=15&amp;number=&amp;sourceID=32","")</f>
        <v/>
      </c>
      <c r="P779" s="4" t="str">
        <f>HYPERLINK("http://141.218.60.56/~jnz1568/getInfo.php?workbook=06_02.xlsx&amp;sheet=A0&amp;row=779&amp;col=16&amp;number=&amp;sourceID=32","")</f>
        <v/>
      </c>
      <c r="Q779" s="4" t="str">
        <f>HYPERLINK("http://141.218.60.56/~jnz1568/getInfo.php?workbook=06_02.xlsx&amp;sheet=A0&amp;row=779&amp;col=17&amp;number=&amp;sourceID=32","")</f>
        <v/>
      </c>
      <c r="R779" s="4" t="str">
        <f>HYPERLINK("http://141.218.60.56/~jnz1568/getInfo.php?workbook=06_02.xlsx&amp;sheet=A0&amp;row=779&amp;col=18&amp;number=&amp;sourceID=32","")</f>
        <v/>
      </c>
    </row>
    <row r="780" spans="1:18">
      <c r="A780" s="3">
        <v>6</v>
      </c>
      <c r="B780" s="3">
        <v>2</v>
      </c>
      <c r="C780" s="3">
        <v>45</v>
      </c>
      <c r="D780" s="3">
        <v>6</v>
      </c>
      <c r="E780" s="3">
        <f>((1/(INDEX(E0!J$4:J$52,C780,1)-INDEX(E0!J$4:J$52,D780,1))))*100000000</f>
        <v>0</v>
      </c>
      <c r="F780" s="4" t="str">
        <f>HYPERLINK("http://141.218.60.56/~jnz1568/getInfo.php?workbook=06_02.xlsx&amp;sheet=A0&amp;row=780&amp;col=6&amp;number=&amp;sourceID=27","")</f>
        <v/>
      </c>
      <c r="G780" s="4" t="str">
        <f>HYPERLINK("http://141.218.60.56/~jnz1568/getInfo.php?workbook=06_02.xlsx&amp;sheet=A0&amp;row=780&amp;col=7&amp;number=&amp;sourceID=34","")</f>
        <v/>
      </c>
      <c r="H780" s="4" t="str">
        <f>HYPERLINK("http://141.218.60.56/~jnz1568/getInfo.php?workbook=06_02.xlsx&amp;sheet=A0&amp;row=780&amp;col=8&amp;number=&amp;sourceID=34","")</f>
        <v/>
      </c>
      <c r="I780" s="4" t="str">
        <f>HYPERLINK("http://141.218.60.56/~jnz1568/getInfo.php?workbook=06_02.xlsx&amp;sheet=A0&amp;row=780&amp;col=9&amp;number=&amp;sourceID=34","")</f>
        <v/>
      </c>
      <c r="J780" s="4" t="str">
        <f>HYPERLINK("http://141.218.60.56/~jnz1568/getInfo.php?workbook=06_02.xlsx&amp;sheet=A0&amp;row=780&amp;col=10&amp;number=&amp;sourceID=34","")</f>
        <v/>
      </c>
      <c r="K780" s="4" t="str">
        <f>HYPERLINK("http://141.218.60.56/~jnz1568/getInfo.php?workbook=06_02.xlsx&amp;sheet=A0&amp;row=780&amp;col=11&amp;number=&amp;sourceID=30","")</f>
        <v/>
      </c>
      <c r="L780" s="4" t="str">
        <f>HYPERLINK("http://141.218.60.56/~jnz1568/getInfo.php?workbook=06_02.xlsx&amp;sheet=A0&amp;row=780&amp;col=12&amp;number=&amp;sourceID=30","")</f>
        <v/>
      </c>
      <c r="M780" s="4" t="str">
        <f>HYPERLINK("http://141.218.60.56/~jnz1568/getInfo.php?workbook=06_02.xlsx&amp;sheet=A0&amp;row=780&amp;col=13&amp;number=&amp;sourceID=30","")</f>
        <v/>
      </c>
      <c r="N780" s="4" t="str">
        <f>HYPERLINK("http://141.218.60.56/~jnz1568/getInfo.php?workbook=06_02.xlsx&amp;sheet=A0&amp;row=780&amp;col=14&amp;number=1.046e-08&amp;sourceID=30","1.046e-08")</f>
        <v>1.046e-08</v>
      </c>
      <c r="O780" s="4" t="str">
        <f>HYPERLINK("http://141.218.60.56/~jnz1568/getInfo.php?workbook=06_02.xlsx&amp;sheet=A0&amp;row=780&amp;col=15&amp;number=&amp;sourceID=32","")</f>
        <v/>
      </c>
      <c r="P780" s="4" t="str">
        <f>HYPERLINK("http://141.218.60.56/~jnz1568/getInfo.php?workbook=06_02.xlsx&amp;sheet=A0&amp;row=780&amp;col=16&amp;number=&amp;sourceID=32","")</f>
        <v/>
      </c>
      <c r="Q780" s="4" t="str">
        <f>HYPERLINK("http://141.218.60.56/~jnz1568/getInfo.php?workbook=06_02.xlsx&amp;sheet=A0&amp;row=780&amp;col=17&amp;number=&amp;sourceID=32","")</f>
        <v/>
      </c>
      <c r="R780" s="4" t="str">
        <f>HYPERLINK("http://141.218.60.56/~jnz1568/getInfo.php?workbook=06_02.xlsx&amp;sheet=A0&amp;row=780&amp;col=18&amp;number=&amp;sourceID=32","")</f>
        <v/>
      </c>
    </row>
    <row r="781" spans="1:18">
      <c r="A781" s="3">
        <v>6</v>
      </c>
      <c r="B781" s="3">
        <v>2</v>
      </c>
      <c r="C781" s="3">
        <v>45</v>
      </c>
      <c r="D781" s="3">
        <v>12</v>
      </c>
      <c r="E781" s="3">
        <f>((1/(INDEX(E0!J$4:J$52,C781,1)-INDEX(E0!J$4:J$52,D781,1))))*100000000</f>
        <v>0</v>
      </c>
      <c r="F781" s="4" t="str">
        <f>HYPERLINK("http://141.218.60.56/~jnz1568/getInfo.php?workbook=06_02.xlsx&amp;sheet=A0&amp;row=781&amp;col=6&amp;number=&amp;sourceID=27","")</f>
        <v/>
      </c>
      <c r="G781" s="4" t="str">
        <f>HYPERLINK("http://141.218.60.56/~jnz1568/getInfo.php?workbook=06_02.xlsx&amp;sheet=A0&amp;row=781&amp;col=7&amp;number=&amp;sourceID=34","")</f>
        <v/>
      </c>
      <c r="H781" s="4" t="str">
        <f>HYPERLINK("http://141.218.60.56/~jnz1568/getInfo.php?workbook=06_02.xlsx&amp;sheet=A0&amp;row=781&amp;col=8&amp;number=&amp;sourceID=34","")</f>
        <v/>
      </c>
      <c r="I781" s="4" t="str">
        <f>HYPERLINK("http://141.218.60.56/~jnz1568/getInfo.php?workbook=06_02.xlsx&amp;sheet=A0&amp;row=781&amp;col=9&amp;number=&amp;sourceID=34","")</f>
        <v/>
      </c>
      <c r="J781" s="4" t="str">
        <f>HYPERLINK("http://141.218.60.56/~jnz1568/getInfo.php?workbook=06_02.xlsx&amp;sheet=A0&amp;row=781&amp;col=10&amp;number=&amp;sourceID=34","")</f>
        <v/>
      </c>
      <c r="K781" s="4" t="str">
        <f>HYPERLINK("http://141.218.60.56/~jnz1568/getInfo.php?workbook=06_02.xlsx&amp;sheet=A0&amp;row=781&amp;col=11&amp;number=&amp;sourceID=30","")</f>
        <v/>
      </c>
      <c r="L781" s="4" t="str">
        <f>HYPERLINK("http://141.218.60.56/~jnz1568/getInfo.php?workbook=06_02.xlsx&amp;sheet=A0&amp;row=781&amp;col=12&amp;number=&amp;sourceID=30","")</f>
        <v/>
      </c>
      <c r="M781" s="4" t="str">
        <f>HYPERLINK("http://141.218.60.56/~jnz1568/getInfo.php?workbook=06_02.xlsx&amp;sheet=A0&amp;row=781&amp;col=13&amp;number=&amp;sourceID=30","")</f>
        <v/>
      </c>
      <c r="N781" s="4" t="str">
        <f>HYPERLINK("http://141.218.60.56/~jnz1568/getInfo.php?workbook=06_02.xlsx&amp;sheet=A0&amp;row=781&amp;col=14&amp;number=5.021e-10&amp;sourceID=30","5.021e-10")</f>
        <v>5.021e-10</v>
      </c>
      <c r="O781" s="4" t="str">
        <f>HYPERLINK("http://141.218.60.56/~jnz1568/getInfo.php?workbook=06_02.xlsx&amp;sheet=A0&amp;row=781&amp;col=15&amp;number=&amp;sourceID=32","")</f>
        <v/>
      </c>
      <c r="P781" s="4" t="str">
        <f>HYPERLINK("http://141.218.60.56/~jnz1568/getInfo.php?workbook=06_02.xlsx&amp;sheet=A0&amp;row=781&amp;col=16&amp;number=&amp;sourceID=32","")</f>
        <v/>
      </c>
      <c r="Q781" s="4" t="str">
        <f>HYPERLINK("http://141.218.60.56/~jnz1568/getInfo.php?workbook=06_02.xlsx&amp;sheet=A0&amp;row=781&amp;col=17&amp;number=&amp;sourceID=32","")</f>
        <v/>
      </c>
      <c r="R781" s="4" t="str">
        <f>HYPERLINK("http://141.218.60.56/~jnz1568/getInfo.php?workbook=06_02.xlsx&amp;sheet=A0&amp;row=781&amp;col=18&amp;number=&amp;sourceID=32","")</f>
        <v/>
      </c>
    </row>
    <row r="782" spans="1:18">
      <c r="A782" s="3">
        <v>6</v>
      </c>
      <c r="B782" s="3">
        <v>2</v>
      </c>
      <c r="C782" s="3">
        <v>45</v>
      </c>
      <c r="D782" s="3">
        <v>14</v>
      </c>
      <c r="E782" s="3">
        <f>((1/(INDEX(E0!J$4:J$52,C782,1)-INDEX(E0!J$4:J$52,D782,1))))*100000000</f>
        <v>0</v>
      </c>
      <c r="F782" s="4" t="str">
        <f>HYPERLINK("http://141.218.60.56/~jnz1568/getInfo.php?workbook=06_02.xlsx&amp;sheet=A0&amp;row=782&amp;col=6&amp;number=&amp;sourceID=27","")</f>
        <v/>
      </c>
      <c r="G782" s="4" t="str">
        <f>HYPERLINK("http://141.218.60.56/~jnz1568/getInfo.php?workbook=06_02.xlsx&amp;sheet=A0&amp;row=782&amp;col=7&amp;number=&amp;sourceID=34","")</f>
        <v/>
      </c>
      <c r="H782" s="4" t="str">
        <f>HYPERLINK("http://141.218.60.56/~jnz1568/getInfo.php?workbook=06_02.xlsx&amp;sheet=A0&amp;row=782&amp;col=8&amp;number=&amp;sourceID=34","")</f>
        <v/>
      </c>
      <c r="I782" s="4" t="str">
        <f>HYPERLINK("http://141.218.60.56/~jnz1568/getInfo.php?workbook=06_02.xlsx&amp;sheet=A0&amp;row=782&amp;col=9&amp;number=&amp;sourceID=34","")</f>
        <v/>
      </c>
      <c r="J782" s="4" t="str">
        <f>HYPERLINK("http://141.218.60.56/~jnz1568/getInfo.php?workbook=06_02.xlsx&amp;sheet=A0&amp;row=782&amp;col=10&amp;number=&amp;sourceID=34","")</f>
        <v/>
      </c>
      <c r="K782" s="4" t="str">
        <f>HYPERLINK("http://141.218.60.56/~jnz1568/getInfo.php?workbook=06_02.xlsx&amp;sheet=A0&amp;row=782&amp;col=11&amp;number=&amp;sourceID=30","")</f>
        <v/>
      </c>
      <c r="L782" s="4" t="str">
        <f>HYPERLINK("http://141.218.60.56/~jnz1568/getInfo.php?workbook=06_02.xlsx&amp;sheet=A0&amp;row=782&amp;col=12&amp;number=91110&amp;sourceID=30","91110")</f>
        <v>91110</v>
      </c>
      <c r="M782" s="4" t="str">
        <f>HYPERLINK("http://141.218.60.56/~jnz1568/getInfo.php?workbook=06_02.xlsx&amp;sheet=A0&amp;row=782&amp;col=13&amp;number=&amp;sourceID=30","")</f>
        <v/>
      </c>
      <c r="N782" s="4" t="str">
        <f>HYPERLINK("http://141.218.60.56/~jnz1568/getInfo.php?workbook=06_02.xlsx&amp;sheet=A0&amp;row=782&amp;col=14&amp;number=&amp;sourceID=30","")</f>
        <v/>
      </c>
      <c r="O782" s="4" t="str">
        <f>HYPERLINK("http://141.218.60.56/~jnz1568/getInfo.php?workbook=06_02.xlsx&amp;sheet=A0&amp;row=782&amp;col=15&amp;number=&amp;sourceID=32","")</f>
        <v/>
      </c>
      <c r="P782" s="4" t="str">
        <f>HYPERLINK("http://141.218.60.56/~jnz1568/getInfo.php?workbook=06_02.xlsx&amp;sheet=A0&amp;row=782&amp;col=16&amp;number=&amp;sourceID=32","")</f>
        <v/>
      </c>
      <c r="Q782" s="4" t="str">
        <f>HYPERLINK("http://141.218.60.56/~jnz1568/getInfo.php?workbook=06_02.xlsx&amp;sheet=A0&amp;row=782&amp;col=17&amp;number=&amp;sourceID=32","")</f>
        <v/>
      </c>
      <c r="R782" s="4" t="str">
        <f>HYPERLINK("http://141.218.60.56/~jnz1568/getInfo.php?workbook=06_02.xlsx&amp;sheet=A0&amp;row=782&amp;col=18&amp;number=&amp;sourceID=32","")</f>
        <v/>
      </c>
    </row>
    <row r="783" spans="1:18">
      <c r="A783" s="3">
        <v>6</v>
      </c>
      <c r="B783" s="3">
        <v>2</v>
      </c>
      <c r="C783" s="3">
        <v>45</v>
      </c>
      <c r="D783" s="3">
        <v>15</v>
      </c>
      <c r="E783" s="3">
        <f>((1/(INDEX(E0!J$4:J$52,C783,1)-INDEX(E0!J$4:J$52,D783,1))))*100000000</f>
        <v>0</v>
      </c>
      <c r="F783" s="4" t="str">
        <f>HYPERLINK("http://141.218.60.56/~jnz1568/getInfo.php?workbook=06_02.xlsx&amp;sheet=A0&amp;row=783&amp;col=6&amp;number=&amp;sourceID=27","")</f>
        <v/>
      </c>
      <c r="G783" s="4" t="str">
        <f>HYPERLINK("http://141.218.60.56/~jnz1568/getInfo.php?workbook=06_02.xlsx&amp;sheet=A0&amp;row=783&amp;col=7&amp;number=&amp;sourceID=34","")</f>
        <v/>
      </c>
      <c r="H783" s="4" t="str">
        <f>HYPERLINK("http://141.218.60.56/~jnz1568/getInfo.php?workbook=06_02.xlsx&amp;sheet=A0&amp;row=783&amp;col=8&amp;number=&amp;sourceID=34","")</f>
        <v/>
      </c>
      <c r="I783" s="4" t="str">
        <f>HYPERLINK("http://141.218.60.56/~jnz1568/getInfo.php?workbook=06_02.xlsx&amp;sheet=A0&amp;row=783&amp;col=9&amp;number=&amp;sourceID=34","")</f>
        <v/>
      </c>
      <c r="J783" s="4" t="str">
        <f>HYPERLINK("http://141.218.60.56/~jnz1568/getInfo.php?workbook=06_02.xlsx&amp;sheet=A0&amp;row=783&amp;col=10&amp;number=&amp;sourceID=34","")</f>
        <v/>
      </c>
      <c r="K783" s="4" t="str">
        <f>HYPERLINK("http://141.218.60.56/~jnz1568/getInfo.php?workbook=06_02.xlsx&amp;sheet=A0&amp;row=783&amp;col=11&amp;number=&amp;sourceID=30","")</f>
        <v/>
      </c>
      <c r="L783" s="4" t="str">
        <f>HYPERLINK("http://141.218.60.56/~jnz1568/getInfo.php?workbook=06_02.xlsx&amp;sheet=A0&amp;row=783&amp;col=12&amp;number=16380&amp;sourceID=30","16380")</f>
        <v>16380</v>
      </c>
      <c r="M783" s="4" t="str">
        <f>HYPERLINK("http://141.218.60.56/~jnz1568/getInfo.php?workbook=06_02.xlsx&amp;sheet=A0&amp;row=783&amp;col=13&amp;number=1.152e-05&amp;sourceID=30","1.152e-05")</f>
        <v>1.152e-05</v>
      </c>
      <c r="N783" s="4" t="str">
        <f>HYPERLINK("http://141.218.60.56/~jnz1568/getInfo.php?workbook=06_02.xlsx&amp;sheet=A0&amp;row=783&amp;col=14&amp;number=&amp;sourceID=30","")</f>
        <v/>
      </c>
      <c r="O783" s="4" t="str">
        <f>HYPERLINK("http://141.218.60.56/~jnz1568/getInfo.php?workbook=06_02.xlsx&amp;sheet=A0&amp;row=783&amp;col=15&amp;number=&amp;sourceID=32","")</f>
        <v/>
      </c>
      <c r="P783" s="4" t="str">
        <f>HYPERLINK("http://141.218.60.56/~jnz1568/getInfo.php?workbook=06_02.xlsx&amp;sheet=A0&amp;row=783&amp;col=16&amp;number=&amp;sourceID=32","")</f>
        <v/>
      </c>
      <c r="Q783" s="4" t="str">
        <f>HYPERLINK("http://141.218.60.56/~jnz1568/getInfo.php?workbook=06_02.xlsx&amp;sheet=A0&amp;row=783&amp;col=17&amp;number=&amp;sourceID=32","")</f>
        <v/>
      </c>
      <c r="R783" s="4" t="str">
        <f>HYPERLINK("http://141.218.60.56/~jnz1568/getInfo.php?workbook=06_02.xlsx&amp;sheet=A0&amp;row=783&amp;col=18&amp;number=&amp;sourceID=32","")</f>
        <v/>
      </c>
    </row>
    <row r="784" spans="1:18">
      <c r="A784" s="3">
        <v>6</v>
      </c>
      <c r="B784" s="3">
        <v>2</v>
      </c>
      <c r="C784" s="3">
        <v>45</v>
      </c>
      <c r="D784" s="3">
        <v>16</v>
      </c>
      <c r="E784" s="3">
        <f>((1/(INDEX(E0!J$4:J$52,C784,1)-INDEX(E0!J$4:J$52,D784,1))))*100000000</f>
        <v>0</v>
      </c>
      <c r="F784" s="4" t="str">
        <f>HYPERLINK("http://141.218.60.56/~jnz1568/getInfo.php?workbook=06_02.xlsx&amp;sheet=A0&amp;row=784&amp;col=6&amp;number=&amp;sourceID=27","")</f>
        <v/>
      </c>
      <c r="G784" s="4" t="str">
        <f>HYPERLINK("http://141.218.60.56/~jnz1568/getInfo.php?workbook=06_02.xlsx&amp;sheet=A0&amp;row=784&amp;col=7&amp;number=&amp;sourceID=34","")</f>
        <v/>
      </c>
      <c r="H784" s="4" t="str">
        <f>HYPERLINK("http://141.218.60.56/~jnz1568/getInfo.php?workbook=06_02.xlsx&amp;sheet=A0&amp;row=784&amp;col=8&amp;number=&amp;sourceID=34","")</f>
        <v/>
      </c>
      <c r="I784" s="4" t="str">
        <f>HYPERLINK("http://141.218.60.56/~jnz1568/getInfo.php?workbook=06_02.xlsx&amp;sheet=A0&amp;row=784&amp;col=9&amp;number=&amp;sourceID=34","")</f>
        <v/>
      </c>
      <c r="J784" s="4" t="str">
        <f>HYPERLINK("http://141.218.60.56/~jnz1568/getInfo.php?workbook=06_02.xlsx&amp;sheet=A0&amp;row=784&amp;col=10&amp;number=&amp;sourceID=34","")</f>
        <v/>
      </c>
      <c r="K784" s="4" t="str">
        <f>HYPERLINK("http://141.218.60.56/~jnz1568/getInfo.php?workbook=06_02.xlsx&amp;sheet=A0&amp;row=784&amp;col=11&amp;number=&amp;sourceID=30","")</f>
        <v/>
      </c>
      <c r="L784" s="4" t="str">
        <f>HYPERLINK("http://141.218.60.56/~jnz1568/getInfo.php?workbook=06_02.xlsx&amp;sheet=A0&amp;row=784&amp;col=12&amp;number=73940&amp;sourceID=30","73940")</f>
        <v>73940</v>
      </c>
      <c r="M784" s="4" t="str">
        <f>HYPERLINK("http://141.218.60.56/~jnz1568/getInfo.php?workbook=06_02.xlsx&amp;sheet=A0&amp;row=784&amp;col=13&amp;number=&amp;sourceID=30","")</f>
        <v/>
      </c>
      <c r="N784" s="4" t="str">
        <f>HYPERLINK("http://141.218.60.56/~jnz1568/getInfo.php?workbook=06_02.xlsx&amp;sheet=A0&amp;row=784&amp;col=14&amp;number=&amp;sourceID=30","")</f>
        <v/>
      </c>
      <c r="O784" s="4" t="str">
        <f>HYPERLINK("http://141.218.60.56/~jnz1568/getInfo.php?workbook=06_02.xlsx&amp;sheet=A0&amp;row=784&amp;col=15&amp;number=&amp;sourceID=32","")</f>
        <v/>
      </c>
      <c r="P784" s="4" t="str">
        <f>HYPERLINK("http://141.218.60.56/~jnz1568/getInfo.php?workbook=06_02.xlsx&amp;sheet=A0&amp;row=784&amp;col=16&amp;number=&amp;sourceID=32","")</f>
        <v/>
      </c>
      <c r="Q784" s="4" t="str">
        <f>HYPERLINK("http://141.218.60.56/~jnz1568/getInfo.php?workbook=06_02.xlsx&amp;sheet=A0&amp;row=784&amp;col=17&amp;number=&amp;sourceID=32","")</f>
        <v/>
      </c>
      <c r="R784" s="4" t="str">
        <f>HYPERLINK("http://141.218.60.56/~jnz1568/getInfo.php?workbook=06_02.xlsx&amp;sheet=A0&amp;row=784&amp;col=18&amp;number=&amp;sourceID=32","")</f>
        <v/>
      </c>
    </row>
    <row r="785" spans="1:18">
      <c r="A785" s="3">
        <v>6</v>
      </c>
      <c r="B785" s="3">
        <v>2</v>
      </c>
      <c r="C785" s="3">
        <v>45</v>
      </c>
      <c r="D785" s="3">
        <v>22</v>
      </c>
      <c r="E785" s="3">
        <f>((1/(INDEX(E0!J$4:J$52,C785,1)-INDEX(E0!J$4:J$52,D785,1))))*100000000</f>
        <v>0</v>
      </c>
      <c r="F785" s="4" t="str">
        <f>HYPERLINK("http://141.218.60.56/~jnz1568/getInfo.php?workbook=06_02.xlsx&amp;sheet=A0&amp;row=785&amp;col=6&amp;number=&amp;sourceID=27","")</f>
        <v/>
      </c>
      <c r="G785" s="4" t="str">
        <f>HYPERLINK("http://141.218.60.56/~jnz1568/getInfo.php?workbook=06_02.xlsx&amp;sheet=A0&amp;row=785&amp;col=7&amp;number=&amp;sourceID=34","")</f>
        <v/>
      </c>
      <c r="H785" s="4" t="str">
        <f>HYPERLINK("http://141.218.60.56/~jnz1568/getInfo.php?workbook=06_02.xlsx&amp;sheet=A0&amp;row=785&amp;col=8&amp;number=&amp;sourceID=34","")</f>
        <v/>
      </c>
      <c r="I785" s="4" t="str">
        <f>HYPERLINK("http://141.218.60.56/~jnz1568/getInfo.php?workbook=06_02.xlsx&amp;sheet=A0&amp;row=785&amp;col=9&amp;number=&amp;sourceID=34","")</f>
        <v/>
      </c>
      <c r="J785" s="4" t="str">
        <f>HYPERLINK("http://141.218.60.56/~jnz1568/getInfo.php?workbook=06_02.xlsx&amp;sheet=A0&amp;row=785&amp;col=10&amp;number=&amp;sourceID=34","")</f>
        <v/>
      </c>
      <c r="K785" s="4" t="str">
        <f>HYPERLINK("http://141.218.60.56/~jnz1568/getInfo.php?workbook=06_02.xlsx&amp;sheet=A0&amp;row=785&amp;col=11&amp;number=&amp;sourceID=30","")</f>
        <v/>
      </c>
      <c r="L785" s="4" t="str">
        <f>HYPERLINK("http://141.218.60.56/~jnz1568/getInfo.php?workbook=06_02.xlsx&amp;sheet=A0&amp;row=785&amp;col=12&amp;number=&amp;sourceID=30","")</f>
        <v/>
      </c>
      <c r="M785" s="4" t="str">
        <f>HYPERLINK("http://141.218.60.56/~jnz1568/getInfo.php?workbook=06_02.xlsx&amp;sheet=A0&amp;row=785&amp;col=13&amp;number=&amp;sourceID=30","")</f>
        <v/>
      </c>
      <c r="N785" s="4" t="str">
        <f>HYPERLINK("http://141.218.60.56/~jnz1568/getInfo.php?workbook=06_02.xlsx&amp;sheet=A0&amp;row=785&amp;col=14&amp;number=3.06e-13&amp;sourceID=30","3.06e-13")</f>
        <v>3.06e-13</v>
      </c>
      <c r="O785" s="4" t="str">
        <f>HYPERLINK("http://141.218.60.56/~jnz1568/getInfo.php?workbook=06_02.xlsx&amp;sheet=A0&amp;row=785&amp;col=15&amp;number=&amp;sourceID=32","")</f>
        <v/>
      </c>
      <c r="P785" s="4" t="str">
        <f>HYPERLINK("http://141.218.60.56/~jnz1568/getInfo.php?workbook=06_02.xlsx&amp;sheet=A0&amp;row=785&amp;col=16&amp;number=&amp;sourceID=32","")</f>
        <v/>
      </c>
      <c r="Q785" s="4" t="str">
        <f>HYPERLINK("http://141.218.60.56/~jnz1568/getInfo.php?workbook=06_02.xlsx&amp;sheet=A0&amp;row=785&amp;col=17&amp;number=&amp;sourceID=32","")</f>
        <v/>
      </c>
      <c r="R785" s="4" t="str">
        <f>HYPERLINK("http://141.218.60.56/~jnz1568/getInfo.php?workbook=06_02.xlsx&amp;sheet=A0&amp;row=785&amp;col=18&amp;number=&amp;sourceID=32","")</f>
        <v/>
      </c>
    </row>
    <row r="786" spans="1:18">
      <c r="A786" s="3">
        <v>6</v>
      </c>
      <c r="B786" s="3">
        <v>2</v>
      </c>
      <c r="C786" s="3">
        <v>45</v>
      </c>
      <c r="D786" s="3">
        <v>24</v>
      </c>
      <c r="E786" s="3">
        <f>((1/(INDEX(E0!J$4:J$52,C786,1)-INDEX(E0!J$4:J$52,D786,1))))*100000000</f>
        <v>0</v>
      </c>
      <c r="F786" s="4" t="str">
        <f>HYPERLINK("http://141.218.60.56/~jnz1568/getInfo.php?workbook=06_02.xlsx&amp;sheet=A0&amp;row=786&amp;col=6&amp;number=&amp;sourceID=27","")</f>
        <v/>
      </c>
      <c r="G786" s="4" t="str">
        <f>HYPERLINK("http://141.218.60.56/~jnz1568/getInfo.php?workbook=06_02.xlsx&amp;sheet=A0&amp;row=786&amp;col=7&amp;number=&amp;sourceID=34","")</f>
        <v/>
      </c>
      <c r="H786" s="4" t="str">
        <f>HYPERLINK("http://141.218.60.56/~jnz1568/getInfo.php?workbook=06_02.xlsx&amp;sheet=A0&amp;row=786&amp;col=8&amp;number=&amp;sourceID=34","")</f>
        <v/>
      </c>
      <c r="I786" s="4" t="str">
        <f>HYPERLINK("http://141.218.60.56/~jnz1568/getInfo.php?workbook=06_02.xlsx&amp;sheet=A0&amp;row=786&amp;col=9&amp;number=&amp;sourceID=34","")</f>
        <v/>
      </c>
      <c r="J786" s="4" t="str">
        <f>HYPERLINK("http://141.218.60.56/~jnz1568/getInfo.php?workbook=06_02.xlsx&amp;sheet=A0&amp;row=786&amp;col=10&amp;number=&amp;sourceID=34","")</f>
        <v/>
      </c>
      <c r="K786" s="4" t="str">
        <f>HYPERLINK("http://141.218.60.56/~jnz1568/getInfo.php?workbook=06_02.xlsx&amp;sheet=A0&amp;row=786&amp;col=11&amp;number=&amp;sourceID=30","")</f>
        <v/>
      </c>
      <c r="L786" s="4" t="str">
        <f>HYPERLINK("http://141.218.60.56/~jnz1568/getInfo.php?workbook=06_02.xlsx&amp;sheet=A0&amp;row=786&amp;col=12&amp;number=7702&amp;sourceID=30","7702")</f>
        <v>7702</v>
      </c>
      <c r="M786" s="4" t="str">
        <f>HYPERLINK("http://141.218.60.56/~jnz1568/getInfo.php?workbook=06_02.xlsx&amp;sheet=A0&amp;row=786&amp;col=13&amp;number=&amp;sourceID=30","")</f>
        <v/>
      </c>
      <c r="N786" s="4" t="str">
        <f>HYPERLINK("http://141.218.60.56/~jnz1568/getInfo.php?workbook=06_02.xlsx&amp;sheet=A0&amp;row=786&amp;col=14&amp;number=&amp;sourceID=30","")</f>
        <v/>
      </c>
      <c r="O786" s="4" t="str">
        <f>HYPERLINK("http://141.218.60.56/~jnz1568/getInfo.php?workbook=06_02.xlsx&amp;sheet=A0&amp;row=786&amp;col=15&amp;number=&amp;sourceID=32","")</f>
        <v/>
      </c>
      <c r="P786" s="4" t="str">
        <f>HYPERLINK("http://141.218.60.56/~jnz1568/getInfo.php?workbook=06_02.xlsx&amp;sheet=A0&amp;row=786&amp;col=16&amp;number=&amp;sourceID=32","")</f>
        <v/>
      </c>
      <c r="Q786" s="4" t="str">
        <f>HYPERLINK("http://141.218.60.56/~jnz1568/getInfo.php?workbook=06_02.xlsx&amp;sheet=A0&amp;row=786&amp;col=17&amp;number=&amp;sourceID=32","")</f>
        <v/>
      </c>
      <c r="R786" s="4" t="str">
        <f>HYPERLINK("http://141.218.60.56/~jnz1568/getInfo.php?workbook=06_02.xlsx&amp;sheet=A0&amp;row=786&amp;col=18&amp;number=&amp;sourceID=32","")</f>
        <v/>
      </c>
    </row>
    <row r="787" spans="1:18">
      <c r="A787" s="3">
        <v>6</v>
      </c>
      <c r="B787" s="3">
        <v>2</v>
      </c>
      <c r="C787" s="3">
        <v>45</v>
      </c>
      <c r="D787" s="3">
        <v>25</v>
      </c>
      <c r="E787" s="3">
        <f>((1/(INDEX(E0!J$4:J$52,C787,1)-INDEX(E0!J$4:J$52,D787,1))))*100000000</f>
        <v>0</v>
      </c>
      <c r="F787" s="4" t="str">
        <f>HYPERLINK("http://141.218.60.56/~jnz1568/getInfo.php?workbook=06_02.xlsx&amp;sheet=A0&amp;row=787&amp;col=6&amp;number=&amp;sourceID=27","")</f>
        <v/>
      </c>
      <c r="G787" s="4" t="str">
        <f>HYPERLINK("http://141.218.60.56/~jnz1568/getInfo.php?workbook=06_02.xlsx&amp;sheet=A0&amp;row=787&amp;col=7&amp;number=&amp;sourceID=34","")</f>
        <v/>
      </c>
      <c r="H787" s="4" t="str">
        <f>HYPERLINK("http://141.218.60.56/~jnz1568/getInfo.php?workbook=06_02.xlsx&amp;sheet=A0&amp;row=787&amp;col=8&amp;number=&amp;sourceID=34","")</f>
        <v/>
      </c>
      <c r="I787" s="4" t="str">
        <f>HYPERLINK("http://141.218.60.56/~jnz1568/getInfo.php?workbook=06_02.xlsx&amp;sheet=A0&amp;row=787&amp;col=9&amp;number=&amp;sourceID=34","")</f>
        <v/>
      </c>
      <c r="J787" s="4" t="str">
        <f>HYPERLINK("http://141.218.60.56/~jnz1568/getInfo.php?workbook=06_02.xlsx&amp;sheet=A0&amp;row=787&amp;col=10&amp;number=&amp;sourceID=34","")</f>
        <v/>
      </c>
      <c r="K787" s="4" t="str">
        <f>HYPERLINK("http://141.218.60.56/~jnz1568/getInfo.php?workbook=06_02.xlsx&amp;sheet=A0&amp;row=787&amp;col=11&amp;number=&amp;sourceID=30","")</f>
        <v/>
      </c>
      <c r="L787" s="4" t="str">
        <f>HYPERLINK("http://141.218.60.56/~jnz1568/getInfo.php?workbook=06_02.xlsx&amp;sheet=A0&amp;row=787&amp;col=12&amp;number=1417&amp;sourceID=30","1417")</f>
        <v>1417</v>
      </c>
      <c r="M787" s="4" t="str">
        <f>HYPERLINK("http://141.218.60.56/~jnz1568/getInfo.php?workbook=06_02.xlsx&amp;sheet=A0&amp;row=787&amp;col=13&amp;number=4.709e-07&amp;sourceID=30","4.709e-07")</f>
        <v>4.709e-07</v>
      </c>
      <c r="N787" s="4" t="str">
        <f>HYPERLINK("http://141.218.60.56/~jnz1568/getInfo.php?workbook=06_02.xlsx&amp;sheet=A0&amp;row=787&amp;col=14&amp;number=&amp;sourceID=30","")</f>
        <v/>
      </c>
      <c r="O787" s="4" t="str">
        <f>HYPERLINK("http://141.218.60.56/~jnz1568/getInfo.php?workbook=06_02.xlsx&amp;sheet=A0&amp;row=787&amp;col=15&amp;number=&amp;sourceID=32","")</f>
        <v/>
      </c>
      <c r="P787" s="4" t="str">
        <f>HYPERLINK("http://141.218.60.56/~jnz1568/getInfo.php?workbook=06_02.xlsx&amp;sheet=A0&amp;row=787&amp;col=16&amp;number=&amp;sourceID=32","")</f>
        <v/>
      </c>
      <c r="Q787" s="4" t="str">
        <f>HYPERLINK("http://141.218.60.56/~jnz1568/getInfo.php?workbook=06_02.xlsx&amp;sheet=A0&amp;row=787&amp;col=17&amp;number=&amp;sourceID=32","")</f>
        <v/>
      </c>
      <c r="R787" s="4" t="str">
        <f>HYPERLINK("http://141.218.60.56/~jnz1568/getInfo.php?workbook=06_02.xlsx&amp;sheet=A0&amp;row=787&amp;col=18&amp;number=&amp;sourceID=32","")</f>
        <v/>
      </c>
    </row>
    <row r="788" spans="1:18">
      <c r="A788" s="3">
        <v>6</v>
      </c>
      <c r="B788" s="3">
        <v>2</v>
      </c>
      <c r="C788" s="3">
        <v>45</v>
      </c>
      <c r="D788" s="3">
        <v>26</v>
      </c>
      <c r="E788" s="3">
        <f>((1/(INDEX(E0!J$4:J$52,C788,1)-INDEX(E0!J$4:J$52,D788,1))))*100000000</f>
        <v>0</v>
      </c>
      <c r="F788" s="4" t="str">
        <f>HYPERLINK("http://141.218.60.56/~jnz1568/getInfo.php?workbook=06_02.xlsx&amp;sheet=A0&amp;row=788&amp;col=6&amp;number=&amp;sourceID=27","")</f>
        <v/>
      </c>
      <c r="G788" s="4" t="str">
        <f>HYPERLINK("http://141.218.60.56/~jnz1568/getInfo.php?workbook=06_02.xlsx&amp;sheet=A0&amp;row=788&amp;col=7&amp;number=&amp;sourceID=34","")</f>
        <v/>
      </c>
      <c r="H788" s="4" t="str">
        <f>HYPERLINK("http://141.218.60.56/~jnz1568/getInfo.php?workbook=06_02.xlsx&amp;sheet=A0&amp;row=788&amp;col=8&amp;number=&amp;sourceID=34","")</f>
        <v/>
      </c>
      <c r="I788" s="4" t="str">
        <f>HYPERLINK("http://141.218.60.56/~jnz1568/getInfo.php?workbook=06_02.xlsx&amp;sheet=A0&amp;row=788&amp;col=9&amp;number=&amp;sourceID=34","")</f>
        <v/>
      </c>
      <c r="J788" s="4" t="str">
        <f>HYPERLINK("http://141.218.60.56/~jnz1568/getInfo.php?workbook=06_02.xlsx&amp;sheet=A0&amp;row=788&amp;col=10&amp;number=&amp;sourceID=34","")</f>
        <v/>
      </c>
      <c r="K788" s="4" t="str">
        <f>HYPERLINK("http://141.218.60.56/~jnz1568/getInfo.php?workbook=06_02.xlsx&amp;sheet=A0&amp;row=788&amp;col=11&amp;number=47740000&amp;sourceID=30","47740000")</f>
        <v>47740000</v>
      </c>
      <c r="L788" s="4" t="str">
        <f>HYPERLINK("http://141.218.60.56/~jnz1568/getInfo.php?workbook=06_02.xlsx&amp;sheet=A0&amp;row=788&amp;col=12&amp;number=&amp;sourceID=30","")</f>
        <v/>
      </c>
      <c r="M788" s="4" t="str">
        <f>HYPERLINK("http://141.218.60.56/~jnz1568/getInfo.php?workbook=06_02.xlsx&amp;sheet=A0&amp;row=788&amp;col=13&amp;number=&amp;sourceID=30","")</f>
        <v/>
      </c>
      <c r="N788" s="4" t="str">
        <f>HYPERLINK("http://141.218.60.56/~jnz1568/getInfo.php?workbook=06_02.xlsx&amp;sheet=A0&amp;row=788&amp;col=14&amp;number=0.0008887&amp;sourceID=30","0.0008887")</f>
        <v>0.0008887</v>
      </c>
      <c r="O788" s="4" t="str">
        <f>HYPERLINK("http://141.218.60.56/~jnz1568/getInfo.php?workbook=06_02.xlsx&amp;sheet=A0&amp;row=788&amp;col=15&amp;number=&amp;sourceID=32","")</f>
        <v/>
      </c>
      <c r="P788" s="4" t="str">
        <f>HYPERLINK("http://141.218.60.56/~jnz1568/getInfo.php?workbook=06_02.xlsx&amp;sheet=A0&amp;row=788&amp;col=16&amp;number=&amp;sourceID=32","")</f>
        <v/>
      </c>
      <c r="Q788" s="4" t="str">
        <f>HYPERLINK("http://141.218.60.56/~jnz1568/getInfo.php?workbook=06_02.xlsx&amp;sheet=A0&amp;row=788&amp;col=17&amp;number=&amp;sourceID=32","")</f>
        <v/>
      </c>
      <c r="R788" s="4" t="str">
        <f>HYPERLINK("http://141.218.60.56/~jnz1568/getInfo.php?workbook=06_02.xlsx&amp;sheet=A0&amp;row=788&amp;col=18&amp;number=&amp;sourceID=32","")</f>
        <v/>
      </c>
    </row>
    <row r="789" spans="1:18">
      <c r="A789" s="3">
        <v>6</v>
      </c>
      <c r="B789" s="3">
        <v>2</v>
      </c>
      <c r="C789" s="3">
        <v>45</v>
      </c>
      <c r="D789" s="3">
        <v>27</v>
      </c>
      <c r="E789" s="3">
        <f>((1/(INDEX(E0!J$4:J$52,C789,1)-INDEX(E0!J$4:J$52,D789,1))))*100000000</f>
        <v>0</v>
      </c>
      <c r="F789" s="4" t="str">
        <f>HYPERLINK("http://141.218.60.56/~jnz1568/getInfo.php?workbook=06_02.xlsx&amp;sheet=A0&amp;row=789&amp;col=6&amp;number=&amp;sourceID=27","")</f>
        <v/>
      </c>
      <c r="G789" s="4" t="str">
        <f>HYPERLINK("http://141.218.60.56/~jnz1568/getInfo.php?workbook=06_02.xlsx&amp;sheet=A0&amp;row=789&amp;col=7&amp;number=&amp;sourceID=34","")</f>
        <v/>
      </c>
      <c r="H789" s="4" t="str">
        <f>HYPERLINK("http://141.218.60.56/~jnz1568/getInfo.php?workbook=06_02.xlsx&amp;sheet=A0&amp;row=789&amp;col=8&amp;number=&amp;sourceID=34","")</f>
        <v/>
      </c>
      <c r="I789" s="4" t="str">
        <f>HYPERLINK("http://141.218.60.56/~jnz1568/getInfo.php?workbook=06_02.xlsx&amp;sheet=A0&amp;row=789&amp;col=9&amp;number=&amp;sourceID=34","")</f>
        <v/>
      </c>
      <c r="J789" s="4" t="str">
        <f>HYPERLINK("http://141.218.60.56/~jnz1568/getInfo.php?workbook=06_02.xlsx&amp;sheet=A0&amp;row=789&amp;col=10&amp;number=&amp;sourceID=34","")</f>
        <v/>
      </c>
      <c r="K789" s="4" t="str">
        <f>HYPERLINK("http://141.218.60.56/~jnz1568/getInfo.php?workbook=06_02.xlsx&amp;sheet=A0&amp;row=789&amp;col=11&amp;number=&amp;sourceID=30","")</f>
        <v/>
      </c>
      <c r="L789" s="4" t="str">
        <f>HYPERLINK("http://141.218.60.56/~jnz1568/getInfo.php?workbook=06_02.xlsx&amp;sheet=A0&amp;row=789&amp;col=12&amp;number=&amp;sourceID=30","")</f>
        <v/>
      </c>
      <c r="M789" s="4" t="str">
        <f>HYPERLINK("http://141.218.60.56/~jnz1568/getInfo.php?workbook=06_02.xlsx&amp;sheet=A0&amp;row=789&amp;col=13&amp;number=&amp;sourceID=30","")</f>
        <v/>
      </c>
      <c r="N789" s="4" t="str">
        <f>HYPERLINK("http://141.218.60.56/~jnz1568/getInfo.php?workbook=06_02.xlsx&amp;sheet=A0&amp;row=789&amp;col=14&amp;number=0.005197&amp;sourceID=30","0.005197")</f>
        <v>0.005197</v>
      </c>
      <c r="O789" s="4" t="str">
        <f>HYPERLINK("http://141.218.60.56/~jnz1568/getInfo.php?workbook=06_02.xlsx&amp;sheet=A0&amp;row=789&amp;col=15&amp;number=&amp;sourceID=32","")</f>
        <v/>
      </c>
      <c r="P789" s="4" t="str">
        <f>HYPERLINK("http://141.218.60.56/~jnz1568/getInfo.php?workbook=06_02.xlsx&amp;sheet=A0&amp;row=789&amp;col=16&amp;number=&amp;sourceID=32","")</f>
        <v/>
      </c>
      <c r="Q789" s="4" t="str">
        <f>HYPERLINK("http://141.218.60.56/~jnz1568/getInfo.php?workbook=06_02.xlsx&amp;sheet=A0&amp;row=789&amp;col=17&amp;number=&amp;sourceID=32","")</f>
        <v/>
      </c>
      <c r="R789" s="4" t="str">
        <f>HYPERLINK("http://141.218.60.56/~jnz1568/getInfo.php?workbook=06_02.xlsx&amp;sheet=A0&amp;row=789&amp;col=18&amp;number=&amp;sourceID=32","")</f>
        <v/>
      </c>
    </row>
    <row r="790" spans="1:18">
      <c r="A790" s="3">
        <v>6</v>
      </c>
      <c r="B790" s="3">
        <v>2</v>
      </c>
      <c r="C790" s="3">
        <v>45</v>
      </c>
      <c r="D790" s="3">
        <v>28</v>
      </c>
      <c r="E790" s="3">
        <f>((1/(INDEX(E0!J$4:J$52,C790,1)-INDEX(E0!J$4:J$52,D790,1))))*100000000</f>
        <v>0</v>
      </c>
      <c r="F790" s="4" t="str">
        <f>HYPERLINK("http://141.218.60.56/~jnz1568/getInfo.php?workbook=06_02.xlsx&amp;sheet=A0&amp;row=790&amp;col=6&amp;number=&amp;sourceID=27","")</f>
        <v/>
      </c>
      <c r="G790" s="4" t="str">
        <f>HYPERLINK("http://141.218.60.56/~jnz1568/getInfo.php?workbook=06_02.xlsx&amp;sheet=A0&amp;row=790&amp;col=7&amp;number=&amp;sourceID=34","")</f>
        <v/>
      </c>
      <c r="H790" s="4" t="str">
        <f>HYPERLINK("http://141.218.60.56/~jnz1568/getInfo.php?workbook=06_02.xlsx&amp;sheet=A0&amp;row=790&amp;col=8&amp;number=&amp;sourceID=34","")</f>
        <v/>
      </c>
      <c r="I790" s="4" t="str">
        <f>HYPERLINK("http://141.218.60.56/~jnz1568/getInfo.php?workbook=06_02.xlsx&amp;sheet=A0&amp;row=790&amp;col=9&amp;number=&amp;sourceID=34","")</f>
        <v/>
      </c>
      <c r="J790" s="4" t="str">
        <f>HYPERLINK("http://141.218.60.56/~jnz1568/getInfo.php?workbook=06_02.xlsx&amp;sheet=A0&amp;row=790&amp;col=10&amp;number=&amp;sourceID=34","")</f>
        <v/>
      </c>
      <c r="K790" s="4" t="str">
        <f>HYPERLINK("http://141.218.60.56/~jnz1568/getInfo.php?workbook=06_02.xlsx&amp;sheet=A0&amp;row=790&amp;col=11&amp;number=2523000000&amp;sourceID=30","2523000000")</f>
        <v>2523000000</v>
      </c>
      <c r="L790" s="4" t="str">
        <f>HYPERLINK("http://141.218.60.56/~jnz1568/getInfo.php?workbook=06_02.xlsx&amp;sheet=A0&amp;row=790&amp;col=12&amp;number=&amp;sourceID=30","")</f>
        <v/>
      </c>
      <c r="M790" s="4" t="str">
        <f>HYPERLINK("http://141.218.60.56/~jnz1568/getInfo.php?workbook=06_02.xlsx&amp;sheet=A0&amp;row=790&amp;col=13&amp;number=&amp;sourceID=30","")</f>
        <v/>
      </c>
      <c r="N790" s="4" t="str">
        <f>HYPERLINK("http://141.218.60.56/~jnz1568/getInfo.php?workbook=06_02.xlsx&amp;sheet=A0&amp;row=790&amp;col=14&amp;number=0.05925&amp;sourceID=30","0.05925")</f>
        <v>0.05925</v>
      </c>
      <c r="O790" s="4" t="str">
        <f>HYPERLINK("http://141.218.60.56/~jnz1568/getInfo.php?workbook=06_02.xlsx&amp;sheet=A0&amp;row=790&amp;col=15&amp;number=&amp;sourceID=32","")</f>
        <v/>
      </c>
      <c r="P790" s="4" t="str">
        <f>HYPERLINK("http://141.218.60.56/~jnz1568/getInfo.php?workbook=06_02.xlsx&amp;sheet=A0&amp;row=790&amp;col=16&amp;number=&amp;sourceID=32","")</f>
        <v/>
      </c>
      <c r="Q790" s="4" t="str">
        <f>HYPERLINK("http://141.218.60.56/~jnz1568/getInfo.php?workbook=06_02.xlsx&amp;sheet=A0&amp;row=790&amp;col=17&amp;number=&amp;sourceID=32","")</f>
        <v/>
      </c>
      <c r="R790" s="4" t="str">
        <f>HYPERLINK("http://141.218.60.56/~jnz1568/getInfo.php?workbook=06_02.xlsx&amp;sheet=A0&amp;row=790&amp;col=18&amp;number=&amp;sourceID=32","")</f>
        <v/>
      </c>
    </row>
    <row r="791" spans="1:18">
      <c r="A791" s="3">
        <v>6</v>
      </c>
      <c r="B791" s="3">
        <v>2</v>
      </c>
      <c r="C791" s="3">
        <v>45</v>
      </c>
      <c r="D791" s="3">
        <v>29</v>
      </c>
      <c r="E791" s="3">
        <f>((1/(INDEX(E0!J$4:J$52,C791,1)-INDEX(E0!J$4:J$52,D791,1))))*100000000</f>
        <v>0</v>
      </c>
      <c r="F791" s="4" t="str">
        <f>HYPERLINK("http://141.218.60.56/~jnz1568/getInfo.php?workbook=06_02.xlsx&amp;sheet=A0&amp;row=791&amp;col=6&amp;number=&amp;sourceID=27","")</f>
        <v/>
      </c>
      <c r="G791" s="4" t="str">
        <f>HYPERLINK("http://141.218.60.56/~jnz1568/getInfo.php?workbook=06_02.xlsx&amp;sheet=A0&amp;row=791&amp;col=7&amp;number=&amp;sourceID=34","")</f>
        <v/>
      </c>
      <c r="H791" s="4" t="str">
        <f>HYPERLINK("http://141.218.60.56/~jnz1568/getInfo.php?workbook=06_02.xlsx&amp;sheet=A0&amp;row=791&amp;col=8&amp;number=&amp;sourceID=34","")</f>
        <v/>
      </c>
      <c r="I791" s="4" t="str">
        <f>HYPERLINK("http://141.218.60.56/~jnz1568/getInfo.php?workbook=06_02.xlsx&amp;sheet=A0&amp;row=791&amp;col=9&amp;number=&amp;sourceID=34","")</f>
        <v/>
      </c>
      <c r="J791" s="4" t="str">
        <f>HYPERLINK("http://141.218.60.56/~jnz1568/getInfo.php?workbook=06_02.xlsx&amp;sheet=A0&amp;row=791&amp;col=10&amp;number=&amp;sourceID=34","")</f>
        <v/>
      </c>
      <c r="K791" s="4" t="str">
        <f>HYPERLINK("http://141.218.60.56/~jnz1568/getInfo.php?workbook=06_02.xlsx&amp;sheet=A0&amp;row=791&amp;col=11&amp;number=89980000&amp;sourceID=30","89980000")</f>
        <v>89980000</v>
      </c>
      <c r="L791" s="4" t="str">
        <f>HYPERLINK("http://141.218.60.56/~jnz1568/getInfo.php?workbook=06_02.xlsx&amp;sheet=A0&amp;row=791&amp;col=12&amp;number=&amp;sourceID=30","")</f>
        <v/>
      </c>
      <c r="M791" s="4" t="str">
        <f>HYPERLINK("http://141.218.60.56/~jnz1568/getInfo.php?workbook=06_02.xlsx&amp;sheet=A0&amp;row=791&amp;col=13&amp;number=&amp;sourceID=30","")</f>
        <v/>
      </c>
      <c r="N791" s="4" t="str">
        <f>HYPERLINK("http://141.218.60.56/~jnz1568/getInfo.php?workbook=06_02.xlsx&amp;sheet=A0&amp;row=791&amp;col=14&amp;number=5.491e-06&amp;sourceID=30","5.491e-06")</f>
        <v>5.491e-06</v>
      </c>
      <c r="O791" s="4" t="str">
        <f>HYPERLINK("http://141.218.60.56/~jnz1568/getInfo.php?workbook=06_02.xlsx&amp;sheet=A0&amp;row=791&amp;col=15&amp;number=&amp;sourceID=32","")</f>
        <v/>
      </c>
      <c r="P791" s="4" t="str">
        <f>HYPERLINK("http://141.218.60.56/~jnz1568/getInfo.php?workbook=06_02.xlsx&amp;sheet=A0&amp;row=791&amp;col=16&amp;number=&amp;sourceID=32","")</f>
        <v/>
      </c>
      <c r="Q791" s="4" t="str">
        <f>HYPERLINK("http://141.218.60.56/~jnz1568/getInfo.php?workbook=06_02.xlsx&amp;sheet=A0&amp;row=791&amp;col=17&amp;number=&amp;sourceID=32","")</f>
        <v/>
      </c>
      <c r="R791" s="4" t="str">
        <f>HYPERLINK("http://141.218.60.56/~jnz1568/getInfo.php?workbook=06_02.xlsx&amp;sheet=A0&amp;row=791&amp;col=18&amp;number=&amp;sourceID=32","")</f>
        <v/>
      </c>
    </row>
    <row r="792" spans="1:18">
      <c r="A792" s="3">
        <v>6</v>
      </c>
      <c r="B792" s="3">
        <v>2</v>
      </c>
      <c r="C792" s="3">
        <v>45</v>
      </c>
      <c r="D792" s="3">
        <v>30</v>
      </c>
      <c r="E792" s="3">
        <f>((1/(INDEX(E0!J$4:J$52,C792,1)-INDEX(E0!J$4:J$52,D792,1))))*100000000</f>
        <v>0</v>
      </c>
      <c r="F792" s="4" t="str">
        <f>HYPERLINK("http://141.218.60.56/~jnz1568/getInfo.php?workbook=06_02.xlsx&amp;sheet=A0&amp;row=792&amp;col=6&amp;number=&amp;sourceID=27","")</f>
        <v/>
      </c>
      <c r="G792" s="4" t="str">
        <f>HYPERLINK("http://141.218.60.56/~jnz1568/getInfo.php?workbook=06_02.xlsx&amp;sheet=A0&amp;row=792&amp;col=7&amp;number=&amp;sourceID=34","")</f>
        <v/>
      </c>
      <c r="H792" s="4" t="str">
        <f>HYPERLINK("http://141.218.60.56/~jnz1568/getInfo.php?workbook=06_02.xlsx&amp;sheet=A0&amp;row=792&amp;col=8&amp;number=&amp;sourceID=34","")</f>
        <v/>
      </c>
      <c r="I792" s="4" t="str">
        <f>HYPERLINK("http://141.218.60.56/~jnz1568/getInfo.php?workbook=06_02.xlsx&amp;sheet=A0&amp;row=792&amp;col=9&amp;number=&amp;sourceID=34","")</f>
        <v/>
      </c>
      <c r="J792" s="4" t="str">
        <f>HYPERLINK("http://141.218.60.56/~jnz1568/getInfo.php?workbook=06_02.xlsx&amp;sheet=A0&amp;row=792&amp;col=10&amp;number=&amp;sourceID=34","")</f>
        <v/>
      </c>
      <c r="K792" s="4" t="str">
        <f>HYPERLINK("http://141.218.60.56/~jnz1568/getInfo.php?workbook=06_02.xlsx&amp;sheet=A0&amp;row=792&amp;col=11&amp;number=&amp;sourceID=30","")</f>
        <v/>
      </c>
      <c r="L792" s="4" t="str">
        <f>HYPERLINK("http://141.218.60.56/~jnz1568/getInfo.php?workbook=06_02.xlsx&amp;sheet=A0&amp;row=792&amp;col=12&amp;number=6542&amp;sourceID=30","6542")</f>
        <v>6542</v>
      </c>
      <c r="M792" s="4" t="str">
        <f>HYPERLINK("http://141.218.60.56/~jnz1568/getInfo.php?workbook=06_02.xlsx&amp;sheet=A0&amp;row=792&amp;col=13&amp;number=&amp;sourceID=30","")</f>
        <v/>
      </c>
      <c r="N792" s="4" t="str">
        <f>HYPERLINK("http://141.218.60.56/~jnz1568/getInfo.php?workbook=06_02.xlsx&amp;sheet=A0&amp;row=792&amp;col=14&amp;number=&amp;sourceID=30","")</f>
        <v/>
      </c>
      <c r="O792" s="4" t="str">
        <f>HYPERLINK("http://141.218.60.56/~jnz1568/getInfo.php?workbook=06_02.xlsx&amp;sheet=A0&amp;row=792&amp;col=15&amp;number=&amp;sourceID=32","")</f>
        <v/>
      </c>
      <c r="P792" s="4" t="str">
        <f>HYPERLINK("http://141.218.60.56/~jnz1568/getInfo.php?workbook=06_02.xlsx&amp;sheet=A0&amp;row=792&amp;col=16&amp;number=&amp;sourceID=32","")</f>
        <v/>
      </c>
      <c r="Q792" s="4" t="str">
        <f>HYPERLINK("http://141.218.60.56/~jnz1568/getInfo.php?workbook=06_02.xlsx&amp;sheet=A0&amp;row=792&amp;col=17&amp;number=&amp;sourceID=32","")</f>
        <v/>
      </c>
      <c r="R792" s="4" t="str">
        <f>HYPERLINK("http://141.218.60.56/~jnz1568/getInfo.php?workbook=06_02.xlsx&amp;sheet=A0&amp;row=792&amp;col=18&amp;number=&amp;sourceID=32","")</f>
        <v/>
      </c>
    </row>
    <row r="793" spans="1:18">
      <c r="A793" s="3">
        <v>6</v>
      </c>
      <c r="B793" s="3">
        <v>2</v>
      </c>
      <c r="C793" s="3">
        <v>45</v>
      </c>
      <c r="D793" s="3">
        <v>36</v>
      </c>
      <c r="E793" s="3">
        <f>((1/(INDEX(E0!J$4:J$52,C793,1)-INDEX(E0!J$4:J$52,D793,1))))*100000000</f>
        <v>0</v>
      </c>
      <c r="F793" s="4" t="str">
        <f>HYPERLINK("http://141.218.60.56/~jnz1568/getInfo.php?workbook=06_02.xlsx&amp;sheet=A0&amp;row=793&amp;col=6&amp;number=&amp;sourceID=27","")</f>
        <v/>
      </c>
      <c r="G793" s="4" t="str">
        <f>HYPERLINK("http://141.218.60.56/~jnz1568/getInfo.php?workbook=06_02.xlsx&amp;sheet=A0&amp;row=793&amp;col=7&amp;number=&amp;sourceID=34","")</f>
        <v/>
      </c>
      <c r="H793" s="4" t="str">
        <f>HYPERLINK("http://141.218.60.56/~jnz1568/getInfo.php?workbook=06_02.xlsx&amp;sheet=A0&amp;row=793&amp;col=8&amp;number=&amp;sourceID=34","")</f>
        <v/>
      </c>
      <c r="I793" s="4" t="str">
        <f>HYPERLINK("http://141.218.60.56/~jnz1568/getInfo.php?workbook=06_02.xlsx&amp;sheet=A0&amp;row=793&amp;col=9&amp;number=&amp;sourceID=34","")</f>
        <v/>
      </c>
      <c r="J793" s="4" t="str">
        <f>HYPERLINK("http://141.218.60.56/~jnz1568/getInfo.php?workbook=06_02.xlsx&amp;sheet=A0&amp;row=793&amp;col=10&amp;number=&amp;sourceID=34","")</f>
        <v/>
      </c>
      <c r="K793" s="4" t="str">
        <f>HYPERLINK("http://141.218.60.56/~jnz1568/getInfo.php?workbook=06_02.xlsx&amp;sheet=A0&amp;row=793&amp;col=11&amp;number=&amp;sourceID=30","")</f>
        <v/>
      </c>
      <c r="L793" s="4" t="str">
        <f>HYPERLINK("http://141.218.60.56/~jnz1568/getInfo.php?workbook=06_02.xlsx&amp;sheet=A0&amp;row=793&amp;col=12&amp;number=&amp;sourceID=30","")</f>
        <v/>
      </c>
      <c r="M793" s="4" t="str">
        <f>HYPERLINK("http://141.218.60.56/~jnz1568/getInfo.php?workbook=06_02.xlsx&amp;sheet=A0&amp;row=793&amp;col=13&amp;number=&amp;sourceID=30","")</f>
        <v/>
      </c>
      <c r="N793" s="4" t="str">
        <f>HYPERLINK("http://141.218.60.56/~jnz1568/getInfo.php?workbook=06_02.xlsx&amp;sheet=A0&amp;row=793&amp;col=14&amp;number=0&amp;sourceID=30","0")</f>
        <v>0</v>
      </c>
      <c r="O793" s="4" t="str">
        <f>HYPERLINK("http://141.218.60.56/~jnz1568/getInfo.php?workbook=06_02.xlsx&amp;sheet=A0&amp;row=793&amp;col=15&amp;number=&amp;sourceID=32","")</f>
        <v/>
      </c>
      <c r="P793" s="4" t="str">
        <f>HYPERLINK("http://141.218.60.56/~jnz1568/getInfo.php?workbook=06_02.xlsx&amp;sheet=A0&amp;row=793&amp;col=16&amp;number=&amp;sourceID=32","")</f>
        <v/>
      </c>
      <c r="Q793" s="4" t="str">
        <f>HYPERLINK("http://141.218.60.56/~jnz1568/getInfo.php?workbook=06_02.xlsx&amp;sheet=A0&amp;row=793&amp;col=17&amp;number=&amp;sourceID=32","")</f>
        <v/>
      </c>
      <c r="R793" s="4" t="str">
        <f>HYPERLINK("http://141.218.60.56/~jnz1568/getInfo.php?workbook=06_02.xlsx&amp;sheet=A0&amp;row=793&amp;col=18&amp;number=&amp;sourceID=32","")</f>
        <v/>
      </c>
    </row>
    <row r="794" spans="1:18">
      <c r="A794" s="3">
        <v>6</v>
      </c>
      <c r="B794" s="3">
        <v>2</v>
      </c>
      <c r="C794" s="3">
        <v>45</v>
      </c>
      <c r="D794" s="3">
        <v>38</v>
      </c>
      <c r="E794" s="3">
        <f>((1/(INDEX(E0!J$4:J$52,C794,1)-INDEX(E0!J$4:J$52,D794,1))))*100000000</f>
        <v>0</v>
      </c>
      <c r="F794" s="4" t="str">
        <f>HYPERLINK("http://141.218.60.56/~jnz1568/getInfo.php?workbook=06_02.xlsx&amp;sheet=A0&amp;row=794&amp;col=6&amp;number=&amp;sourceID=27","")</f>
        <v/>
      </c>
      <c r="G794" s="4" t="str">
        <f>HYPERLINK("http://141.218.60.56/~jnz1568/getInfo.php?workbook=06_02.xlsx&amp;sheet=A0&amp;row=794&amp;col=7&amp;number=&amp;sourceID=34","")</f>
        <v/>
      </c>
      <c r="H794" s="4" t="str">
        <f>HYPERLINK("http://141.218.60.56/~jnz1568/getInfo.php?workbook=06_02.xlsx&amp;sheet=A0&amp;row=794&amp;col=8&amp;number=&amp;sourceID=34","")</f>
        <v/>
      </c>
      <c r="I794" s="4" t="str">
        <f>HYPERLINK("http://141.218.60.56/~jnz1568/getInfo.php?workbook=06_02.xlsx&amp;sheet=A0&amp;row=794&amp;col=9&amp;number=&amp;sourceID=34","")</f>
        <v/>
      </c>
      <c r="J794" s="4" t="str">
        <f>HYPERLINK("http://141.218.60.56/~jnz1568/getInfo.php?workbook=06_02.xlsx&amp;sheet=A0&amp;row=794&amp;col=10&amp;number=&amp;sourceID=34","")</f>
        <v/>
      </c>
      <c r="K794" s="4" t="str">
        <f>HYPERLINK("http://141.218.60.56/~jnz1568/getInfo.php?workbook=06_02.xlsx&amp;sheet=A0&amp;row=794&amp;col=11&amp;number=&amp;sourceID=30","")</f>
        <v/>
      </c>
      <c r="L794" s="4" t="str">
        <f>HYPERLINK("http://141.218.60.56/~jnz1568/getInfo.php?workbook=06_02.xlsx&amp;sheet=A0&amp;row=794&amp;col=12&amp;number=1.241e-11&amp;sourceID=30","1.241e-11")</f>
        <v>1.241e-11</v>
      </c>
      <c r="M794" s="4" t="str">
        <f>HYPERLINK("http://141.218.60.56/~jnz1568/getInfo.php?workbook=06_02.xlsx&amp;sheet=A0&amp;row=794&amp;col=13&amp;number=&amp;sourceID=30","")</f>
        <v/>
      </c>
      <c r="N794" s="4" t="str">
        <f>HYPERLINK("http://141.218.60.56/~jnz1568/getInfo.php?workbook=06_02.xlsx&amp;sheet=A0&amp;row=794&amp;col=14&amp;number=&amp;sourceID=30","")</f>
        <v/>
      </c>
      <c r="O794" s="4" t="str">
        <f>HYPERLINK("http://141.218.60.56/~jnz1568/getInfo.php?workbook=06_02.xlsx&amp;sheet=A0&amp;row=794&amp;col=15&amp;number=&amp;sourceID=32","")</f>
        <v/>
      </c>
      <c r="P794" s="4" t="str">
        <f>HYPERLINK("http://141.218.60.56/~jnz1568/getInfo.php?workbook=06_02.xlsx&amp;sheet=A0&amp;row=794&amp;col=16&amp;number=&amp;sourceID=32","")</f>
        <v/>
      </c>
      <c r="Q794" s="4" t="str">
        <f>HYPERLINK("http://141.218.60.56/~jnz1568/getInfo.php?workbook=06_02.xlsx&amp;sheet=A0&amp;row=794&amp;col=17&amp;number=&amp;sourceID=32","")</f>
        <v/>
      </c>
      <c r="R794" s="4" t="str">
        <f>HYPERLINK("http://141.218.60.56/~jnz1568/getInfo.php?workbook=06_02.xlsx&amp;sheet=A0&amp;row=794&amp;col=18&amp;number=&amp;sourceID=32","")</f>
        <v/>
      </c>
    </row>
    <row r="795" spans="1:18">
      <c r="A795" s="3">
        <v>6</v>
      </c>
      <c r="B795" s="3">
        <v>2</v>
      </c>
      <c r="C795" s="3">
        <v>45</v>
      </c>
      <c r="D795" s="3">
        <v>39</v>
      </c>
      <c r="E795" s="3">
        <f>((1/(INDEX(E0!J$4:J$52,C795,1)-INDEX(E0!J$4:J$52,D795,1))))*100000000</f>
        <v>0</v>
      </c>
      <c r="F795" s="4" t="str">
        <f>HYPERLINK("http://141.218.60.56/~jnz1568/getInfo.php?workbook=06_02.xlsx&amp;sheet=A0&amp;row=795&amp;col=6&amp;number=&amp;sourceID=27","")</f>
        <v/>
      </c>
      <c r="G795" s="4" t="str">
        <f>HYPERLINK("http://141.218.60.56/~jnz1568/getInfo.php?workbook=06_02.xlsx&amp;sheet=A0&amp;row=795&amp;col=7&amp;number=&amp;sourceID=34","")</f>
        <v/>
      </c>
      <c r="H795" s="4" t="str">
        <f>HYPERLINK("http://141.218.60.56/~jnz1568/getInfo.php?workbook=06_02.xlsx&amp;sheet=A0&amp;row=795&amp;col=8&amp;number=&amp;sourceID=34","")</f>
        <v/>
      </c>
      <c r="I795" s="4" t="str">
        <f>HYPERLINK("http://141.218.60.56/~jnz1568/getInfo.php?workbook=06_02.xlsx&amp;sheet=A0&amp;row=795&amp;col=9&amp;number=&amp;sourceID=34","")</f>
        <v/>
      </c>
      <c r="J795" s="4" t="str">
        <f>HYPERLINK("http://141.218.60.56/~jnz1568/getInfo.php?workbook=06_02.xlsx&amp;sheet=A0&amp;row=795&amp;col=10&amp;number=&amp;sourceID=34","")</f>
        <v/>
      </c>
      <c r="K795" s="4" t="str">
        <f>HYPERLINK("http://141.218.60.56/~jnz1568/getInfo.php?workbook=06_02.xlsx&amp;sheet=A0&amp;row=795&amp;col=11&amp;number=&amp;sourceID=30","")</f>
        <v/>
      </c>
      <c r="L795" s="4" t="str">
        <f>HYPERLINK("http://141.218.60.56/~jnz1568/getInfo.php?workbook=06_02.xlsx&amp;sheet=A0&amp;row=795&amp;col=12&amp;number=1.896e-12&amp;sourceID=30","1.896e-12")</f>
        <v>1.896e-12</v>
      </c>
      <c r="M795" s="4" t="str">
        <f>HYPERLINK("http://141.218.60.56/~jnz1568/getInfo.php?workbook=06_02.xlsx&amp;sheet=A0&amp;row=795&amp;col=13&amp;number=0&amp;sourceID=30","0")</f>
        <v>0</v>
      </c>
      <c r="N795" s="4" t="str">
        <f>HYPERLINK("http://141.218.60.56/~jnz1568/getInfo.php?workbook=06_02.xlsx&amp;sheet=A0&amp;row=795&amp;col=14&amp;number=&amp;sourceID=30","")</f>
        <v/>
      </c>
      <c r="O795" s="4" t="str">
        <f>HYPERLINK("http://141.218.60.56/~jnz1568/getInfo.php?workbook=06_02.xlsx&amp;sheet=A0&amp;row=795&amp;col=15&amp;number=&amp;sourceID=32","")</f>
        <v/>
      </c>
      <c r="P795" s="4" t="str">
        <f>HYPERLINK("http://141.218.60.56/~jnz1568/getInfo.php?workbook=06_02.xlsx&amp;sheet=A0&amp;row=795&amp;col=16&amp;number=&amp;sourceID=32","")</f>
        <v/>
      </c>
      <c r="Q795" s="4" t="str">
        <f>HYPERLINK("http://141.218.60.56/~jnz1568/getInfo.php?workbook=06_02.xlsx&amp;sheet=A0&amp;row=795&amp;col=17&amp;number=&amp;sourceID=32","")</f>
        <v/>
      </c>
      <c r="R795" s="4" t="str">
        <f>HYPERLINK("http://141.218.60.56/~jnz1568/getInfo.php?workbook=06_02.xlsx&amp;sheet=A0&amp;row=795&amp;col=18&amp;number=&amp;sourceID=32","")</f>
        <v/>
      </c>
    </row>
    <row r="796" spans="1:18">
      <c r="A796" s="3">
        <v>6</v>
      </c>
      <c r="B796" s="3">
        <v>2</v>
      </c>
      <c r="C796" s="3">
        <v>45</v>
      </c>
      <c r="D796" s="3">
        <v>40</v>
      </c>
      <c r="E796" s="3">
        <f>((1/(INDEX(E0!J$4:J$52,C796,1)-INDEX(E0!J$4:J$52,D796,1))))*100000000</f>
        <v>0</v>
      </c>
      <c r="F796" s="4" t="str">
        <f>HYPERLINK("http://141.218.60.56/~jnz1568/getInfo.php?workbook=06_02.xlsx&amp;sheet=A0&amp;row=796&amp;col=6&amp;number=&amp;sourceID=27","")</f>
        <v/>
      </c>
      <c r="G796" s="4" t="str">
        <f>HYPERLINK("http://141.218.60.56/~jnz1568/getInfo.php?workbook=06_02.xlsx&amp;sheet=A0&amp;row=796&amp;col=7&amp;number=&amp;sourceID=34","")</f>
        <v/>
      </c>
      <c r="H796" s="4" t="str">
        <f>HYPERLINK("http://141.218.60.56/~jnz1568/getInfo.php?workbook=06_02.xlsx&amp;sheet=A0&amp;row=796&amp;col=8&amp;number=&amp;sourceID=34","")</f>
        <v/>
      </c>
      <c r="I796" s="4" t="str">
        <f>HYPERLINK("http://141.218.60.56/~jnz1568/getInfo.php?workbook=06_02.xlsx&amp;sheet=A0&amp;row=796&amp;col=9&amp;number=&amp;sourceID=34","")</f>
        <v/>
      </c>
      <c r="J796" s="4" t="str">
        <f>HYPERLINK("http://141.218.60.56/~jnz1568/getInfo.php?workbook=06_02.xlsx&amp;sheet=A0&amp;row=796&amp;col=10&amp;number=&amp;sourceID=34","")</f>
        <v/>
      </c>
      <c r="K796" s="4" t="str">
        <f>HYPERLINK("http://141.218.60.56/~jnz1568/getInfo.php?workbook=06_02.xlsx&amp;sheet=A0&amp;row=796&amp;col=11&amp;number=&amp;sourceID=30","")</f>
        <v/>
      </c>
      <c r="L796" s="4" t="str">
        <f>HYPERLINK("http://141.218.60.56/~jnz1568/getInfo.php?workbook=06_02.xlsx&amp;sheet=A0&amp;row=796&amp;col=12&amp;number=&amp;sourceID=30","")</f>
        <v/>
      </c>
      <c r="M796" s="4" t="str">
        <f>HYPERLINK("http://141.218.60.56/~jnz1568/getInfo.php?workbook=06_02.xlsx&amp;sheet=A0&amp;row=796&amp;col=13&amp;number=&amp;sourceID=30","")</f>
        <v/>
      </c>
      <c r="N796" s="4" t="str">
        <f>HYPERLINK("http://141.218.60.56/~jnz1568/getInfo.php?workbook=06_02.xlsx&amp;sheet=A0&amp;row=796&amp;col=14&amp;number=0&amp;sourceID=30","0")</f>
        <v>0</v>
      </c>
      <c r="O796" s="4" t="str">
        <f>HYPERLINK("http://141.218.60.56/~jnz1568/getInfo.php?workbook=06_02.xlsx&amp;sheet=A0&amp;row=796&amp;col=15&amp;number=&amp;sourceID=32","")</f>
        <v/>
      </c>
      <c r="P796" s="4" t="str">
        <f>HYPERLINK("http://141.218.60.56/~jnz1568/getInfo.php?workbook=06_02.xlsx&amp;sheet=A0&amp;row=796&amp;col=16&amp;number=&amp;sourceID=32","")</f>
        <v/>
      </c>
      <c r="Q796" s="4" t="str">
        <f>HYPERLINK("http://141.218.60.56/~jnz1568/getInfo.php?workbook=06_02.xlsx&amp;sheet=A0&amp;row=796&amp;col=17&amp;number=&amp;sourceID=32","")</f>
        <v/>
      </c>
      <c r="R796" s="4" t="str">
        <f>HYPERLINK("http://141.218.60.56/~jnz1568/getInfo.php?workbook=06_02.xlsx&amp;sheet=A0&amp;row=796&amp;col=18&amp;number=&amp;sourceID=32","")</f>
        <v/>
      </c>
    </row>
    <row r="797" spans="1:18">
      <c r="A797" s="3">
        <v>6</v>
      </c>
      <c r="B797" s="3">
        <v>2</v>
      </c>
      <c r="C797" s="3">
        <v>45</v>
      </c>
      <c r="D797" s="3">
        <v>41</v>
      </c>
      <c r="E797" s="3">
        <f>((1/(INDEX(E0!J$4:J$52,C797,1)-INDEX(E0!J$4:J$52,D797,1))))*100000000</f>
        <v>0</v>
      </c>
      <c r="F797" s="4" t="str">
        <f>HYPERLINK("http://141.218.60.56/~jnz1568/getInfo.php?workbook=06_02.xlsx&amp;sheet=A0&amp;row=797&amp;col=6&amp;number=&amp;sourceID=27","")</f>
        <v/>
      </c>
      <c r="G797" s="4" t="str">
        <f>HYPERLINK("http://141.218.60.56/~jnz1568/getInfo.php?workbook=06_02.xlsx&amp;sheet=A0&amp;row=797&amp;col=7&amp;number=&amp;sourceID=34","")</f>
        <v/>
      </c>
      <c r="H797" s="4" t="str">
        <f>HYPERLINK("http://141.218.60.56/~jnz1568/getInfo.php?workbook=06_02.xlsx&amp;sheet=A0&amp;row=797&amp;col=8&amp;number=&amp;sourceID=34","")</f>
        <v/>
      </c>
      <c r="I797" s="4" t="str">
        <f>HYPERLINK("http://141.218.60.56/~jnz1568/getInfo.php?workbook=06_02.xlsx&amp;sheet=A0&amp;row=797&amp;col=9&amp;number=&amp;sourceID=34","")</f>
        <v/>
      </c>
      <c r="J797" s="4" t="str">
        <f>HYPERLINK("http://141.218.60.56/~jnz1568/getInfo.php?workbook=06_02.xlsx&amp;sheet=A0&amp;row=797&amp;col=10&amp;number=&amp;sourceID=34","")</f>
        <v/>
      </c>
      <c r="K797" s="4" t="str">
        <f>HYPERLINK("http://141.218.60.56/~jnz1568/getInfo.php?workbook=06_02.xlsx&amp;sheet=A0&amp;row=797&amp;col=11&amp;number=0.000452&amp;sourceID=30","0.000452")</f>
        <v>0.000452</v>
      </c>
      <c r="L797" s="4" t="str">
        <f>HYPERLINK("http://141.218.60.56/~jnz1568/getInfo.php?workbook=06_02.xlsx&amp;sheet=A0&amp;row=797&amp;col=12&amp;number=&amp;sourceID=30","")</f>
        <v/>
      </c>
      <c r="M797" s="4" t="str">
        <f>HYPERLINK("http://141.218.60.56/~jnz1568/getInfo.php?workbook=06_02.xlsx&amp;sheet=A0&amp;row=797&amp;col=13&amp;number=&amp;sourceID=30","")</f>
        <v/>
      </c>
      <c r="N797" s="4" t="str">
        <f>HYPERLINK("http://141.218.60.56/~jnz1568/getInfo.php?workbook=06_02.xlsx&amp;sheet=A0&amp;row=797&amp;col=14&amp;number=0&amp;sourceID=30","0")</f>
        <v>0</v>
      </c>
      <c r="O797" s="4" t="str">
        <f>HYPERLINK("http://141.218.60.56/~jnz1568/getInfo.php?workbook=06_02.xlsx&amp;sheet=A0&amp;row=797&amp;col=15&amp;number=&amp;sourceID=32","")</f>
        <v/>
      </c>
      <c r="P797" s="4" t="str">
        <f>HYPERLINK("http://141.218.60.56/~jnz1568/getInfo.php?workbook=06_02.xlsx&amp;sheet=A0&amp;row=797&amp;col=16&amp;number=&amp;sourceID=32","")</f>
        <v/>
      </c>
      <c r="Q797" s="4" t="str">
        <f>HYPERLINK("http://141.218.60.56/~jnz1568/getInfo.php?workbook=06_02.xlsx&amp;sheet=A0&amp;row=797&amp;col=17&amp;number=&amp;sourceID=32","")</f>
        <v/>
      </c>
      <c r="R797" s="4" t="str">
        <f>HYPERLINK("http://141.218.60.56/~jnz1568/getInfo.php?workbook=06_02.xlsx&amp;sheet=A0&amp;row=797&amp;col=18&amp;number=&amp;sourceID=32","")</f>
        <v/>
      </c>
    </row>
    <row r="798" spans="1:18">
      <c r="A798" s="3">
        <v>6</v>
      </c>
      <c r="B798" s="3">
        <v>2</v>
      </c>
      <c r="C798" s="3">
        <v>45</v>
      </c>
      <c r="D798" s="3">
        <v>42</v>
      </c>
      <c r="E798" s="3">
        <f>((1/(INDEX(E0!J$4:J$52,C798,1)-INDEX(E0!J$4:J$52,D798,1))))*100000000</f>
        <v>0</v>
      </c>
      <c r="F798" s="4" t="str">
        <f>HYPERLINK("http://141.218.60.56/~jnz1568/getInfo.php?workbook=06_02.xlsx&amp;sheet=A0&amp;row=798&amp;col=6&amp;number=&amp;sourceID=27","")</f>
        <v/>
      </c>
      <c r="G798" s="4" t="str">
        <f>HYPERLINK("http://141.218.60.56/~jnz1568/getInfo.php?workbook=06_02.xlsx&amp;sheet=A0&amp;row=798&amp;col=7&amp;number=&amp;sourceID=34","")</f>
        <v/>
      </c>
      <c r="H798" s="4" t="str">
        <f>HYPERLINK("http://141.218.60.56/~jnz1568/getInfo.php?workbook=06_02.xlsx&amp;sheet=A0&amp;row=798&amp;col=8&amp;number=&amp;sourceID=34","")</f>
        <v/>
      </c>
      <c r="I798" s="4" t="str">
        <f>HYPERLINK("http://141.218.60.56/~jnz1568/getInfo.php?workbook=06_02.xlsx&amp;sheet=A0&amp;row=798&amp;col=9&amp;number=&amp;sourceID=34","")</f>
        <v/>
      </c>
      <c r="J798" s="4" t="str">
        <f>HYPERLINK("http://141.218.60.56/~jnz1568/getInfo.php?workbook=06_02.xlsx&amp;sheet=A0&amp;row=798&amp;col=10&amp;number=&amp;sourceID=34","")</f>
        <v/>
      </c>
      <c r="K798" s="4" t="str">
        <f>HYPERLINK("http://141.218.60.56/~jnz1568/getInfo.php?workbook=06_02.xlsx&amp;sheet=A0&amp;row=798&amp;col=11&amp;number=4.525e-07&amp;sourceID=30","4.525e-07")</f>
        <v>4.525e-07</v>
      </c>
      <c r="L798" s="4" t="str">
        <f>HYPERLINK("http://141.218.60.56/~jnz1568/getInfo.php?workbook=06_02.xlsx&amp;sheet=A0&amp;row=798&amp;col=12&amp;number=&amp;sourceID=30","")</f>
        <v/>
      </c>
      <c r="M798" s="4" t="str">
        <f>HYPERLINK("http://141.218.60.56/~jnz1568/getInfo.php?workbook=06_02.xlsx&amp;sheet=A0&amp;row=798&amp;col=13&amp;number=&amp;sourceID=30","")</f>
        <v/>
      </c>
      <c r="N798" s="4" t="str">
        <f>HYPERLINK("http://141.218.60.56/~jnz1568/getInfo.php?workbook=06_02.xlsx&amp;sheet=A0&amp;row=798&amp;col=14&amp;number=0&amp;sourceID=30","0")</f>
        <v>0</v>
      </c>
      <c r="O798" s="4" t="str">
        <f>HYPERLINK("http://141.218.60.56/~jnz1568/getInfo.php?workbook=06_02.xlsx&amp;sheet=A0&amp;row=798&amp;col=15&amp;number=&amp;sourceID=32","")</f>
        <v/>
      </c>
      <c r="P798" s="4" t="str">
        <f>HYPERLINK("http://141.218.60.56/~jnz1568/getInfo.php?workbook=06_02.xlsx&amp;sheet=A0&amp;row=798&amp;col=16&amp;number=&amp;sourceID=32","")</f>
        <v/>
      </c>
      <c r="Q798" s="4" t="str">
        <f>HYPERLINK("http://141.218.60.56/~jnz1568/getInfo.php?workbook=06_02.xlsx&amp;sheet=A0&amp;row=798&amp;col=17&amp;number=&amp;sourceID=32","")</f>
        <v/>
      </c>
      <c r="R798" s="4" t="str">
        <f>HYPERLINK("http://141.218.60.56/~jnz1568/getInfo.php?workbook=06_02.xlsx&amp;sheet=A0&amp;row=798&amp;col=18&amp;number=&amp;sourceID=32","")</f>
        <v/>
      </c>
    </row>
    <row r="799" spans="1:18">
      <c r="A799" s="3">
        <v>6</v>
      </c>
      <c r="B799" s="3">
        <v>2</v>
      </c>
      <c r="C799" s="3">
        <v>46</v>
      </c>
      <c r="D799" s="3">
        <v>15</v>
      </c>
      <c r="E799" s="3">
        <f>((1/(INDEX(E0!J$4:J$52,C799,1)-INDEX(E0!J$4:J$52,D799,1))))*100000000</f>
        <v>0</v>
      </c>
      <c r="F799" s="4" t="str">
        <f>HYPERLINK("http://141.218.60.56/~jnz1568/getInfo.php?workbook=06_02.xlsx&amp;sheet=A0&amp;row=799&amp;col=6&amp;number=&amp;sourceID=27","")</f>
        <v/>
      </c>
      <c r="G799" s="4" t="str">
        <f>HYPERLINK("http://141.218.60.56/~jnz1568/getInfo.php?workbook=06_02.xlsx&amp;sheet=A0&amp;row=799&amp;col=7&amp;number=&amp;sourceID=34","")</f>
        <v/>
      </c>
      <c r="H799" s="4" t="str">
        <f>HYPERLINK("http://141.218.60.56/~jnz1568/getInfo.php?workbook=06_02.xlsx&amp;sheet=A0&amp;row=799&amp;col=8&amp;number=&amp;sourceID=34","")</f>
        <v/>
      </c>
      <c r="I799" s="4" t="str">
        <f>HYPERLINK("http://141.218.60.56/~jnz1568/getInfo.php?workbook=06_02.xlsx&amp;sheet=A0&amp;row=799&amp;col=9&amp;number=&amp;sourceID=34","")</f>
        <v/>
      </c>
      <c r="J799" s="4" t="str">
        <f>HYPERLINK("http://141.218.60.56/~jnz1568/getInfo.php?workbook=06_02.xlsx&amp;sheet=A0&amp;row=799&amp;col=10&amp;number=&amp;sourceID=34","")</f>
        <v/>
      </c>
      <c r="K799" s="4" t="str">
        <f>HYPERLINK("http://141.218.60.56/~jnz1568/getInfo.php?workbook=06_02.xlsx&amp;sheet=A0&amp;row=799&amp;col=11&amp;number=&amp;sourceID=30","")</f>
        <v/>
      </c>
      <c r="L799" s="4" t="str">
        <f>HYPERLINK("http://141.218.60.56/~jnz1568/getInfo.php?workbook=06_02.xlsx&amp;sheet=A0&amp;row=799&amp;col=12&amp;number=181500&amp;sourceID=30","181500")</f>
        <v>181500</v>
      </c>
      <c r="M799" s="4" t="str">
        <f>HYPERLINK("http://141.218.60.56/~jnz1568/getInfo.php?workbook=06_02.xlsx&amp;sheet=A0&amp;row=799&amp;col=13&amp;number=&amp;sourceID=30","")</f>
        <v/>
      </c>
      <c r="N799" s="4" t="str">
        <f>HYPERLINK("http://141.218.60.56/~jnz1568/getInfo.php?workbook=06_02.xlsx&amp;sheet=A0&amp;row=799&amp;col=14&amp;number=&amp;sourceID=30","")</f>
        <v/>
      </c>
      <c r="O799" s="4" t="str">
        <f>HYPERLINK("http://141.218.60.56/~jnz1568/getInfo.php?workbook=06_02.xlsx&amp;sheet=A0&amp;row=799&amp;col=15&amp;number=&amp;sourceID=32","")</f>
        <v/>
      </c>
      <c r="P799" s="4" t="str">
        <f>HYPERLINK("http://141.218.60.56/~jnz1568/getInfo.php?workbook=06_02.xlsx&amp;sheet=A0&amp;row=799&amp;col=16&amp;number=&amp;sourceID=32","")</f>
        <v/>
      </c>
      <c r="Q799" s="4" t="str">
        <f>HYPERLINK("http://141.218.60.56/~jnz1568/getInfo.php?workbook=06_02.xlsx&amp;sheet=A0&amp;row=799&amp;col=17&amp;number=&amp;sourceID=32","")</f>
        <v/>
      </c>
      <c r="R799" s="4" t="str">
        <f>HYPERLINK("http://141.218.60.56/~jnz1568/getInfo.php?workbook=06_02.xlsx&amp;sheet=A0&amp;row=799&amp;col=18&amp;number=&amp;sourceID=32","")</f>
        <v/>
      </c>
    </row>
    <row r="800" spans="1:18">
      <c r="A800" s="3">
        <v>6</v>
      </c>
      <c r="B800" s="3">
        <v>2</v>
      </c>
      <c r="C800" s="3">
        <v>46</v>
      </c>
      <c r="D800" s="3">
        <v>25</v>
      </c>
      <c r="E800" s="3">
        <f>((1/(INDEX(E0!J$4:J$52,C800,1)-INDEX(E0!J$4:J$52,D800,1))))*100000000</f>
        <v>0</v>
      </c>
      <c r="F800" s="4" t="str">
        <f>HYPERLINK("http://141.218.60.56/~jnz1568/getInfo.php?workbook=06_02.xlsx&amp;sheet=A0&amp;row=800&amp;col=6&amp;number=&amp;sourceID=27","")</f>
        <v/>
      </c>
      <c r="G800" s="4" t="str">
        <f>HYPERLINK("http://141.218.60.56/~jnz1568/getInfo.php?workbook=06_02.xlsx&amp;sheet=A0&amp;row=800&amp;col=7&amp;number=&amp;sourceID=34","")</f>
        <v/>
      </c>
      <c r="H800" s="4" t="str">
        <f>HYPERLINK("http://141.218.60.56/~jnz1568/getInfo.php?workbook=06_02.xlsx&amp;sheet=A0&amp;row=800&amp;col=8&amp;number=&amp;sourceID=34","")</f>
        <v/>
      </c>
      <c r="I800" s="4" t="str">
        <f>HYPERLINK("http://141.218.60.56/~jnz1568/getInfo.php?workbook=06_02.xlsx&amp;sheet=A0&amp;row=800&amp;col=9&amp;number=&amp;sourceID=34","")</f>
        <v/>
      </c>
      <c r="J800" s="4" t="str">
        <f>HYPERLINK("http://141.218.60.56/~jnz1568/getInfo.php?workbook=06_02.xlsx&amp;sheet=A0&amp;row=800&amp;col=10&amp;number=&amp;sourceID=34","")</f>
        <v/>
      </c>
      <c r="K800" s="4" t="str">
        <f>HYPERLINK("http://141.218.60.56/~jnz1568/getInfo.php?workbook=06_02.xlsx&amp;sheet=A0&amp;row=800&amp;col=11&amp;number=&amp;sourceID=30","")</f>
        <v/>
      </c>
      <c r="L800" s="4" t="str">
        <f>HYPERLINK("http://141.218.60.56/~jnz1568/getInfo.php?workbook=06_02.xlsx&amp;sheet=A0&amp;row=800&amp;col=12&amp;number=15710&amp;sourceID=30","15710")</f>
        <v>15710</v>
      </c>
      <c r="M800" s="4" t="str">
        <f>HYPERLINK("http://141.218.60.56/~jnz1568/getInfo.php?workbook=06_02.xlsx&amp;sheet=A0&amp;row=800&amp;col=13&amp;number=&amp;sourceID=30","")</f>
        <v/>
      </c>
      <c r="N800" s="4" t="str">
        <f>HYPERLINK("http://141.218.60.56/~jnz1568/getInfo.php?workbook=06_02.xlsx&amp;sheet=A0&amp;row=800&amp;col=14&amp;number=&amp;sourceID=30","")</f>
        <v/>
      </c>
      <c r="O800" s="4" t="str">
        <f>HYPERLINK("http://141.218.60.56/~jnz1568/getInfo.php?workbook=06_02.xlsx&amp;sheet=A0&amp;row=800&amp;col=15&amp;number=&amp;sourceID=32","")</f>
        <v/>
      </c>
      <c r="P800" s="4" t="str">
        <f>HYPERLINK("http://141.218.60.56/~jnz1568/getInfo.php?workbook=06_02.xlsx&amp;sheet=A0&amp;row=800&amp;col=16&amp;number=&amp;sourceID=32","")</f>
        <v/>
      </c>
      <c r="Q800" s="4" t="str">
        <f>HYPERLINK("http://141.218.60.56/~jnz1568/getInfo.php?workbook=06_02.xlsx&amp;sheet=A0&amp;row=800&amp;col=17&amp;number=&amp;sourceID=32","")</f>
        <v/>
      </c>
      <c r="R800" s="4" t="str">
        <f>HYPERLINK("http://141.218.60.56/~jnz1568/getInfo.php?workbook=06_02.xlsx&amp;sheet=A0&amp;row=800&amp;col=18&amp;number=&amp;sourceID=32","")</f>
        <v/>
      </c>
    </row>
    <row r="801" spans="1:18">
      <c r="A801" s="3">
        <v>6</v>
      </c>
      <c r="B801" s="3">
        <v>2</v>
      </c>
      <c r="C801" s="3">
        <v>46</v>
      </c>
      <c r="D801" s="3">
        <v>26</v>
      </c>
      <c r="E801" s="3">
        <f>((1/(INDEX(E0!J$4:J$52,C801,1)-INDEX(E0!J$4:J$52,D801,1))))*100000000</f>
        <v>0</v>
      </c>
      <c r="F801" s="4" t="str">
        <f>HYPERLINK("http://141.218.60.56/~jnz1568/getInfo.php?workbook=06_02.xlsx&amp;sheet=A0&amp;row=801&amp;col=6&amp;number=&amp;sourceID=27","")</f>
        <v/>
      </c>
      <c r="G801" s="4" t="str">
        <f>HYPERLINK("http://141.218.60.56/~jnz1568/getInfo.php?workbook=06_02.xlsx&amp;sheet=A0&amp;row=801&amp;col=7&amp;number=&amp;sourceID=34","")</f>
        <v/>
      </c>
      <c r="H801" s="4" t="str">
        <f>HYPERLINK("http://141.218.60.56/~jnz1568/getInfo.php?workbook=06_02.xlsx&amp;sheet=A0&amp;row=801&amp;col=8&amp;number=&amp;sourceID=34","")</f>
        <v/>
      </c>
      <c r="I801" s="4" t="str">
        <f>HYPERLINK("http://141.218.60.56/~jnz1568/getInfo.php?workbook=06_02.xlsx&amp;sheet=A0&amp;row=801&amp;col=9&amp;number=&amp;sourceID=34","")</f>
        <v/>
      </c>
      <c r="J801" s="4" t="str">
        <f>HYPERLINK("http://141.218.60.56/~jnz1568/getInfo.php?workbook=06_02.xlsx&amp;sheet=A0&amp;row=801&amp;col=10&amp;number=&amp;sourceID=34","")</f>
        <v/>
      </c>
      <c r="K801" s="4" t="str">
        <f>HYPERLINK("http://141.218.60.56/~jnz1568/getInfo.php?workbook=06_02.xlsx&amp;sheet=A0&amp;row=801&amp;col=11&amp;number=&amp;sourceID=30","")</f>
        <v/>
      </c>
      <c r="L801" s="4" t="str">
        <f>HYPERLINK("http://141.218.60.56/~jnz1568/getInfo.php?workbook=06_02.xlsx&amp;sheet=A0&amp;row=801&amp;col=12&amp;number=&amp;sourceID=30","")</f>
        <v/>
      </c>
      <c r="M801" s="4" t="str">
        <f>HYPERLINK("http://141.218.60.56/~jnz1568/getInfo.php?workbook=06_02.xlsx&amp;sheet=A0&amp;row=801&amp;col=13&amp;number=&amp;sourceID=30","")</f>
        <v/>
      </c>
      <c r="N801" s="4" t="str">
        <f>HYPERLINK("http://141.218.60.56/~jnz1568/getInfo.php?workbook=06_02.xlsx&amp;sheet=A0&amp;row=801&amp;col=14&amp;number=0.01852&amp;sourceID=30","0.01852")</f>
        <v>0.01852</v>
      </c>
      <c r="O801" s="4" t="str">
        <f>HYPERLINK("http://141.218.60.56/~jnz1568/getInfo.php?workbook=06_02.xlsx&amp;sheet=A0&amp;row=801&amp;col=15&amp;number=&amp;sourceID=32","")</f>
        <v/>
      </c>
      <c r="P801" s="4" t="str">
        <f>HYPERLINK("http://141.218.60.56/~jnz1568/getInfo.php?workbook=06_02.xlsx&amp;sheet=A0&amp;row=801&amp;col=16&amp;number=&amp;sourceID=32","")</f>
        <v/>
      </c>
      <c r="Q801" s="4" t="str">
        <f>HYPERLINK("http://141.218.60.56/~jnz1568/getInfo.php?workbook=06_02.xlsx&amp;sheet=A0&amp;row=801&amp;col=17&amp;number=&amp;sourceID=32","")</f>
        <v/>
      </c>
      <c r="R801" s="4" t="str">
        <f>HYPERLINK("http://141.218.60.56/~jnz1568/getInfo.php?workbook=06_02.xlsx&amp;sheet=A0&amp;row=801&amp;col=18&amp;number=&amp;sourceID=32","")</f>
        <v/>
      </c>
    </row>
    <row r="802" spans="1:18">
      <c r="A802" s="3">
        <v>6</v>
      </c>
      <c r="B802" s="3">
        <v>2</v>
      </c>
      <c r="C802" s="3">
        <v>46</v>
      </c>
      <c r="D802" s="3">
        <v>28</v>
      </c>
      <c r="E802" s="3">
        <f>((1/(INDEX(E0!J$4:J$52,C802,1)-INDEX(E0!J$4:J$52,D802,1))))*100000000</f>
        <v>0</v>
      </c>
      <c r="F802" s="4" t="str">
        <f>HYPERLINK("http://141.218.60.56/~jnz1568/getInfo.php?workbook=06_02.xlsx&amp;sheet=A0&amp;row=802&amp;col=6&amp;number=&amp;sourceID=27","")</f>
        <v/>
      </c>
      <c r="G802" s="4" t="str">
        <f>HYPERLINK("http://141.218.60.56/~jnz1568/getInfo.php?workbook=06_02.xlsx&amp;sheet=A0&amp;row=802&amp;col=7&amp;number=&amp;sourceID=34","")</f>
        <v/>
      </c>
      <c r="H802" s="4" t="str">
        <f>HYPERLINK("http://141.218.60.56/~jnz1568/getInfo.php?workbook=06_02.xlsx&amp;sheet=A0&amp;row=802&amp;col=8&amp;number=&amp;sourceID=34","")</f>
        <v/>
      </c>
      <c r="I802" s="4" t="str">
        <f>HYPERLINK("http://141.218.60.56/~jnz1568/getInfo.php?workbook=06_02.xlsx&amp;sheet=A0&amp;row=802&amp;col=9&amp;number=&amp;sourceID=34","")</f>
        <v/>
      </c>
      <c r="J802" s="4" t="str">
        <f>HYPERLINK("http://141.218.60.56/~jnz1568/getInfo.php?workbook=06_02.xlsx&amp;sheet=A0&amp;row=802&amp;col=10&amp;number=&amp;sourceID=34","")</f>
        <v/>
      </c>
      <c r="K802" s="4" t="str">
        <f>HYPERLINK("http://141.218.60.56/~jnz1568/getInfo.php?workbook=06_02.xlsx&amp;sheet=A0&amp;row=802&amp;col=11&amp;number=&amp;sourceID=30","")</f>
        <v/>
      </c>
      <c r="L802" s="4" t="str">
        <f>HYPERLINK("http://141.218.60.56/~jnz1568/getInfo.php?workbook=06_02.xlsx&amp;sheet=A0&amp;row=802&amp;col=12&amp;number=&amp;sourceID=30","")</f>
        <v/>
      </c>
      <c r="M802" s="4" t="str">
        <f>HYPERLINK("http://141.218.60.56/~jnz1568/getInfo.php?workbook=06_02.xlsx&amp;sheet=A0&amp;row=802&amp;col=13&amp;number=&amp;sourceID=30","")</f>
        <v/>
      </c>
      <c r="N802" s="4" t="str">
        <f>HYPERLINK("http://141.218.60.56/~jnz1568/getInfo.php?workbook=06_02.xlsx&amp;sheet=A0&amp;row=802&amp;col=14&amp;number=0.02998&amp;sourceID=30","0.02998")</f>
        <v>0.02998</v>
      </c>
      <c r="O802" s="4" t="str">
        <f>HYPERLINK("http://141.218.60.56/~jnz1568/getInfo.php?workbook=06_02.xlsx&amp;sheet=A0&amp;row=802&amp;col=15&amp;number=&amp;sourceID=32","")</f>
        <v/>
      </c>
      <c r="P802" s="4" t="str">
        <f>HYPERLINK("http://141.218.60.56/~jnz1568/getInfo.php?workbook=06_02.xlsx&amp;sheet=A0&amp;row=802&amp;col=16&amp;number=&amp;sourceID=32","")</f>
        <v/>
      </c>
      <c r="Q802" s="4" t="str">
        <f>HYPERLINK("http://141.218.60.56/~jnz1568/getInfo.php?workbook=06_02.xlsx&amp;sheet=A0&amp;row=802&amp;col=17&amp;number=&amp;sourceID=32","")</f>
        <v/>
      </c>
      <c r="R802" s="4" t="str">
        <f>HYPERLINK("http://141.218.60.56/~jnz1568/getInfo.php?workbook=06_02.xlsx&amp;sheet=A0&amp;row=802&amp;col=18&amp;number=&amp;sourceID=32","")</f>
        <v/>
      </c>
    </row>
    <row r="803" spans="1:18">
      <c r="A803" s="3">
        <v>6</v>
      </c>
      <c r="B803" s="3">
        <v>2</v>
      </c>
      <c r="C803" s="3">
        <v>46</v>
      </c>
      <c r="D803" s="3">
        <v>29</v>
      </c>
      <c r="E803" s="3">
        <f>((1/(INDEX(E0!J$4:J$52,C803,1)-INDEX(E0!J$4:J$52,D803,1))))*100000000</f>
        <v>0</v>
      </c>
      <c r="F803" s="4" t="str">
        <f>HYPERLINK("http://141.218.60.56/~jnz1568/getInfo.php?workbook=06_02.xlsx&amp;sheet=A0&amp;row=803&amp;col=6&amp;number=&amp;sourceID=27","")</f>
        <v/>
      </c>
      <c r="G803" s="4" t="str">
        <f>HYPERLINK("http://141.218.60.56/~jnz1568/getInfo.php?workbook=06_02.xlsx&amp;sheet=A0&amp;row=803&amp;col=7&amp;number=&amp;sourceID=34","")</f>
        <v/>
      </c>
      <c r="H803" s="4" t="str">
        <f>HYPERLINK("http://141.218.60.56/~jnz1568/getInfo.php?workbook=06_02.xlsx&amp;sheet=A0&amp;row=803&amp;col=8&amp;number=&amp;sourceID=34","")</f>
        <v/>
      </c>
      <c r="I803" s="4" t="str">
        <f>HYPERLINK("http://141.218.60.56/~jnz1568/getInfo.php?workbook=06_02.xlsx&amp;sheet=A0&amp;row=803&amp;col=9&amp;number=&amp;sourceID=34","")</f>
        <v/>
      </c>
      <c r="J803" s="4" t="str">
        <f>HYPERLINK("http://141.218.60.56/~jnz1568/getInfo.php?workbook=06_02.xlsx&amp;sheet=A0&amp;row=803&amp;col=10&amp;number=&amp;sourceID=34","")</f>
        <v/>
      </c>
      <c r="K803" s="4" t="str">
        <f>HYPERLINK("http://141.218.60.56/~jnz1568/getInfo.php?workbook=06_02.xlsx&amp;sheet=A0&amp;row=803&amp;col=11&amp;number=2660000000&amp;sourceID=30","2660000000")</f>
        <v>2660000000</v>
      </c>
      <c r="L803" s="4" t="str">
        <f>HYPERLINK("http://141.218.60.56/~jnz1568/getInfo.php?workbook=06_02.xlsx&amp;sheet=A0&amp;row=803&amp;col=12&amp;number=&amp;sourceID=30","")</f>
        <v/>
      </c>
      <c r="M803" s="4" t="str">
        <f>HYPERLINK("http://141.218.60.56/~jnz1568/getInfo.php?workbook=06_02.xlsx&amp;sheet=A0&amp;row=803&amp;col=13&amp;number=&amp;sourceID=30","")</f>
        <v/>
      </c>
      <c r="N803" s="4" t="str">
        <f>HYPERLINK("http://141.218.60.56/~jnz1568/getInfo.php?workbook=06_02.xlsx&amp;sheet=A0&amp;row=803&amp;col=14&amp;number=0.3021&amp;sourceID=30","0.3021")</f>
        <v>0.3021</v>
      </c>
      <c r="O803" s="4" t="str">
        <f>HYPERLINK("http://141.218.60.56/~jnz1568/getInfo.php?workbook=06_02.xlsx&amp;sheet=A0&amp;row=803&amp;col=15&amp;number=&amp;sourceID=32","")</f>
        <v/>
      </c>
      <c r="P803" s="4" t="str">
        <f>HYPERLINK("http://141.218.60.56/~jnz1568/getInfo.php?workbook=06_02.xlsx&amp;sheet=A0&amp;row=803&amp;col=16&amp;number=&amp;sourceID=32","")</f>
        <v/>
      </c>
      <c r="Q803" s="4" t="str">
        <f>HYPERLINK("http://141.218.60.56/~jnz1568/getInfo.php?workbook=06_02.xlsx&amp;sheet=A0&amp;row=803&amp;col=17&amp;number=&amp;sourceID=32","")</f>
        <v/>
      </c>
      <c r="R803" s="4" t="str">
        <f>HYPERLINK("http://141.218.60.56/~jnz1568/getInfo.php?workbook=06_02.xlsx&amp;sheet=A0&amp;row=803&amp;col=18&amp;number=&amp;sourceID=32","")</f>
        <v/>
      </c>
    </row>
    <row r="804" spans="1:18">
      <c r="A804" s="3">
        <v>6</v>
      </c>
      <c r="B804" s="3">
        <v>2</v>
      </c>
      <c r="C804" s="3">
        <v>46</v>
      </c>
      <c r="D804" s="3">
        <v>39</v>
      </c>
      <c r="E804" s="3">
        <f>((1/(INDEX(E0!J$4:J$52,C804,1)-INDEX(E0!J$4:J$52,D804,1))))*100000000</f>
        <v>0</v>
      </c>
      <c r="F804" s="4" t="str">
        <f>HYPERLINK("http://141.218.60.56/~jnz1568/getInfo.php?workbook=06_02.xlsx&amp;sheet=A0&amp;row=804&amp;col=6&amp;number=&amp;sourceID=27","")</f>
        <v/>
      </c>
      <c r="G804" s="4" t="str">
        <f>HYPERLINK("http://141.218.60.56/~jnz1568/getInfo.php?workbook=06_02.xlsx&amp;sheet=A0&amp;row=804&amp;col=7&amp;number=&amp;sourceID=34","")</f>
        <v/>
      </c>
      <c r="H804" s="4" t="str">
        <f>HYPERLINK("http://141.218.60.56/~jnz1568/getInfo.php?workbook=06_02.xlsx&amp;sheet=A0&amp;row=804&amp;col=8&amp;number=&amp;sourceID=34","")</f>
        <v/>
      </c>
      <c r="I804" s="4" t="str">
        <f>HYPERLINK("http://141.218.60.56/~jnz1568/getInfo.php?workbook=06_02.xlsx&amp;sheet=A0&amp;row=804&amp;col=9&amp;number=&amp;sourceID=34","")</f>
        <v/>
      </c>
      <c r="J804" s="4" t="str">
        <f>HYPERLINK("http://141.218.60.56/~jnz1568/getInfo.php?workbook=06_02.xlsx&amp;sheet=A0&amp;row=804&amp;col=10&amp;number=&amp;sourceID=34","")</f>
        <v/>
      </c>
      <c r="K804" s="4" t="str">
        <f>HYPERLINK("http://141.218.60.56/~jnz1568/getInfo.php?workbook=06_02.xlsx&amp;sheet=A0&amp;row=804&amp;col=11&amp;number=&amp;sourceID=30","")</f>
        <v/>
      </c>
      <c r="L804" s="4" t="str">
        <f>HYPERLINK("http://141.218.60.56/~jnz1568/getInfo.php?workbook=06_02.xlsx&amp;sheet=A0&amp;row=804&amp;col=12&amp;number=2.385e-11&amp;sourceID=30","2.385e-11")</f>
        <v>2.385e-11</v>
      </c>
      <c r="M804" s="4" t="str">
        <f>HYPERLINK("http://141.218.60.56/~jnz1568/getInfo.php?workbook=06_02.xlsx&amp;sheet=A0&amp;row=804&amp;col=13&amp;number=&amp;sourceID=30","")</f>
        <v/>
      </c>
      <c r="N804" s="4" t="str">
        <f>HYPERLINK("http://141.218.60.56/~jnz1568/getInfo.php?workbook=06_02.xlsx&amp;sheet=A0&amp;row=804&amp;col=14&amp;number=&amp;sourceID=30","")</f>
        <v/>
      </c>
      <c r="O804" s="4" t="str">
        <f>HYPERLINK("http://141.218.60.56/~jnz1568/getInfo.php?workbook=06_02.xlsx&amp;sheet=A0&amp;row=804&amp;col=15&amp;number=&amp;sourceID=32","")</f>
        <v/>
      </c>
      <c r="P804" s="4" t="str">
        <f>HYPERLINK("http://141.218.60.56/~jnz1568/getInfo.php?workbook=06_02.xlsx&amp;sheet=A0&amp;row=804&amp;col=16&amp;number=&amp;sourceID=32","")</f>
        <v/>
      </c>
      <c r="Q804" s="4" t="str">
        <f>HYPERLINK("http://141.218.60.56/~jnz1568/getInfo.php?workbook=06_02.xlsx&amp;sheet=A0&amp;row=804&amp;col=17&amp;number=&amp;sourceID=32","")</f>
        <v/>
      </c>
      <c r="R804" s="4" t="str">
        <f>HYPERLINK("http://141.218.60.56/~jnz1568/getInfo.php?workbook=06_02.xlsx&amp;sheet=A0&amp;row=804&amp;col=18&amp;number=&amp;sourceID=32","")</f>
        <v/>
      </c>
    </row>
    <row r="805" spans="1:18">
      <c r="A805" s="3">
        <v>6</v>
      </c>
      <c r="B805" s="3">
        <v>2</v>
      </c>
      <c r="C805" s="3">
        <v>46</v>
      </c>
      <c r="D805" s="3">
        <v>41</v>
      </c>
      <c r="E805" s="3">
        <f>((1/(INDEX(E0!J$4:J$52,C805,1)-INDEX(E0!J$4:J$52,D805,1))))*100000000</f>
        <v>0</v>
      </c>
      <c r="F805" s="4" t="str">
        <f>HYPERLINK("http://141.218.60.56/~jnz1568/getInfo.php?workbook=06_02.xlsx&amp;sheet=A0&amp;row=805&amp;col=6&amp;number=&amp;sourceID=27","")</f>
        <v/>
      </c>
      <c r="G805" s="4" t="str">
        <f>HYPERLINK("http://141.218.60.56/~jnz1568/getInfo.php?workbook=06_02.xlsx&amp;sheet=A0&amp;row=805&amp;col=7&amp;number=&amp;sourceID=34","")</f>
        <v/>
      </c>
      <c r="H805" s="4" t="str">
        <f>HYPERLINK("http://141.218.60.56/~jnz1568/getInfo.php?workbook=06_02.xlsx&amp;sheet=A0&amp;row=805&amp;col=8&amp;number=&amp;sourceID=34","")</f>
        <v/>
      </c>
      <c r="I805" s="4" t="str">
        <f>HYPERLINK("http://141.218.60.56/~jnz1568/getInfo.php?workbook=06_02.xlsx&amp;sheet=A0&amp;row=805&amp;col=9&amp;number=&amp;sourceID=34","")</f>
        <v/>
      </c>
      <c r="J805" s="4" t="str">
        <f>HYPERLINK("http://141.218.60.56/~jnz1568/getInfo.php?workbook=06_02.xlsx&amp;sheet=A0&amp;row=805&amp;col=10&amp;number=&amp;sourceID=34","")</f>
        <v/>
      </c>
      <c r="K805" s="4" t="str">
        <f>HYPERLINK("http://141.218.60.56/~jnz1568/getInfo.php?workbook=06_02.xlsx&amp;sheet=A0&amp;row=805&amp;col=11&amp;number=&amp;sourceID=30","")</f>
        <v/>
      </c>
      <c r="L805" s="4" t="str">
        <f>HYPERLINK("http://141.218.60.56/~jnz1568/getInfo.php?workbook=06_02.xlsx&amp;sheet=A0&amp;row=805&amp;col=12&amp;number=&amp;sourceID=30","")</f>
        <v/>
      </c>
      <c r="M805" s="4" t="str">
        <f>HYPERLINK("http://141.218.60.56/~jnz1568/getInfo.php?workbook=06_02.xlsx&amp;sheet=A0&amp;row=805&amp;col=13&amp;number=&amp;sourceID=30","")</f>
        <v/>
      </c>
      <c r="N805" s="4" t="str">
        <f>HYPERLINK("http://141.218.60.56/~jnz1568/getInfo.php?workbook=06_02.xlsx&amp;sheet=A0&amp;row=805&amp;col=14&amp;number=0&amp;sourceID=30","0")</f>
        <v>0</v>
      </c>
      <c r="O805" s="4" t="str">
        <f>HYPERLINK("http://141.218.60.56/~jnz1568/getInfo.php?workbook=06_02.xlsx&amp;sheet=A0&amp;row=805&amp;col=15&amp;number=&amp;sourceID=32","")</f>
        <v/>
      </c>
      <c r="P805" s="4" t="str">
        <f>HYPERLINK("http://141.218.60.56/~jnz1568/getInfo.php?workbook=06_02.xlsx&amp;sheet=A0&amp;row=805&amp;col=16&amp;number=&amp;sourceID=32","")</f>
        <v/>
      </c>
      <c r="Q805" s="4" t="str">
        <f>HYPERLINK("http://141.218.60.56/~jnz1568/getInfo.php?workbook=06_02.xlsx&amp;sheet=A0&amp;row=805&amp;col=17&amp;number=&amp;sourceID=32","")</f>
        <v/>
      </c>
      <c r="R805" s="4" t="str">
        <f>HYPERLINK("http://141.218.60.56/~jnz1568/getInfo.php?workbook=06_02.xlsx&amp;sheet=A0&amp;row=805&amp;col=18&amp;number=&amp;sourceID=32","")</f>
        <v/>
      </c>
    </row>
    <row r="806" spans="1:18">
      <c r="A806" s="3">
        <v>6</v>
      </c>
      <c r="B806" s="3">
        <v>2</v>
      </c>
      <c r="C806" s="3">
        <v>46</v>
      </c>
      <c r="D806" s="3">
        <v>42</v>
      </c>
      <c r="E806" s="3">
        <f>((1/(INDEX(E0!J$4:J$52,C806,1)-INDEX(E0!J$4:J$52,D806,1))))*100000000</f>
        <v>0</v>
      </c>
      <c r="F806" s="4" t="str">
        <f>HYPERLINK("http://141.218.60.56/~jnz1568/getInfo.php?workbook=06_02.xlsx&amp;sheet=A0&amp;row=806&amp;col=6&amp;number=&amp;sourceID=27","")</f>
        <v/>
      </c>
      <c r="G806" s="4" t="str">
        <f>HYPERLINK("http://141.218.60.56/~jnz1568/getInfo.php?workbook=06_02.xlsx&amp;sheet=A0&amp;row=806&amp;col=7&amp;number=&amp;sourceID=34","")</f>
        <v/>
      </c>
      <c r="H806" s="4" t="str">
        <f>HYPERLINK("http://141.218.60.56/~jnz1568/getInfo.php?workbook=06_02.xlsx&amp;sheet=A0&amp;row=806&amp;col=8&amp;number=&amp;sourceID=34","")</f>
        <v/>
      </c>
      <c r="I806" s="4" t="str">
        <f>HYPERLINK("http://141.218.60.56/~jnz1568/getInfo.php?workbook=06_02.xlsx&amp;sheet=A0&amp;row=806&amp;col=9&amp;number=&amp;sourceID=34","")</f>
        <v/>
      </c>
      <c r="J806" s="4" t="str">
        <f>HYPERLINK("http://141.218.60.56/~jnz1568/getInfo.php?workbook=06_02.xlsx&amp;sheet=A0&amp;row=806&amp;col=10&amp;number=&amp;sourceID=34","")</f>
        <v/>
      </c>
      <c r="K806" s="4" t="str">
        <f>HYPERLINK("http://141.218.60.56/~jnz1568/getInfo.php?workbook=06_02.xlsx&amp;sheet=A0&amp;row=806&amp;col=11&amp;number=0.0002563&amp;sourceID=30","0.0002563")</f>
        <v>0.0002563</v>
      </c>
      <c r="L806" s="4" t="str">
        <f>HYPERLINK("http://141.218.60.56/~jnz1568/getInfo.php?workbook=06_02.xlsx&amp;sheet=A0&amp;row=806&amp;col=12&amp;number=&amp;sourceID=30","")</f>
        <v/>
      </c>
      <c r="M806" s="4" t="str">
        <f>HYPERLINK("http://141.218.60.56/~jnz1568/getInfo.php?workbook=06_02.xlsx&amp;sheet=A0&amp;row=806&amp;col=13&amp;number=&amp;sourceID=30","")</f>
        <v/>
      </c>
      <c r="N806" s="4" t="str">
        <f>HYPERLINK("http://141.218.60.56/~jnz1568/getInfo.php?workbook=06_02.xlsx&amp;sheet=A0&amp;row=806&amp;col=14&amp;number=0&amp;sourceID=30","0")</f>
        <v>0</v>
      </c>
      <c r="O806" s="4" t="str">
        <f>HYPERLINK("http://141.218.60.56/~jnz1568/getInfo.php?workbook=06_02.xlsx&amp;sheet=A0&amp;row=806&amp;col=15&amp;number=&amp;sourceID=32","")</f>
        <v/>
      </c>
      <c r="P806" s="4" t="str">
        <f>HYPERLINK("http://141.218.60.56/~jnz1568/getInfo.php?workbook=06_02.xlsx&amp;sheet=A0&amp;row=806&amp;col=16&amp;number=&amp;sourceID=32","")</f>
        <v/>
      </c>
      <c r="Q806" s="4" t="str">
        <f>HYPERLINK("http://141.218.60.56/~jnz1568/getInfo.php?workbook=06_02.xlsx&amp;sheet=A0&amp;row=806&amp;col=17&amp;number=&amp;sourceID=32","")</f>
        <v/>
      </c>
      <c r="R806" s="4" t="str">
        <f>HYPERLINK("http://141.218.60.56/~jnz1568/getInfo.php?workbook=06_02.xlsx&amp;sheet=A0&amp;row=806&amp;col=18&amp;number=&amp;sourceID=32","")</f>
        <v/>
      </c>
    </row>
    <row r="807" spans="1:18">
      <c r="A807" s="3">
        <v>6</v>
      </c>
      <c r="B807" s="3">
        <v>2</v>
      </c>
      <c r="C807" s="3">
        <v>46</v>
      </c>
      <c r="D807" s="3">
        <v>43</v>
      </c>
      <c r="E807" s="3">
        <f>((1/(INDEX(E0!J$4:J$52,C807,1)-INDEX(E0!J$4:J$52,D807,1))))*100000000</f>
        <v>0</v>
      </c>
      <c r="F807" s="4" t="str">
        <f>HYPERLINK("http://141.218.60.56/~jnz1568/getInfo.php?workbook=06_02.xlsx&amp;sheet=A0&amp;row=807&amp;col=6&amp;number=&amp;sourceID=27","")</f>
        <v/>
      </c>
      <c r="G807" s="4" t="str">
        <f>HYPERLINK("http://141.218.60.56/~jnz1568/getInfo.php?workbook=06_02.xlsx&amp;sheet=A0&amp;row=807&amp;col=7&amp;number=&amp;sourceID=34","")</f>
        <v/>
      </c>
      <c r="H807" s="4" t="str">
        <f>HYPERLINK("http://141.218.60.56/~jnz1568/getInfo.php?workbook=06_02.xlsx&amp;sheet=A0&amp;row=807&amp;col=8&amp;number=&amp;sourceID=34","")</f>
        <v/>
      </c>
      <c r="I807" s="4" t="str">
        <f>HYPERLINK("http://141.218.60.56/~jnz1568/getInfo.php?workbook=06_02.xlsx&amp;sheet=A0&amp;row=807&amp;col=9&amp;number=&amp;sourceID=34","")</f>
        <v/>
      </c>
      <c r="J807" s="4" t="str">
        <f>HYPERLINK("http://141.218.60.56/~jnz1568/getInfo.php?workbook=06_02.xlsx&amp;sheet=A0&amp;row=807&amp;col=10&amp;number=&amp;sourceID=34","")</f>
        <v/>
      </c>
      <c r="K807" s="4" t="str">
        <f>HYPERLINK("http://141.218.60.56/~jnz1568/getInfo.php?workbook=06_02.xlsx&amp;sheet=A0&amp;row=807&amp;col=11&amp;number=&amp;sourceID=30","")</f>
        <v/>
      </c>
      <c r="L807" s="4" t="str">
        <f>HYPERLINK("http://141.218.60.56/~jnz1568/getInfo.php?workbook=06_02.xlsx&amp;sheet=A0&amp;row=807&amp;col=12&amp;number=&amp;sourceID=30","")</f>
        <v/>
      </c>
      <c r="M807" s="4" t="str">
        <f>HYPERLINK("http://141.218.60.56/~jnz1568/getInfo.php?workbook=06_02.xlsx&amp;sheet=A0&amp;row=807&amp;col=13&amp;number=&amp;sourceID=30","")</f>
        <v/>
      </c>
      <c r="N807" s="4" t="str">
        <f>HYPERLINK("http://141.218.60.56/~jnz1568/getInfo.php?workbook=06_02.xlsx&amp;sheet=A0&amp;row=807&amp;col=14&amp;number=0&amp;sourceID=30","0")</f>
        <v>0</v>
      </c>
      <c r="O807" s="4" t="str">
        <f>HYPERLINK("http://141.218.60.56/~jnz1568/getInfo.php?workbook=06_02.xlsx&amp;sheet=A0&amp;row=807&amp;col=15&amp;number=&amp;sourceID=32","")</f>
        <v/>
      </c>
      <c r="P807" s="4" t="str">
        <f>HYPERLINK("http://141.218.60.56/~jnz1568/getInfo.php?workbook=06_02.xlsx&amp;sheet=A0&amp;row=807&amp;col=16&amp;number=&amp;sourceID=32","")</f>
        <v/>
      </c>
      <c r="Q807" s="4" t="str">
        <f>HYPERLINK("http://141.218.60.56/~jnz1568/getInfo.php?workbook=06_02.xlsx&amp;sheet=A0&amp;row=807&amp;col=17&amp;number=&amp;sourceID=32","")</f>
        <v/>
      </c>
      <c r="R807" s="4" t="str">
        <f>HYPERLINK("http://141.218.60.56/~jnz1568/getInfo.php?workbook=06_02.xlsx&amp;sheet=A0&amp;row=807&amp;col=18&amp;number=&amp;sourceID=32","")</f>
        <v/>
      </c>
    </row>
    <row r="808" spans="1:18">
      <c r="A808" s="3">
        <v>6</v>
      </c>
      <c r="B808" s="3">
        <v>2</v>
      </c>
      <c r="C808" s="3">
        <v>46</v>
      </c>
      <c r="D808" s="3">
        <v>44</v>
      </c>
      <c r="E808" s="3"/>
      <c r="F808" s="4" t="str">
        <f>HYPERLINK("http://141.218.60.56/~jnz1568/getInfo.php?workbook=06_02.xlsx&amp;sheet=A0&amp;row=808&amp;col=6&amp;number=&amp;sourceID=27","")</f>
        <v/>
      </c>
      <c r="G808" s="4" t="str">
        <f>HYPERLINK("http://141.218.60.56/~jnz1568/getInfo.php?workbook=06_02.xlsx&amp;sheet=A0&amp;row=808&amp;col=7&amp;number=&amp;sourceID=34","")</f>
        <v/>
      </c>
      <c r="H808" s="4" t="str">
        <f>HYPERLINK("http://141.218.60.56/~jnz1568/getInfo.php?workbook=06_02.xlsx&amp;sheet=A0&amp;row=808&amp;col=8&amp;number=&amp;sourceID=34","")</f>
        <v/>
      </c>
      <c r="I808" s="4" t="str">
        <f>HYPERLINK("http://141.218.60.56/~jnz1568/getInfo.php?workbook=06_02.xlsx&amp;sheet=A0&amp;row=808&amp;col=9&amp;number=&amp;sourceID=34","")</f>
        <v/>
      </c>
      <c r="J808" s="4" t="str">
        <f>HYPERLINK("http://141.218.60.56/~jnz1568/getInfo.php?workbook=06_02.xlsx&amp;sheet=A0&amp;row=808&amp;col=10&amp;number=&amp;sourceID=34","")</f>
        <v/>
      </c>
      <c r="K808" s="4" t="str">
        <f>HYPERLINK("http://141.218.60.56/~jnz1568/getInfo.php?workbook=06_02.xlsx&amp;sheet=A0&amp;row=808&amp;col=11&amp;number=&amp;sourceID=30","")</f>
        <v/>
      </c>
      <c r="L808" s="4" t="str">
        <f>HYPERLINK("http://141.218.60.56/~jnz1568/getInfo.php?workbook=06_02.xlsx&amp;sheet=A0&amp;row=808&amp;col=12&amp;number=0&amp;sourceID=30","0")</f>
        <v>0</v>
      </c>
      <c r="M808" s="4" t="str">
        <f>HYPERLINK("http://141.218.60.56/~jnz1568/getInfo.php?workbook=06_02.xlsx&amp;sheet=A0&amp;row=808&amp;col=13&amp;number=&amp;sourceID=30","")</f>
        <v/>
      </c>
      <c r="N808" s="4" t="str">
        <f>HYPERLINK("http://141.218.60.56/~jnz1568/getInfo.php?workbook=06_02.xlsx&amp;sheet=A0&amp;row=808&amp;col=14&amp;number=&amp;sourceID=30","")</f>
        <v/>
      </c>
      <c r="O808" s="4" t="str">
        <f>HYPERLINK("http://141.218.60.56/~jnz1568/getInfo.php?workbook=06_02.xlsx&amp;sheet=A0&amp;row=808&amp;col=15&amp;number=&amp;sourceID=32","")</f>
        <v/>
      </c>
      <c r="P808" s="4" t="str">
        <f>HYPERLINK("http://141.218.60.56/~jnz1568/getInfo.php?workbook=06_02.xlsx&amp;sheet=A0&amp;row=808&amp;col=16&amp;number=&amp;sourceID=32","")</f>
        <v/>
      </c>
      <c r="Q808" s="4" t="str">
        <f>HYPERLINK("http://141.218.60.56/~jnz1568/getInfo.php?workbook=06_02.xlsx&amp;sheet=A0&amp;row=808&amp;col=17&amp;number=&amp;sourceID=32","")</f>
        <v/>
      </c>
      <c r="R808" s="4" t="str">
        <f>HYPERLINK("http://141.218.60.56/~jnz1568/getInfo.php?workbook=06_02.xlsx&amp;sheet=A0&amp;row=808&amp;col=18&amp;number=&amp;sourceID=32","")</f>
        <v/>
      </c>
    </row>
    <row r="809" spans="1:18">
      <c r="A809" s="3">
        <v>6</v>
      </c>
      <c r="B809" s="3">
        <v>2</v>
      </c>
      <c r="C809" s="3">
        <v>46</v>
      </c>
      <c r="D809" s="3">
        <v>45</v>
      </c>
      <c r="E809" s="3"/>
      <c r="F809" s="4" t="str">
        <f>HYPERLINK("http://141.218.60.56/~jnz1568/getInfo.php?workbook=06_02.xlsx&amp;sheet=A0&amp;row=809&amp;col=6&amp;number=&amp;sourceID=27","")</f>
        <v/>
      </c>
      <c r="G809" s="4" t="str">
        <f>HYPERLINK("http://141.218.60.56/~jnz1568/getInfo.php?workbook=06_02.xlsx&amp;sheet=A0&amp;row=809&amp;col=7&amp;number=&amp;sourceID=34","")</f>
        <v/>
      </c>
      <c r="H809" s="4" t="str">
        <f>HYPERLINK("http://141.218.60.56/~jnz1568/getInfo.php?workbook=06_02.xlsx&amp;sheet=A0&amp;row=809&amp;col=8&amp;number=&amp;sourceID=34","")</f>
        <v/>
      </c>
      <c r="I809" s="4" t="str">
        <f>HYPERLINK("http://141.218.60.56/~jnz1568/getInfo.php?workbook=06_02.xlsx&amp;sheet=A0&amp;row=809&amp;col=9&amp;number=&amp;sourceID=34","")</f>
        <v/>
      </c>
      <c r="J809" s="4" t="str">
        <f>HYPERLINK("http://141.218.60.56/~jnz1568/getInfo.php?workbook=06_02.xlsx&amp;sheet=A0&amp;row=809&amp;col=10&amp;number=&amp;sourceID=34","")</f>
        <v/>
      </c>
      <c r="K809" s="4" t="str">
        <f>HYPERLINK("http://141.218.60.56/~jnz1568/getInfo.php?workbook=06_02.xlsx&amp;sheet=A0&amp;row=809&amp;col=11&amp;number=&amp;sourceID=30","")</f>
        <v/>
      </c>
      <c r="L809" s="4" t="str">
        <f>HYPERLINK("http://141.218.60.56/~jnz1568/getInfo.php?workbook=06_02.xlsx&amp;sheet=A0&amp;row=809&amp;col=12&amp;number=0&amp;sourceID=30","0")</f>
        <v>0</v>
      </c>
      <c r="M809" s="4" t="str">
        <f>HYPERLINK("http://141.218.60.56/~jnz1568/getInfo.php?workbook=06_02.xlsx&amp;sheet=A0&amp;row=809&amp;col=13&amp;number=4.032e-11&amp;sourceID=30","4.032e-11")</f>
        <v>4.032e-11</v>
      </c>
      <c r="N809" s="4" t="str">
        <f>HYPERLINK("http://141.218.60.56/~jnz1568/getInfo.php?workbook=06_02.xlsx&amp;sheet=A0&amp;row=809&amp;col=14&amp;number=&amp;sourceID=30","")</f>
        <v/>
      </c>
      <c r="O809" s="4" t="str">
        <f>HYPERLINK("http://141.218.60.56/~jnz1568/getInfo.php?workbook=06_02.xlsx&amp;sheet=A0&amp;row=809&amp;col=15&amp;number=&amp;sourceID=32","")</f>
        <v/>
      </c>
      <c r="P809" s="4" t="str">
        <f>HYPERLINK("http://141.218.60.56/~jnz1568/getInfo.php?workbook=06_02.xlsx&amp;sheet=A0&amp;row=809&amp;col=16&amp;number=&amp;sourceID=32","")</f>
        <v/>
      </c>
      <c r="Q809" s="4" t="str">
        <f>HYPERLINK("http://141.218.60.56/~jnz1568/getInfo.php?workbook=06_02.xlsx&amp;sheet=A0&amp;row=809&amp;col=17&amp;number=&amp;sourceID=32","")</f>
        <v/>
      </c>
      <c r="R809" s="4" t="str">
        <f>HYPERLINK("http://141.218.60.56/~jnz1568/getInfo.php?workbook=06_02.xlsx&amp;sheet=A0&amp;row=809&amp;col=18&amp;number=&amp;sourceID=32","")</f>
        <v/>
      </c>
    </row>
    <row r="810" spans="1:18">
      <c r="A810" s="3">
        <v>6</v>
      </c>
      <c r="B810" s="3">
        <v>2</v>
      </c>
      <c r="C810" s="3">
        <v>47</v>
      </c>
      <c r="D810" s="3">
        <v>6</v>
      </c>
      <c r="E810" s="3">
        <f>((1/(INDEX(E0!J$4:J$52,C810,1)-INDEX(E0!J$4:J$52,D810,1))))*100000000</f>
        <v>0</v>
      </c>
      <c r="F810" s="4" t="str">
        <f>HYPERLINK("http://141.218.60.56/~jnz1568/getInfo.php?workbook=06_02.xlsx&amp;sheet=A0&amp;row=810&amp;col=6&amp;number=&amp;sourceID=27","")</f>
        <v/>
      </c>
      <c r="G810" s="4" t="str">
        <f>HYPERLINK("http://141.218.60.56/~jnz1568/getInfo.php?workbook=06_02.xlsx&amp;sheet=A0&amp;row=810&amp;col=7&amp;number=&amp;sourceID=34","")</f>
        <v/>
      </c>
      <c r="H810" s="4" t="str">
        <f>HYPERLINK("http://141.218.60.56/~jnz1568/getInfo.php?workbook=06_02.xlsx&amp;sheet=A0&amp;row=810&amp;col=8&amp;number=&amp;sourceID=34","")</f>
        <v/>
      </c>
      <c r="I810" s="4" t="str">
        <f>HYPERLINK("http://141.218.60.56/~jnz1568/getInfo.php?workbook=06_02.xlsx&amp;sheet=A0&amp;row=810&amp;col=9&amp;number=&amp;sourceID=34","")</f>
        <v/>
      </c>
      <c r="J810" s="4" t="str">
        <f>HYPERLINK("http://141.218.60.56/~jnz1568/getInfo.php?workbook=06_02.xlsx&amp;sheet=A0&amp;row=810&amp;col=10&amp;number=&amp;sourceID=34","")</f>
        <v/>
      </c>
      <c r="K810" s="4" t="str">
        <f>HYPERLINK("http://141.218.60.56/~jnz1568/getInfo.php?workbook=06_02.xlsx&amp;sheet=A0&amp;row=810&amp;col=11&amp;number=&amp;sourceID=30","")</f>
        <v/>
      </c>
      <c r="L810" s="4" t="str">
        <f>HYPERLINK("http://141.218.60.56/~jnz1568/getInfo.php?workbook=06_02.xlsx&amp;sheet=A0&amp;row=810&amp;col=12&amp;number=&amp;sourceID=30","")</f>
        <v/>
      </c>
      <c r="M810" s="4" t="str">
        <f>HYPERLINK("http://141.218.60.56/~jnz1568/getInfo.php?workbook=06_02.xlsx&amp;sheet=A0&amp;row=810&amp;col=13&amp;number=&amp;sourceID=30","")</f>
        <v/>
      </c>
      <c r="N810" s="4" t="str">
        <f>HYPERLINK("http://141.218.60.56/~jnz1568/getInfo.php?workbook=06_02.xlsx&amp;sheet=A0&amp;row=810&amp;col=14&amp;number=3.5e-13&amp;sourceID=30","3.5e-13")</f>
        <v>3.5e-13</v>
      </c>
      <c r="O810" s="4" t="str">
        <f>HYPERLINK("http://141.218.60.56/~jnz1568/getInfo.php?workbook=06_02.xlsx&amp;sheet=A0&amp;row=810&amp;col=15&amp;number=&amp;sourceID=32","")</f>
        <v/>
      </c>
      <c r="P810" s="4" t="str">
        <f>HYPERLINK("http://141.218.60.56/~jnz1568/getInfo.php?workbook=06_02.xlsx&amp;sheet=A0&amp;row=810&amp;col=16&amp;number=&amp;sourceID=32","")</f>
        <v/>
      </c>
      <c r="Q810" s="4" t="str">
        <f>HYPERLINK("http://141.218.60.56/~jnz1568/getInfo.php?workbook=06_02.xlsx&amp;sheet=A0&amp;row=810&amp;col=17&amp;number=&amp;sourceID=32","")</f>
        <v/>
      </c>
      <c r="R810" s="4" t="str">
        <f>HYPERLINK("http://141.218.60.56/~jnz1568/getInfo.php?workbook=06_02.xlsx&amp;sheet=A0&amp;row=810&amp;col=18&amp;number=&amp;sourceID=32","")</f>
        <v/>
      </c>
    </row>
    <row r="811" spans="1:18">
      <c r="A811" s="3">
        <v>6</v>
      </c>
      <c r="B811" s="3">
        <v>2</v>
      </c>
      <c r="C811" s="3">
        <v>47</v>
      </c>
      <c r="D811" s="3">
        <v>12</v>
      </c>
      <c r="E811" s="3">
        <f>((1/(INDEX(E0!J$4:J$52,C811,1)-INDEX(E0!J$4:J$52,D811,1))))*100000000</f>
        <v>0</v>
      </c>
      <c r="F811" s="4" t="str">
        <f>HYPERLINK("http://141.218.60.56/~jnz1568/getInfo.php?workbook=06_02.xlsx&amp;sheet=A0&amp;row=811&amp;col=6&amp;number=&amp;sourceID=27","")</f>
        <v/>
      </c>
      <c r="G811" s="4" t="str">
        <f>HYPERLINK("http://141.218.60.56/~jnz1568/getInfo.php?workbook=06_02.xlsx&amp;sheet=A0&amp;row=811&amp;col=7&amp;number=&amp;sourceID=34","")</f>
        <v/>
      </c>
      <c r="H811" s="4" t="str">
        <f>HYPERLINK("http://141.218.60.56/~jnz1568/getInfo.php?workbook=06_02.xlsx&amp;sheet=A0&amp;row=811&amp;col=8&amp;number=&amp;sourceID=34","")</f>
        <v/>
      </c>
      <c r="I811" s="4" t="str">
        <f>HYPERLINK("http://141.218.60.56/~jnz1568/getInfo.php?workbook=06_02.xlsx&amp;sheet=A0&amp;row=811&amp;col=9&amp;number=&amp;sourceID=34","")</f>
        <v/>
      </c>
      <c r="J811" s="4" t="str">
        <f>HYPERLINK("http://141.218.60.56/~jnz1568/getInfo.php?workbook=06_02.xlsx&amp;sheet=A0&amp;row=811&amp;col=10&amp;number=&amp;sourceID=34","")</f>
        <v/>
      </c>
      <c r="K811" s="4" t="str">
        <f>HYPERLINK("http://141.218.60.56/~jnz1568/getInfo.php?workbook=06_02.xlsx&amp;sheet=A0&amp;row=811&amp;col=11&amp;number=&amp;sourceID=30","")</f>
        <v/>
      </c>
      <c r="L811" s="4" t="str">
        <f>HYPERLINK("http://141.218.60.56/~jnz1568/getInfo.php?workbook=06_02.xlsx&amp;sheet=A0&amp;row=811&amp;col=12&amp;number=&amp;sourceID=30","")</f>
        <v/>
      </c>
      <c r="M811" s="4" t="str">
        <f>HYPERLINK("http://141.218.60.56/~jnz1568/getInfo.php?workbook=06_02.xlsx&amp;sheet=A0&amp;row=811&amp;col=13&amp;number=&amp;sourceID=30","")</f>
        <v/>
      </c>
      <c r="N811" s="4" t="str">
        <f>HYPERLINK("http://141.218.60.56/~jnz1568/getInfo.php?workbook=06_02.xlsx&amp;sheet=A0&amp;row=811&amp;col=14&amp;number=1.262e-11&amp;sourceID=30","1.262e-11")</f>
        <v>1.262e-11</v>
      </c>
      <c r="O811" s="4" t="str">
        <f>HYPERLINK("http://141.218.60.56/~jnz1568/getInfo.php?workbook=06_02.xlsx&amp;sheet=A0&amp;row=811&amp;col=15&amp;number=&amp;sourceID=32","")</f>
        <v/>
      </c>
      <c r="P811" s="4" t="str">
        <f>HYPERLINK("http://141.218.60.56/~jnz1568/getInfo.php?workbook=06_02.xlsx&amp;sheet=A0&amp;row=811&amp;col=16&amp;number=&amp;sourceID=32","")</f>
        <v/>
      </c>
      <c r="Q811" s="4" t="str">
        <f>HYPERLINK("http://141.218.60.56/~jnz1568/getInfo.php?workbook=06_02.xlsx&amp;sheet=A0&amp;row=811&amp;col=17&amp;number=&amp;sourceID=32","")</f>
        <v/>
      </c>
      <c r="R811" s="4" t="str">
        <f>HYPERLINK("http://141.218.60.56/~jnz1568/getInfo.php?workbook=06_02.xlsx&amp;sheet=A0&amp;row=811&amp;col=18&amp;number=&amp;sourceID=32","")</f>
        <v/>
      </c>
    </row>
    <row r="812" spans="1:18">
      <c r="A812" s="3">
        <v>6</v>
      </c>
      <c r="B812" s="3">
        <v>2</v>
      </c>
      <c r="C812" s="3">
        <v>47</v>
      </c>
      <c r="D812" s="3">
        <v>14</v>
      </c>
      <c r="E812" s="3">
        <f>((1/(INDEX(E0!J$4:J$52,C812,1)-INDEX(E0!J$4:J$52,D812,1))))*100000000</f>
        <v>0</v>
      </c>
      <c r="F812" s="4" t="str">
        <f>HYPERLINK("http://141.218.60.56/~jnz1568/getInfo.php?workbook=06_02.xlsx&amp;sheet=A0&amp;row=812&amp;col=6&amp;number=&amp;sourceID=27","")</f>
        <v/>
      </c>
      <c r="G812" s="4" t="str">
        <f>HYPERLINK("http://141.218.60.56/~jnz1568/getInfo.php?workbook=06_02.xlsx&amp;sheet=A0&amp;row=812&amp;col=7&amp;number=&amp;sourceID=34","")</f>
        <v/>
      </c>
      <c r="H812" s="4" t="str">
        <f>HYPERLINK("http://141.218.60.56/~jnz1568/getInfo.php?workbook=06_02.xlsx&amp;sheet=A0&amp;row=812&amp;col=8&amp;number=&amp;sourceID=34","")</f>
        <v/>
      </c>
      <c r="I812" s="4" t="str">
        <f>HYPERLINK("http://141.218.60.56/~jnz1568/getInfo.php?workbook=06_02.xlsx&amp;sheet=A0&amp;row=812&amp;col=9&amp;number=&amp;sourceID=34","")</f>
        <v/>
      </c>
      <c r="J812" s="4" t="str">
        <f>HYPERLINK("http://141.218.60.56/~jnz1568/getInfo.php?workbook=06_02.xlsx&amp;sheet=A0&amp;row=812&amp;col=10&amp;number=&amp;sourceID=34","")</f>
        <v/>
      </c>
      <c r="K812" s="4" t="str">
        <f>HYPERLINK("http://141.218.60.56/~jnz1568/getInfo.php?workbook=06_02.xlsx&amp;sheet=A0&amp;row=812&amp;col=11&amp;number=&amp;sourceID=30","")</f>
        <v/>
      </c>
      <c r="L812" s="4" t="str">
        <f>HYPERLINK("http://141.218.60.56/~jnz1568/getInfo.php?workbook=06_02.xlsx&amp;sheet=A0&amp;row=812&amp;col=12&amp;number=60270&amp;sourceID=30","60270")</f>
        <v>60270</v>
      </c>
      <c r="M812" s="4" t="str">
        <f>HYPERLINK("http://141.218.60.56/~jnz1568/getInfo.php?workbook=06_02.xlsx&amp;sheet=A0&amp;row=812&amp;col=13&amp;number=&amp;sourceID=30","")</f>
        <v/>
      </c>
      <c r="N812" s="4" t="str">
        <f>HYPERLINK("http://141.218.60.56/~jnz1568/getInfo.php?workbook=06_02.xlsx&amp;sheet=A0&amp;row=812&amp;col=14&amp;number=&amp;sourceID=30","")</f>
        <v/>
      </c>
      <c r="O812" s="4" t="str">
        <f>HYPERLINK("http://141.218.60.56/~jnz1568/getInfo.php?workbook=06_02.xlsx&amp;sheet=A0&amp;row=812&amp;col=15&amp;number=&amp;sourceID=32","")</f>
        <v/>
      </c>
      <c r="P812" s="4" t="str">
        <f>HYPERLINK("http://141.218.60.56/~jnz1568/getInfo.php?workbook=06_02.xlsx&amp;sheet=A0&amp;row=812&amp;col=16&amp;number=&amp;sourceID=32","")</f>
        <v/>
      </c>
      <c r="Q812" s="4" t="str">
        <f>HYPERLINK("http://141.218.60.56/~jnz1568/getInfo.php?workbook=06_02.xlsx&amp;sheet=A0&amp;row=812&amp;col=17&amp;number=&amp;sourceID=32","")</f>
        <v/>
      </c>
      <c r="R812" s="4" t="str">
        <f>HYPERLINK("http://141.218.60.56/~jnz1568/getInfo.php?workbook=06_02.xlsx&amp;sheet=A0&amp;row=812&amp;col=18&amp;number=&amp;sourceID=32","")</f>
        <v/>
      </c>
    </row>
    <row r="813" spans="1:18">
      <c r="A813" s="3">
        <v>6</v>
      </c>
      <c r="B813" s="3">
        <v>2</v>
      </c>
      <c r="C813" s="3">
        <v>47</v>
      </c>
      <c r="D813" s="3">
        <v>15</v>
      </c>
      <c r="E813" s="3">
        <f>((1/(INDEX(E0!J$4:J$52,C813,1)-INDEX(E0!J$4:J$52,D813,1))))*100000000</f>
        <v>0</v>
      </c>
      <c r="F813" s="4" t="str">
        <f>HYPERLINK("http://141.218.60.56/~jnz1568/getInfo.php?workbook=06_02.xlsx&amp;sheet=A0&amp;row=813&amp;col=6&amp;number=&amp;sourceID=27","")</f>
        <v/>
      </c>
      <c r="G813" s="4" t="str">
        <f>HYPERLINK("http://141.218.60.56/~jnz1568/getInfo.php?workbook=06_02.xlsx&amp;sheet=A0&amp;row=813&amp;col=7&amp;number=&amp;sourceID=34","")</f>
        <v/>
      </c>
      <c r="H813" s="4" t="str">
        <f>HYPERLINK("http://141.218.60.56/~jnz1568/getInfo.php?workbook=06_02.xlsx&amp;sheet=A0&amp;row=813&amp;col=8&amp;number=&amp;sourceID=34","")</f>
        <v/>
      </c>
      <c r="I813" s="4" t="str">
        <f>HYPERLINK("http://141.218.60.56/~jnz1568/getInfo.php?workbook=06_02.xlsx&amp;sheet=A0&amp;row=813&amp;col=9&amp;number=&amp;sourceID=34","")</f>
        <v/>
      </c>
      <c r="J813" s="4" t="str">
        <f>HYPERLINK("http://141.218.60.56/~jnz1568/getInfo.php?workbook=06_02.xlsx&amp;sheet=A0&amp;row=813&amp;col=10&amp;number=&amp;sourceID=34","")</f>
        <v/>
      </c>
      <c r="K813" s="4" t="str">
        <f>HYPERLINK("http://141.218.60.56/~jnz1568/getInfo.php?workbook=06_02.xlsx&amp;sheet=A0&amp;row=813&amp;col=11&amp;number=&amp;sourceID=30","")</f>
        <v/>
      </c>
      <c r="L813" s="4" t="str">
        <f>HYPERLINK("http://141.218.60.56/~jnz1568/getInfo.php?workbook=06_02.xlsx&amp;sheet=A0&amp;row=813&amp;col=12&amp;number=13880&amp;sourceID=30","13880")</f>
        <v>13880</v>
      </c>
      <c r="M813" s="4" t="str">
        <f>HYPERLINK("http://141.218.60.56/~jnz1568/getInfo.php?workbook=06_02.xlsx&amp;sheet=A0&amp;row=813&amp;col=13&amp;number=4.468e-08&amp;sourceID=30","4.468e-08")</f>
        <v>4.468e-08</v>
      </c>
      <c r="N813" s="4" t="str">
        <f>HYPERLINK("http://141.218.60.56/~jnz1568/getInfo.php?workbook=06_02.xlsx&amp;sheet=A0&amp;row=813&amp;col=14&amp;number=&amp;sourceID=30","")</f>
        <v/>
      </c>
      <c r="O813" s="4" t="str">
        <f>HYPERLINK("http://141.218.60.56/~jnz1568/getInfo.php?workbook=06_02.xlsx&amp;sheet=A0&amp;row=813&amp;col=15&amp;number=&amp;sourceID=32","")</f>
        <v/>
      </c>
      <c r="P813" s="4" t="str">
        <f>HYPERLINK("http://141.218.60.56/~jnz1568/getInfo.php?workbook=06_02.xlsx&amp;sheet=A0&amp;row=813&amp;col=16&amp;number=&amp;sourceID=32","")</f>
        <v/>
      </c>
      <c r="Q813" s="4" t="str">
        <f>HYPERLINK("http://141.218.60.56/~jnz1568/getInfo.php?workbook=06_02.xlsx&amp;sheet=A0&amp;row=813&amp;col=17&amp;number=&amp;sourceID=32","")</f>
        <v/>
      </c>
      <c r="R813" s="4" t="str">
        <f>HYPERLINK("http://141.218.60.56/~jnz1568/getInfo.php?workbook=06_02.xlsx&amp;sheet=A0&amp;row=813&amp;col=18&amp;number=&amp;sourceID=32","")</f>
        <v/>
      </c>
    </row>
    <row r="814" spans="1:18">
      <c r="A814" s="3">
        <v>6</v>
      </c>
      <c r="B814" s="3">
        <v>2</v>
      </c>
      <c r="C814" s="3">
        <v>47</v>
      </c>
      <c r="D814" s="3">
        <v>16</v>
      </c>
      <c r="E814" s="3">
        <f>((1/(INDEX(E0!J$4:J$52,C814,1)-INDEX(E0!J$4:J$52,D814,1))))*100000000</f>
        <v>0</v>
      </c>
      <c r="F814" s="4" t="str">
        <f>HYPERLINK("http://141.218.60.56/~jnz1568/getInfo.php?workbook=06_02.xlsx&amp;sheet=A0&amp;row=814&amp;col=6&amp;number=&amp;sourceID=27","")</f>
        <v/>
      </c>
      <c r="G814" s="4" t="str">
        <f>HYPERLINK("http://141.218.60.56/~jnz1568/getInfo.php?workbook=06_02.xlsx&amp;sheet=A0&amp;row=814&amp;col=7&amp;number=&amp;sourceID=34","")</f>
        <v/>
      </c>
      <c r="H814" s="4" t="str">
        <f>HYPERLINK("http://141.218.60.56/~jnz1568/getInfo.php?workbook=06_02.xlsx&amp;sheet=A0&amp;row=814&amp;col=8&amp;number=&amp;sourceID=34","")</f>
        <v/>
      </c>
      <c r="I814" s="4" t="str">
        <f>HYPERLINK("http://141.218.60.56/~jnz1568/getInfo.php?workbook=06_02.xlsx&amp;sheet=A0&amp;row=814&amp;col=9&amp;number=&amp;sourceID=34","")</f>
        <v/>
      </c>
      <c r="J814" s="4" t="str">
        <f>HYPERLINK("http://141.218.60.56/~jnz1568/getInfo.php?workbook=06_02.xlsx&amp;sheet=A0&amp;row=814&amp;col=10&amp;number=&amp;sourceID=34","")</f>
        <v/>
      </c>
      <c r="K814" s="4" t="str">
        <f>HYPERLINK("http://141.218.60.56/~jnz1568/getInfo.php?workbook=06_02.xlsx&amp;sheet=A0&amp;row=814&amp;col=11&amp;number=&amp;sourceID=30","")</f>
        <v/>
      </c>
      <c r="L814" s="4" t="str">
        <f>HYPERLINK("http://141.218.60.56/~jnz1568/getInfo.php?workbook=06_02.xlsx&amp;sheet=A0&amp;row=814&amp;col=12&amp;number=107200&amp;sourceID=30","107200")</f>
        <v>107200</v>
      </c>
      <c r="M814" s="4" t="str">
        <f>HYPERLINK("http://141.218.60.56/~jnz1568/getInfo.php?workbook=06_02.xlsx&amp;sheet=A0&amp;row=814&amp;col=13&amp;number=&amp;sourceID=30","")</f>
        <v/>
      </c>
      <c r="N814" s="4" t="str">
        <f>HYPERLINK("http://141.218.60.56/~jnz1568/getInfo.php?workbook=06_02.xlsx&amp;sheet=A0&amp;row=814&amp;col=14&amp;number=&amp;sourceID=30","")</f>
        <v/>
      </c>
      <c r="O814" s="4" t="str">
        <f>HYPERLINK("http://141.218.60.56/~jnz1568/getInfo.php?workbook=06_02.xlsx&amp;sheet=A0&amp;row=814&amp;col=15&amp;number=&amp;sourceID=32","")</f>
        <v/>
      </c>
      <c r="P814" s="4" t="str">
        <f>HYPERLINK("http://141.218.60.56/~jnz1568/getInfo.php?workbook=06_02.xlsx&amp;sheet=A0&amp;row=814&amp;col=16&amp;number=&amp;sourceID=32","")</f>
        <v/>
      </c>
      <c r="Q814" s="4" t="str">
        <f>HYPERLINK("http://141.218.60.56/~jnz1568/getInfo.php?workbook=06_02.xlsx&amp;sheet=A0&amp;row=814&amp;col=17&amp;number=&amp;sourceID=32","")</f>
        <v/>
      </c>
      <c r="R814" s="4" t="str">
        <f>HYPERLINK("http://141.218.60.56/~jnz1568/getInfo.php?workbook=06_02.xlsx&amp;sheet=A0&amp;row=814&amp;col=18&amp;number=&amp;sourceID=32","")</f>
        <v/>
      </c>
    </row>
    <row r="815" spans="1:18">
      <c r="A815" s="3">
        <v>6</v>
      </c>
      <c r="B815" s="3">
        <v>2</v>
      </c>
      <c r="C815" s="3">
        <v>47</v>
      </c>
      <c r="D815" s="3">
        <v>22</v>
      </c>
      <c r="E815" s="3">
        <f>((1/(INDEX(E0!J$4:J$52,C815,1)-INDEX(E0!J$4:J$52,D815,1))))*100000000</f>
        <v>0</v>
      </c>
      <c r="F815" s="4" t="str">
        <f>HYPERLINK("http://141.218.60.56/~jnz1568/getInfo.php?workbook=06_02.xlsx&amp;sheet=A0&amp;row=815&amp;col=6&amp;number=&amp;sourceID=27","")</f>
        <v/>
      </c>
      <c r="G815" s="4" t="str">
        <f>HYPERLINK("http://141.218.60.56/~jnz1568/getInfo.php?workbook=06_02.xlsx&amp;sheet=A0&amp;row=815&amp;col=7&amp;number=&amp;sourceID=34","")</f>
        <v/>
      </c>
      <c r="H815" s="4" t="str">
        <f>HYPERLINK("http://141.218.60.56/~jnz1568/getInfo.php?workbook=06_02.xlsx&amp;sheet=A0&amp;row=815&amp;col=8&amp;number=&amp;sourceID=34","")</f>
        <v/>
      </c>
      <c r="I815" s="4" t="str">
        <f>HYPERLINK("http://141.218.60.56/~jnz1568/getInfo.php?workbook=06_02.xlsx&amp;sheet=A0&amp;row=815&amp;col=9&amp;number=&amp;sourceID=34","")</f>
        <v/>
      </c>
      <c r="J815" s="4" t="str">
        <f>HYPERLINK("http://141.218.60.56/~jnz1568/getInfo.php?workbook=06_02.xlsx&amp;sheet=A0&amp;row=815&amp;col=10&amp;number=&amp;sourceID=34","")</f>
        <v/>
      </c>
      <c r="K815" s="4" t="str">
        <f>HYPERLINK("http://141.218.60.56/~jnz1568/getInfo.php?workbook=06_02.xlsx&amp;sheet=A0&amp;row=815&amp;col=11&amp;number=&amp;sourceID=30","")</f>
        <v/>
      </c>
      <c r="L815" s="4" t="str">
        <f>HYPERLINK("http://141.218.60.56/~jnz1568/getInfo.php?workbook=06_02.xlsx&amp;sheet=A0&amp;row=815&amp;col=12&amp;number=&amp;sourceID=30","")</f>
        <v/>
      </c>
      <c r="M815" s="4" t="str">
        <f>HYPERLINK("http://141.218.60.56/~jnz1568/getInfo.php?workbook=06_02.xlsx&amp;sheet=A0&amp;row=815&amp;col=13&amp;number=&amp;sourceID=30","")</f>
        <v/>
      </c>
      <c r="N815" s="4" t="str">
        <f>HYPERLINK("http://141.218.60.56/~jnz1568/getInfo.php?workbook=06_02.xlsx&amp;sheet=A0&amp;row=815&amp;col=14&amp;number=8.345e-12&amp;sourceID=30","8.345e-12")</f>
        <v>8.345e-12</v>
      </c>
      <c r="O815" s="4" t="str">
        <f>HYPERLINK("http://141.218.60.56/~jnz1568/getInfo.php?workbook=06_02.xlsx&amp;sheet=A0&amp;row=815&amp;col=15&amp;number=&amp;sourceID=32","")</f>
        <v/>
      </c>
      <c r="P815" s="4" t="str">
        <f>HYPERLINK("http://141.218.60.56/~jnz1568/getInfo.php?workbook=06_02.xlsx&amp;sheet=A0&amp;row=815&amp;col=16&amp;number=&amp;sourceID=32","")</f>
        <v/>
      </c>
      <c r="Q815" s="4" t="str">
        <f>HYPERLINK("http://141.218.60.56/~jnz1568/getInfo.php?workbook=06_02.xlsx&amp;sheet=A0&amp;row=815&amp;col=17&amp;number=&amp;sourceID=32","")</f>
        <v/>
      </c>
      <c r="R815" s="4" t="str">
        <f>HYPERLINK("http://141.218.60.56/~jnz1568/getInfo.php?workbook=06_02.xlsx&amp;sheet=A0&amp;row=815&amp;col=18&amp;number=&amp;sourceID=32","")</f>
        <v/>
      </c>
    </row>
    <row r="816" spans="1:18">
      <c r="A816" s="3">
        <v>6</v>
      </c>
      <c r="B816" s="3">
        <v>2</v>
      </c>
      <c r="C816" s="3">
        <v>47</v>
      </c>
      <c r="D816" s="3">
        <v>24</v>
      </c>
      <c r="E816" s="3">
        <f>((1/(INDEX(E0!J$4:J$52,C816,1)-INDEX(E0!J$4:J$52,D816,1))))*100000000</f>
        <v>0</v>
      </c>
      <c r="F816" s="4" t="str">
        <f>HYPERLINK("http://141.218.60.56/~jnz1568/getInfo.php?workbook=06_02.xlsx&amp;sheet=A0&amp;row=816&amp;col=6&amp;number=&amp;sourceID=27","")</f>
        <v/>
      </c>
      <c r="G816" s="4" t="str">
        <f>HYPERLINK("http://141.218.60.56/~jnz1568/getInfo.php?workbook=06_02.xlsx&amp;sheet=A0&amp;row=816&amp;col=7&amp;number=&amp;sourceID=34","")</f>
        <v/>
      </c>
      <c r="H816" s="4" t="str">
        <f>HYPERLINK("http://141.218.60.56/~jnz1568/getInfo.php?workbook=06_02.xlsx&amp;sheet=A0&amp;row=816&amp;col=8&amp;number=&amp;sourceID=34","")</f>
        <v/>
      </c>
      <c r="I816" s="4" t="str">
        <f>HYPERLINK("http://141.218.60.56/~jnz1568/getInfo.php?workbook=06_02.xlsx&amp;sheet=A0&amp;row=816&amp;col=9&amp;number=&amp;sourceID=34","")</f>
        <v/>
      </c>
      <c r="J816" s="4" t="str">
        <f>HYPERLINK("http://141.218.60.56/~jnz1568/getInfo.php?workbook=06_02.xlsx&amp;sheet=A0&amp;row=816&amp;col=10&amp;number=&amp;sourceID=34","")</f>
        <v/>
      </c>
      <c r="K816" s="4" t="str">
        <f>HYPERLINK("http://141.218.60.56/~jnz1568/getInfo.php?workbook=06_02.xlsx&amp;sheet=A0&amp;row=816&amp;col=11&amp;number=&amp;sourceID=30","")</f>
        <v/>
      </c>
      <c r="L816" s="4" t="str">
        <f>HYPERLINK("http://141.218.60.56/~jnz1568/getInfo.php?workbook=06_02.xlsx&amp;sheet=A0&amp;row=816&amp;col=12&amp;number=5399&amp;sourceID=30","5399")</f>
        <v>5399</v>
      </c>
      <c r="M816" s="4" t="str">
        <f>HYPERLINK("http://141.218.60.56/~jnz1568/getInfo.php?workbook=06_02.xlsx&amp;sheet=A0&amp;row=816&amp;col=13&amp;number=&amp;sourceID=30","")</f>
        <v/>
      </c>
      <c r="N816" s="4" t="str">
        <f>HYPERLINK("http://141.218.60.56/~jnz1568/getInfo.php?workbook=06_02.xlsx&amp;sheet=A0&amp;row=816&amp;col=14&amp;number=&amp;sourceID=30","")</f>
        <v/>
      </c>
      <c r="O816" s="4" t="str">
        <f>HYPERLINK("http://141.218.60.56/~jnz1568/getInfo.php?workbook=06_02.xlsx&amp;sheet=A0&amp;row=816&amp;col=15&amp;number=&amp;sourceID=32","")</f>
        <v/>
      </c>
      <c r="P816" s="4" t="str">
        <f>HYPERLINK("http://141.218.60.56/~jnz1568/getInfo.php?workbook=06_02.xlsx&amp;sheet=A0&amp;row=816&amp;col=16&amp;number=&amp;sourceID=32","")</f>
        <v/>
      </c>
      <c r="Q816" s="4" t="str">
        <f>HYPERLINK("http://141.218.60.56/~jnz1568/getInfo.php?workbook=06_02.xlsx&amp;sheet=A0&amp;row=816&amp;col=17&amp;number=&amp;sourceID=32","")</f>
        <v/>
      </c>
      <c r="R816" s="4" t="str">
        <f>HYPERLINK("http://141.218.60.56/~jnz1568/getInfo.php?workbook=06_02.xlsx&amp;sheet=A0&amp;row=816&amp;col=18&amp;number=&amp;sourceID=32","")</f>
        <v/>
      </c>
    </row>
    <row r="817" spans="1:18">
      <c r="A817" s="3">
        <v>6</v>
      </c>
      <c r="B817" s="3">
        <v>2</v>
      </c>
      <c r="C817" s="3">
        <v>47</v>
      </c>
      <c r="D817" s="3">
        <v>25</v>
      </c>
      <c r="E817" s="3">
        <f>((1/(INDEX(E0!J$4:J$52,C817,1)-INDEX(E0!J$4:J$52,D817,1))))*100000000</f>
        <v>0</v>
      </c>
      <c r="F817" s="4" t="str">
        <f>HYPERLINK("http://141.218.60.56/~jnz1568/getInfo.php?workbook=06_02.xlsx&amp;sheet=A0&amp;row=817&amp;col=6&amp;number=&amp;sourceID=27","")</f>
        <v/>
      </c>
      <c r="G817" s="4" t="str">
        <f>HYPERLINK("http://141.218.60.56/~jnz1568/getInfo.php?workbook=06_02.xlsx&amp;sheet=A0&amp;row=817&amp;col=7&amp;number=&amp;sourceID=34","")</f>
        <v/>
      </c>
      <c r="H817" s="4" t="str">
        <f>HYPERLINK("http://141.218.60.56/~jnz1568/getInfo.php?workbook=06_02.xlsx&amp;sheet=A0&amp;row=817&amp;col=8&amp;number=&amp;sourceID=34","")</f>
        <v/>
      </c>
      <c r="I817" s="4" t="str">
        <f>HYPERLINK("http://141.218.60.56/~jnz1568/getInfo.php?workbook=06_02.xlsx&amp;sheet=A0&amp;row=817&amp;col=9&amp;number=&amp;sourceID=34","")</f>
        <v/>
      </c>
      <c r="J817" s="4" t="str">
        <f>HYPERLINK("http://141.218.60.56/~jnz1568/getInfo.php?workbook=06_02.xlsx&amp;sheet=A0&amp;row=817&amp;col=10&amp;number=&amp;sourceID=34","")</f>
        <v/>
      </c>
      <c r="K817" s="4" t="str">
        <f>HYPERLINK("http://141.218.60.56/~jnz1568/getInfo.php?workbook=06_02.xlsx&amp;sheet=A0&amp;row=817&amp;col=11&amp;number=&amp;sourceID=30","")</f>
        <v/>
      </c>
      <c r="L817" s="4" t="str">
        <f>HYPERLINK("http://141.218.60.56/~jnz1568/getInfo.php?workbook=06_02.xlsx&amp;sheet=A0&amp;row=817&amp;col=12&amp;number=1202&amp;sourceID=30","1202")</f>
        <v>1202</v>
      </c>
      <c r="M817" s="4" t="str">
        <f>HYPERLINK("http://141.218.60.56/~jnz1568/getInfo.php?workbook=06_02.xlsx&amp;sheet=A0&amp;row=817&amp;col=13&amp;number=6.613e-10&amp;sourceID=30","6.613e-10")</f>
        <v>6.613e-10</v>
      </c>
      <c r="N817" s="4" t="str">
        <f>HYPERLINK("http://141.218.60.56/~jnz1568/getInfo.php?workbook=06_02.xlsx&amp;sheet=A0&amp;row=817&amp;col=14&amp;number=&amp;sourceID=30","")</f>
        <v/>
      </c>
      <c r="O817" s="4" t="str">
        <f>HYPERLINK("http://141.218.60.56/~jnz1568/getInfo.php?workbook=06_02.xlsx&amp;sheet=A0&amp;row=817&amp;col=15&amp;number=&amp;sourceID=32","")</f>
        <v/>
      </c>
      <c r="P817" s="4" t="str">
        <f>HYPERLINK("http://141.218.60.56/~jnz1568/getInfo.php?workbook=06_02.xlsx&amp;sheet=A0&amp;row=817&amp;col=16&amp;number=&amp;sourceID=32","")</f>
        <v/>
      </c>
      <c r="Q817" s="4" t="str">
        <f>HYPERLINK("http://141.218.60.56/~jnz1568/getInfo.php?workbook=06_02.xlsx&amp;sheet=A0&amp;row=817&amp;col=17&amp;number=&amp;sourceID=32","")</f>
        <v/>
      </c>
      <c r="R817" s="4" t="str">
        <f>HYPERLINK("http://141.218.60.56/~jnz1568/getInfo.php?workbook=06_02.xlsx&amp;sheet=A0&amp;row=817&amp;col=18&amp;number=&amp;sourceID=32","")</f>
        <v/>
      </c>
    </row>
    <row r="818" spans="1:18">
      <c r="A818" s="3">
        <v>6</v>
      </c>
      <c r="B818" s="3">
        <v>2</v>
      </c>
      <c r="C818" s="3">
        <v>47</v>
      </c>
      <c r="D818" s="3">
        <v>26</v>
      </c>
      <c r="E818" s="3">
        <f>((1/(INDEX(E0!J$4:J$52,C818,1)-INDEX(E0!J$4:J$52,D818,1))))*100000000</f>
        <v>0</v>
      </c>
      <c r="F818" s="4" t="str">
        <f>HYPERLINK("http://141.218.60.56/~jnz1568/getInfo.php?workbook=06_02.xlsx&amp;sheet=A0&amp;row=818&amp;col=6&amp;number=&amp;sourceID=27","")</f>
        <v/>
      </c>
      <c r="G818" s="4" t="str">
        <f>HYPERLINK("http://141.218.60.56/~jnz1568/getInfo.php?workbook=06_02.xlsx&amp;sheet=A0&amp;row=818&amp;col=7&amp;number=&amp;sourceID=34","")</f>
        <v/>
      </c>
      <c r="H818" s="4" t="str">
        <f>HYPERLINK("http://141.218.60.56/~jnz1568/getInfo.php?workbook=06_02.xlsx&amp;sheet=A0&amp;row=818&amp;col=8&amp;number=&amp;sourceID=34","")</f>
        <v/>
      </c>
      <c r="I818" s="4" t="str">
        <f>HYPERLINK("http://141.218.60.56/~jnz1568/getInfo.php?workbook=06_02.xlsx&amp;sheet=A0&amp;row=818&amp;col=9&amp;number=&amp;sourceID=34","")</f>
        <v/>
      </c>
      <c r="J818" s="4" t="str">
        <f>HYPERLINK("http://141.218.60.56/~jnz1568/getInfo.php?workbook=06_02.xlsx&amp;sheet=A0&amp;row=818&amp;col=10&amp;number=&amp;sourceID=34","")</f>
        <v/>
      </c>
      <c r="K818" s="4" t="str">
        <f>HYPERLINK("http://141.218.60.56/~jnz1568/getInfo.php?workbook=06_02.xlsx&amp;sheet=A0&amp;row=818&amp;col=11&amp;number=2556000000&amp;sourceID=30","2556000000")</f>
        <v>2556000000</v>
      </c>
      <c r="L818" s="4" t="str">
        <f>HYPERLINK("http://141.218.60.56/~jnz1568/getInfo.php?workbook=06_02.xlsx&amp;sheet=A0&amp;row=818&amp;col=12&amp;number=&amp;sourceID=30","")</f>
        <v/>
      </c>
      <c r="M818" s="4" t="str">
        <f>HYPERLINK("http://141.218.60.56/~jnz1568/getInfo.php?workbook=06_02.xlsx&amp;sheet=A0&amp;row=818&amp;col=13&amp;number=&amp;sourceID=30","")</f>
        <v/>
      </c>
      <c r="N818" s="4" t="str">
        <f>HYPERLINK("http://141.218.60.56/~jnz1568/getInfo.php?workbook=06_02.xlsx&amp;sheet=A0&amp;row=818&amp;col=14&amp;number=0.2825&amp;sourceID=30","0.2825")</f>
        <v>0.2825</v>
      </c>
      <c r="O818" s="4" t="str">
        <f>HYPERLINK("http://141.218.60.56/~jnz1568/getInfo.php?workbook=06_02.xlsx&amp;sheet=A0&amp;row=818&amp;col=15&amp;number=&amp;sourceID=32","")</f>
        <v/>
      </c>
      <c r="P818" s="4" t="str">
        <f>HYPERLINK("http://141.218.60.56/~jnz1568/getInfo.php?workbook=06_02.xlsx&amp;sheet=A0&amp;row=818&amp;col=16&amp;number=&amp;sourceID=32","")</f>
        <v/>
      </c>
      <c r="Q818" s="4" t="str">
        <f>HYPERLINK("http://141.218.60.56/~jnz1568/getInfo.php?workbook=06_02.xlsx&amp;sheet=A0&amp;row=818&amp;col=17&amp;number=&amp;sourceID=32","")</f>
        <v/>
      </c>
      <c r="R818" s="4" t="str">
        <f>HYPERLINK("http://141.218.60.56/~jnz1568/getInfo.php?workbook=06_02.xlsx&amp;sheet=A0&amp;row=818&amp;col=18&amp;number=&amp;sourceID=32","")</f>
        <v/>
      </c>
    </row>
    <row r="819" spans="1:18">
      <c r="A819" s="3">
        <v>6</v>
      </c>
      <c r="B819" s="3">
        <v>2</v>
      </c>
      <c r="C819" s="3">
        <v>47</v>
      </c>
      <c r="D819" s="3">
        <v>27</v>
      </c>
      <c r="E819" s="3">
        <f>((1/(INDEX(E0!J$4:J$52,C819,1)-INDEX(E0!J$4:J$52,D819,1))))*100000000</f>
        <v>0</v>
      </c>
      <c r="F819" s="4" t="str">
        <f>HYPERLINK("http://141.218.60.56/~jnz1568/getInfo.php?workbook=06_02.xlsx&amp;sheet=A0&amp;row=819&amp;col=6&amp;number=&amp;sourceID=27","")</f>
        <v/>
      </c>
      <c r="G819" s="4" t="str">
        <f>HYPERLINK("http://141.218.60.56/~jnz1568/getInfo.php?workbook=06_02.xlsx&amp;sheet=A0&amp;row=819&amp;col=7&amp;number=&amp;sourceID=34","")</f>
        <v/>
      </c>
      <c r="H819" s="4" t="str">
        <f>HYPERLINK("http://141.218.60.56/~jnz1568/getInfo.php?workbook=06_02.xlsx&amp;sheet=A0&amp;row=819&amp;col=8&amp;number=&amp;sourceID=34","")</f>
        <v/>
      </c>
      <c r="I819" s="4" t="str">
        <f>HYPERLINK("http://141.218.60.56/~jnz1568/getInfo.php?workbook=06_02.xlsx&amp;sheet=A0&amp;row=819&amp;col=9&amp;number=&amp;sourceID=34","")</f>
        <v/>
      </c>
      <c r="J819" s="4" t="str">
        <f>HYPERLINK("http://141.218.60.56/~jnz1568/getInfo.php?workbook=06_02.xlsx&amp;sheet=A0&amp;row=819&amp;col=10&amp;number=&amp;sourceID=34","")</f>
        <v/>
      </c>
      <c r="K819" s="4" t="str">
        <f>HYPERLINK("http://141.218.60.56/~jnz1568/getInfo.php?workbook=06_02.xlsx&amp;sheet=A0&amp;row=819&amp;col=11&amp;number=&amp;sourceID=30","")</f>
        <v/>
      </c>
      <c r="L819" s="4" t="str">
        <f>HYPERLINK("http://141.218.60.56/~jnz1568/getInfo.php?workbook=06_02.xlsx&amp;sheet=A0&amp;row=819&amp;col=12&amp;number=&amp;sourceID=30","")</f>
        <v/>
      </c>
      <c r="M819" s="4" t="str">
        <f>HYPERLINK("http://141.218.60.56/~jnz1568/getInfo.php?workbook=06_02.xlsx&amp;sheet=A0&amp;row=819&amp;col=13&amp;number=&amp;sourceID=30","")</f>
        <v/>
      </c>
      <c r="N819" s="4" t="str">
        <f>HYPERLINK("http://141.218.60.56/~jnz1568/getInfo.php?workbook=06_02.xlsx&amp;sheet=A0&amp;row=819&amp;col=14&amp;number=0.03122&amp;sourceID=30","0.03122")</f>
        <v>0.03122</v>
      </c>
      <c r="O819" s="4" t="str">
        <f>HYPERLINK("http://141.218.60.56/~jnz1568/getInfo.php?workbook=06_02.xlsx&amp;sheet=A0&amp;row=819&amp;col=15&amp;number=&amp;sourceID=32","")</f>
        <v/>
      </c>
      <c r="P819" s="4" t="str">
        <f>HYPERLINK("http://141.218.60.56/~jnz1568/getInfo.php?workbook=06_02.xlsx&amp;sheet=A0&amp;row=819&amp;col=16&amp;number=&amp;sourceID=32","")</f>
        <v/>
      </c>
      <c r="Q819" s="4" t="str">
        <f>HYPERLINK("http://141.218.60.56/~jnz1568/getInfo.php?workbook=06_02.xlsx&amp;sheet=A0&amp;row=819&amp;col=17&amp;number=&amp;sourceID=32","")</f>
        <v/>
      </c>
      <c r="R819" s="4" t="str">
        <f>HYPERLINK("http://141.218.60.56/~jnz1568/getInfo.php?workbook=06_02.xlsx&amp;sheet=A0&amp;row=819&amp;col=18&amp;number=&amp;sourceID=32","")</f>
        <v/>
      </c>
    </row>
    <row r="820" spans="1:18">
      <c r="A820" s="3">
        <v>6</v>
      </c>
      <c r="B820" s="3">
        <v>2</v>
      </c>
      <c r="C820" s="3">
        <v>47</v>
      </c>
      <c r="D820" s="3">
        <v>28</v>
      </c>
      <c r="E820" s="3">
        <f>((1/(INDEX(E0!J$4:J$52,C820,1)-INDEX(E0!J$4:J$52,D820,1))))*100000000</f>
        <v>0</v>
      </c>
      <c r="F820" s="4" t="str">
        <f>HYPERLINK("http://141.218.60.56/~jnz1568/getInfo.php?workbook=06_02.xlsx&amp;sheet=A0&amp;row=820&amp;col=6&amp;number=&amp;sourceID=27","")</f>
        <v/>
      </c>
      <c r="G820" s="4" t="str">
        <f>HYPERLINK("http://141.218.60.56/~jnz1568/getInfo.php?workbook=06_02.xlsx&amp;sheet=A0&amp;row=820&amp;col=7&amp;number=&amp;sourceID=34","")</f>
        <v/>
      </c>
      <c r="H820" s="4" t="str">
        <f>HYPERLINK("http://141.218.60.56/~jnz1568/getInfo.php?workbook=06_02.xlsx&amp;sheet=A0&amp;row=820&amp;col=8&amp;number=&amp;sourceID=34","")</f>
        <v/>
      </c>
      <c r="I820" s="4" t="str">
        <f>HYPERLINK("http://141.218.60.56/~jnz1568/getInfo.php?workbook=06_02.xlsx&amp;sheet=A0&amp;row=820&amp;col=9&amp;number=&amp;sourceID=34","")</f>
        <v/>
      </c>
      <c r="J820" s="4" t="str">
        <f>HYPERLINK("http://141.218.60.56/~jnz1568/getInfo.php?workbook=06_02.xlsx&amp;sheet=A0&amp;row=820&amp;col=10&amp;number=&amp;sourceID=34","")</f>
        <v/>
      </c>
      <c r="K820" s="4" t="str">
        <f>HYPERLINK("http://141.218.60.56/~jnz1568/getInfo.php?workbook=06_02.xlsx&amp;sheet=A0&amp;row=820&amp;col=11&amp;number=28150000&amp;sourceID=30","28150000")</f>
        <v>28150000</v>
      </c>
      <c r="L820" s="4" t="str">
        <f>HYPERLINK("http://141.218.60.56/~jnz1568/getInfo.php?workbook=06_02.xlsx&amp;sheet=A0&amp;row=820&amp;col=12&amp;number=&amp;sourceID=30","")</f>
        <v/>
      </c>
      <c r="M820" s="4" t="str">
        <f>HYPERLINK("http://141.218.60.56/~jnz1568/getInfo.php?workbook=06_02.xlsx&amp;sheet=A0&amp;row=820&amp;col=13&amp;number=&amp;sourceID=30","")</f>
        <v/>
      </c>
      <c r="N820" s="4" t="str">
        <f>HYPERLINK("http://141.218.60.56/~jnz1568/getInfo.php?workbook=06_02.xlsx&amp;sheet=A0&amp;row=820&amp;col=14&amp;number=0.01042&amp;sourceID=30","0.01042")</f>
        <v>0.01042</v>
      </c>
      <c r="O820" s="4" t="str">
        <f>HYPERLINK("http://141.218.60.56/~jnz1568/getInfo.php?workbook=06_02.xlsx&amp;sheet=A0&amp;row=820&amp;col=15&amp;number=&amp;sourceID=32","")</f>
        <v/>
      </c>
      <c r="P820" s="4" t="str">
        <f>HYPERLINK("http://141.218.60.56/~jnz1568/getInfo.php?workbook=06_02.xlsx&amp;sheet=A0&amp;row=820&amp;col=16&amp;number=&amp;sourceID=32","")</f>
        <v/>
      </c>
      <c r="Q820" s="4" t="str">
        <f>HYPERLINK("http://141.218.60.56/~jnz1568/getInfo.php?workbook=06_02.xlsx&amp;sheet=A0&amp;row=820&amp;col=17&amp;number=&amp;sourceID=32","")</f>
        <v/>
      </c>
      <c r="R820" s="4" t="str">
        <f>HYPERLINK("http://141.218.60.56/~jnz1568/getInfo.php?workbook=06_02.xlsx&amp;sheet=A0&amp;row=820&amp;col=18&amp;number=&amp;sourceID=32","")</f>
        <v/>
      </c>
    </row>
    <row r="821" spans="1:18">
      <c r="A821" s="3">
        <v>6</v>
      </c>
      <c r="B821" s="3">
        <v>2</v>
      </c>
      <c r="C821" s="3">
        <v>47</v>
      </c>
      <c r="D821" s="3">
        <v>29</v>
      </c>
      <c r="E821" s="3">
        <f>((1/(INDEX(E0!J$4:J$52,C821,1)-INDEX(E0!J$4:J$52,D821,1))))*100000000</f>
        <v>0</v>
      </c>
      <c r="F821" s="4" t="str">
        <f>HYPERLINK("http://141.218.60.56/~jnz1568/getInfo.php?workbook=06_02.xlsx&amp;sheet=A0&amp;row=821&amp;col=6&amp;number=&amp;sourceID=27","")</f>
        <v/>
      </c>
      <c r="G821" s="4" t="str">
        <f>HYPERLINK("http://141.218.60.56/~jnz1568/getInfo.php?workbook=06_02.xlsx&amp;sheet=A0&amp;row=821&amp;col=7&amp;number=&amp;sourceID=34","")</f>
        <v/>
      </c>
      <c r="H821" s="4" t="str">
        <f>HYPERLINK("http://141.218.60.56/~jnz1568/getInfo.php?workbook=06_02.xlsx&amp;sheet=A0&amp;row=821&amp;col=8&amp;number=&amp;sourceID=34","")</f>
        <v/>
      </c>
      <c r="I821" s="4" t="str">
        <f>HYPERLINK("http://141.218.60.56/~jnz1568/getInfo.php?workbook=06_02.xlsx&amp;sheet=A0&amp;row=821&amp;col=9&amp;number=&amp;sourceID=34","")</f>
        <v/>
      </c>
      <c r="J821" s="4" t="str">
        <f>HYPERLINK("http://141.218.60.56/~jnz1568/getInfo.php?workbook=06_02.xlsx&amp;sheet=A0&amp;row=821&amp;col=10&amp;number=&amp;sourceID=34","")</f>
        <v/>
      </c>
      <c r="K821" s="4" t="str">
        <f>HYPERLINK("http://141.218.60.56/~jnz1568/getInfo.php?workbook=06_02.xlsx&amp;sheet=A0&amp;row=821&amp;col=11&amp;number=76290000&amp;sourceID=30","76290000")</f>
        <v>76290000</v>
      </c>
      <c r="L821" s="4" t="str">
        <f>HYPERLINK("http://141.218.60.56/~jnz1568/getInfo.php?workbook=06_02.xlsx&amp;sheet=A0&amp;row=821&amp;col=12&amp;number=&amp;sourceID=30","")</f>
        <v/>
      </c>
      <c r="M821" s="4" t="str">
        <f>HYPERLINK("http://141.218.60.56/~jnz1568/getInfo.php?workbook=06_02.xlsx&amp;sheet=A0&amp;row=821&amp;col=13&amp;number=&amp;sourceID=30","")</f>
        <v/>
      </c>
      <c r="N821" s="4" t="str">
        <f>HYPERLINK("http://141.218.60.56/~jnz1568/getInfo.php?workbook=06_02.xlsx&amp;sheet=A0&amp;row=821&amp;col=14&amp;number=0.02637&amp;sourceID=30","0.02637")</f>
        <v>0.02637</v>
      </c>
      <c r="O821" s="4" t="str">
        <f>HYPERLINK("http://141.218.60.56/~jnz1568/getInfo.php?workbook=06_02.xlsx&amp;sheet=A0&amp;row=821&amp;col=15&amp;number=&amp;sourceID=32","")</f>
        <v/>
      </c>
      <c r="P821" s="4" t="str">
        <f>HYPERLINK("http://141.218.60.56/~jnz1568/getInfo.php?workbook=06_02.xlsx&amp;sheet=A0&amp;row=821&amp;col=16&amp;number=&amp;sourceID=32","")</f>
        <v/>
      </c>
      <c r="Q821" s="4" t="str">
        <f>HYPERLINK("http://141.218.60.56/~jnz1568/getInfo.php?workbook=06_02.xlsx&amp;sheet=A0&amp;row=821&amp;col=17&amp;number=&amp;sourceID=32","")</f>
        <v/>
      </c>
      <c r="R821" s="4" t="str">
        <f>HYPERLINK("http://141.218.60.56/~jnz1568/getInfo.php?workbook=06_02.xlsx&amp;sheet=A0&amp;row=821&amp;col=18&amp;number=&amp;sourceID=32","")</f>
        <v/>
      </c>
    </row>
    <row r="822" spans="1:18">
      <c r="A822" s="3">
        <v>6</v>
      </c>
      <c r="B822" s="3">
        <v>2</v>
      </c>
      <c r="C822" s="3">
        <v>47</v>
      </c>
      <c r="D822" s="3">
        <v>30</v>
      </c>
      <c r="E822" s="3">
        <f>((1/(INDEX(E0!J$4:J$52,C822,1)-INDEX(E0!J$4:J$52,D822,1))))*100000000</f>
        <v>0</v>
      </c>
      <c r="F822" s="4" t="str">
        <f>HYPERLINK("http://141.218.60.56/~jnz1568/getInfo.php?workbook=06_02.xlsx&amp;sheet=A0&amp;row=822&amp;col=6&amp;number=&amp;sourceID=27","")</f>
        <v/>
      </c>
      <c r="G822" s="4" t="str">
        <f>HYPERLINK("http://141.218.60.56/~jnz1568/getInfo.php?workbook=06_02.xlsx&amp;sheet=A0&amp;row=822&amp;col=7&amp;number=&amp;sourceID=34","")</f>
        <v/>
      </c>
      <c r="H822" s="4" t="str">
        <f>HYPERLINK("http://141.218.60.56/~jnz1568/getInfo.php?workbook=06_02.xlsx&amp;sheet=A0&amp;row=822&amp;col=8&amp;number=&amp;sourceID=34","")</f>
        <v/>
      </c>
      <c r="I822" s="4" t="str">
        <f>HYPERLINK("http://141.218.60.56/~jnz1568/getInfo.php?workbook=06_02.xlsx&amp;sheet=A0&amp;row=822&amp;col=9&amp;number=&amp;sourceID=34","")</f>
        <v/>
      </c>
      <c r="J822" s="4" t="str">
        <f>HYPERLINK("http://141.218.60.56/~jnz1568/getInfo.php?workbook=06_02.xlsx&amp;sheet=A0&amp;row=822&amp;col=10&amp;number=&amp;sourceID=34","")</f>
        <v/>
      </c>
      <c r="K822" s="4" t="str">
        <f>HYPERLINK("http://141.218.60.56/~jnz1568/getInfo.php?workbook=06_02.xlsx&amp;sheet=A0&amp;row=822&amp;col=11&amp;number=&amp;sourceID=30","")</f>
        <v/>
      </c>
      <c r="L822" s="4" t="str">
        <f>HYPERLINK("http://141.218.60.56/~jnz1568/getInfo.php?workbook=06_02.xlsx&amp;sheet=A0&amp;row=822&amp;col=12&amp;number=9042&amp;sourceID=30","9042")</f>
        <v>9042</v>
      </c>
      <c r="M822" s="4" t="str">
        <f>HYPERLINK("http://141.218.60.56/~jnz1568/getInfo.php?workbook=06_02.xlsx&amp;sheet=A0&amp;row=822&amp;col=13&amp;number=&amp;sourceID=30","")</f>
        <v/>
      </c>
      <c r="N822" s="4" t="str">
        <f>HYPERLINK("http://141.218.60.56/~jnz1568/getInfo.php?workbook=06_02.xlsx&amp;sheet=A0&amp;row=822&amp;col=14&amp;number=&amp;sourceID=30","")</f>
        <v/>
      </c>
      <c r="O822" s="4" t="str">
        <f>HYPERLINK("http://141.218.60.56/~jnz1568/getInfo.php?workbook=06_02.xlsx&amp;sheet=A0&amp;row=822&amp;col=15&amp;number=&amp;sourceID=32","")</f>
        <v/>
      </c>
      <c r="P822" s="4" t="str">
        <f>HYPERLINK("http://141.218.60.56/~jnz1568/getInfo.php?workbook=06_02.xlsx&amp;sheet=A0&amp;row=822&amp;col=16&amp;number=&amp;sourceID=32","")</f>
        <v/>
      </c>
      <c r="Q822" s="4" t="str">
        <f>HYPERLINK("http://141.218.60.56/~jnz1568/getInfo.php?workbook=06_02.xlsx&amp;sheet=A0&amp;row=822&amp;col=17&amp;number=&amp;sourceID=32","")</f>
        <v/>
      </c>
      <c r="R822" s="4" t="str">
        <f>HYPERLINK("http://141.218.60.56/~jnz1568/getInfo.php?workbook=06_02.xlsx&amp;sheet=A0&amp;row=822&amp;col=18&amp;number=&amp;sourceID=32","")</f>
        <v/>
      </c>
    </row>
    <row r="823" spans="1:18">
      <c r="A823" s="3">
        <v>6</v>
      </c>
      <c r="B823" s="3">
        <v>2</v>
      </c>
      <c r="C823" s="3">
        <v>47</v>
      </c>
      <c r="D823" s="3">
        <v>36</v>
      </c>
      <c r="E823" s="3">
        <f>((1/(INDEX(E0!J$4:J$52,C823,1)-INDEX(E0!J$4:J$52,D823,1))))*100000000</f>
        <v>0</v>
      </c>
      <c r="F823" s="4" t="str">
        <f>HYPERLINK("http://141.218.60.56/~jnz1568/getInfo.php?workbook=06_02.xlsx&amp;sheet=A0&amp;row=823&amp;col=6&amp;number=&amp;sourceID=27","")</f>
        <v/>
      </c>
      <c r="G823" s="4" t="str">
        <f>HYPERLINK("http://141.218.60.56/~jnz1568/getInfo.php?workbook=06_02.xlsx&amp;sheet=A0&amp;row=823&amp;col=7&amp;number=&amp;sourceID=34","")</f>
        <v/>
      </c>
      <c r="H823" s="4" t="str">
        <f>HYPERLINK("http://141.218.60.56/~jnz1568/getInfo.php?workbook=06_02.xlsx&amp;sheet=A0&amp;row=823&amp;col=8&amp;number=&amp;sourceID=34","")</f>
        <v/>
      </c>
      <c r="I823" s="4" t="str">
        <f>HYPERLINK("http://141.218.60.56/~jnz1568/getInfo.php?workbook=06_02.xlsx&amp;sheet=A0&amp;row=823&amp;col=9&amp;number=&amp;sourceID=34","")</f>
        <v/>
      </c>
      <c r="J823" s="4" t="str">
        <f>HYPERLINK("http://141.218.60.56/~jnz1568/getInfo.php?workbook=06_02.xlsx&amp;sheet=A0&amp;row=823&amp;col=10&amp;number=&amp;sourceID=34","")</f>
        <v/>
      </c>
      <c r="K823" s="4" t="str">
        <f>HYPERLINK("http://141.218.60.56/~jnz1568/getInfo.php?workbook=06_02.xlsx&amp;sheet=A0&amp;row=823&amp;col=11&amp;number=&amp;sourceID=30","")</f>
        <v/>
      </c>
      <c r="L823" s="4" t="str">
        <f>HYPERLINK("http://141.218.60.56/~jnz1568/getInfo.php?workbook=06_02.xlsx&amp;sheet=A0&amp;row=823&amp;col=12&amp;number=&amp;sourceID=30","")</f>
        <v/>
      </c>
      <c r="M823" s="4" t="str">
        <f>HYPERLINK("http://141.218.60.56/~jnz1568/getInfo.php?workbook=06_02.xlsx&amp;sheet=A0&amp;row=823&amp;col=13&amp;number=&amp;sourceID=30","")</f>
        <v/>
      </c>
      <c r="N823" s="4" t="str">
        <f>HYPERLINK("http://141.218.60.56/~jnz1568/getInfo.php?workbook=06_02.xlsx&amp;sheet=A0&amp;row=823&amp;col=14&amp;number=0&amp;sourceID=30","0")</f>
        <v>0</v>
      </c>
      <c r="O823" s="4" t="str">
        <f>HYPERLINK("http://141.218.60.56/~jnz1568/getInfo.php?workbook=06_02.xlsx&amp;sheet=A0&amp;row=823&amp;col=15&amp;number=&amp;sourceID=32","")</f>
        <v/>
      </c>
      <c r="P823" s="4" t="str">
        <f>HYPERLINK("http://141.218.60.56/~jnz1568/getInfo.php?workbook=06_02.xlsx&amp;sheet=A0&amp;row=823&amp;col=16&amp;number=&amp;sourceID=32","")</f>
        <v/>
      </c>
      <c r="Q823" s="4" t="str">
        <f>HYPERLINK("http://141.218.60.56/~jnz1568/getInfo.php?workbook=06_02.xlsx&amp;sheet=A0&amp;row=823&amp;col=17&amp;number=&amp;sourceID=32","")</f>
        <v/>
      </c>
      <c r="R823" s="4" t="str">
        <f>HYPERLINK("http://141.218.60.56/~jnz1568/getInfo.php?workbook=06_02.xlsx&amp;sheet=A0&amp;row=823&amp;col=18&amp;number=&amp;sourceID=32","")</f>
        <v/>
      </c>
    </row>
    <row r="824" spans="1:18">
      <c r="A824" s="3">
        <v>6</v>
      </c>
      <c r="B824" s="3">
        <v>2</v>
      </c>
      <c r="C824" s="3">
        <v>47</v>
      </c>
      <c r="D824" s="3">
        <v>38</v>
      </c>
      <c r="E824" s="3">
        <f>((1/(INDEX(E0!J$4:J$52,C824,1)-INDEX(E0!J$4:J$52,D824,1))))*100000000</f>
        <v>0</v>
      </c>
      <c r="F824" s="4" t="str">
        <f>HYPERLINK("http://141.218.60.56/~jnz1568/getInfo.php?workbook=06_02.xlsx&amp;sheet=A0&amp;row=824&amp;col=6&amp;number=&amp;sourceID=27","")</f>
        <v/>
      </c>
      <c r="G824" s="4" t="str">
        <f>HYPERLINK("http://141.218.60.56/~jnz1568/getInfo.php?workbook=06_02.xlsx&amp;sheet=A0&amp;row=824&amp;col=7&amp;number=&amp;sourceID=34","")</f>
        <v/>
      </c>
      <c r="H824" s="4" t="str">
        <f>HYPERLINK("http://141.218.60.56/~jnz1568/getInfo.php?workbook=06_02.xlsx&amp;sheet=A0&amp;row=824&amp;col=8&amp;number=&amp;sourceID=34","")</f>
        <v/>
      </c>
      <c r="I824" s="4" t="str">
        <f>HYPERLINK("http://141.218.60.56/~jnz1568/getInfo.php?workbook=06_02.xlsx&amp;sheet=A0&amp;row=824&amp;col=9&amp;number=&amp;sourceID=34","")</f>
        <v/>
      </c>
      <c r="J824" s="4" t="str">
        <f>HYPERLINK("http://141.218.60.56/~jnz1568/getInfo.php?workbook=06_02.xlsx&amp;sheet=A0&amp;row=824&amp;col=10&amp;number=&amp;sourceID=34","")</f>
        <v/>
      </c>
      <c r="K824" s="4" t="str">
        <f>HYPERLINK("http://141.218.60.56/~jnz1568/getInfo.php?workbook=06_02.xlsx&amp;sheet=A0&amp;row=824&amp;col=11&amp;number=&amp;sourceID=30","")</f>
        <v/>
      </c>
      <c r="L824" s="4" t="str">
        <f>HYPERLINK("http://141.218.60.56/~jnz1568/getInfo.php?workbook=06_02.xlsx&amp;sheet=A0&amp;row=824&amp;col=12&amp;number=1.042e-11&amp;sourceID=30","1.042e-11")</f>
        <v>1.042e-11</v>
      </c>
      <c r="M824" s="4" t="str">
        <f>HYPERLINK("http://141.218.60.56/~jnz1568/getInfo.php?workbook=06_02.xlsx&amp;sheet=A0&amp;row=824&amp;col=13&amp;number=&amp;sourceID=30","")</f>
        <v/>
      </c>
      <c r="N824" s="4" t="str">
        <f>HYPERLINK("http://141.218.60.56/~jnz1568/getInfo.php?workbook=06_02.xlsx&amp;sheet=A0&amp;row=824&amp;col=14&amp;number=&amp;sourceID=30","")</f>
        <v/>
      </c>
      <c r="O824" s="4" t="str">
        <f>HYPERLINK("http://141.218.60.56/~jnz1568/getInfo.php?workbook=06_02.xlsx&amp;sheet=A0&amp;row=824&amp;col=15&amp;number=&amp;sourceID=32","")</f>
        <v/>
      </c>
      <c r="P824" s="4" t="str">
        <f>HYPERLINK("http://141.218.60.56/~jnz1568/getInfo.php?workbook=06_02.xlsx&amp;sheet=A0&amp;row=824&amp;col=16&amp;number=&amp;sourceID=32","")</f>
        <v/>
      </c>
      <c r="Q824" s="4" t="str">
        <f>HYPERLINK("http://141.218.60.56/~jnz1568/getInfo.php?workbook=06_02.xlsx&amp;sheet=A0&amp;row=824&amp;col=17&amp;number=&amp;sourceID=32","")</f>
        <v/>
      </c>
      <c r="R824" s="4" t="str">
        <f>HYPERLINK("http://141.218.60.56/~jnz1568/getInfo.php?workbook=06_02.xlsx&amp;sheet=A0&amp;row=824&amp;col=18&amp;number=&amp;sourceID=32","")</f>
        <v/>
      </c>
    </row>
    <row r="825" spans="1:18">
      <c r="A825" s="3">
        <v>6</v>
      </c>
      <c r="B825" s="3">
        <v>2</v>
      </c>
      <c r="C825" s="3">
        <v>47</v>
      </c>
      <c r="D825" s="3">
        <v>39</v>
      </c>
      <c r="E825" s="3">
        <f>((1/(INDEX(E0!J$4:J$52,C825,1)-INDEX(E0!J$4:J$52,D825,1))))*100000000</f>
        <v>0</v>
      </c>
      <c r="F825" s="4" t="str">
        <f>HYPERLINK("http://141.218.60.56/~jnz1568/getInfo.php?workbook=06_02.xlsx&amp;sheet=A0&amp;row=825&amp;col=6&amp;number=&amp;sourceID=27","")</f>
        <v/>
      </c>
      <c r="G825" s="4" t="str">
        <f>HYPERLINK("http://141.218.60.56/~jnz1568/getInfo.php?workbook=06_02.xlsx&amp;sheet=A0&amp;row=825&amp;col=7&amp;number=&amp;sourceID=34","")</f>
        <v/>
      </c>
      <c r="H825" s="4" t="str">
        <f>HYPERLINK("http://141.218.60.56/~jnz1568/getInfo.php?workbook=06_02.xlsx&amp;sheet=A0&amp;row=825&amp;col=8&amp;number=&amp;sourceID=34","")</f>
        <v/>
      </c>
      <c r="I825" s="4" t="str">
        <f>HYPERLINK("http://141.218.60.56/~jnz1568/getInfo.php?workbook=06_02.xlsx&amp;sheet=A0&amp;row=825&amp;col=9&amp;number=&amp;sourceID=34","")</f>
        <v/>
      </c>
      <c r="J825" s="4" t="str">
        <f>HYPERLINK("http://141.218.60.56/~jnz1568/getInfo.php?workbook=06_02.xlsx&amp;sheet=A0&amp;row=825&amp;col=10&amp;number=&amp;sourceID=34","")</f>
        <v/>
      </c>
      <c r="K825" s="4" t="str">
        <f>HYPERLINK("http://141.218.60.56/~jnz1568/getInfo.php?workbook=06_02.xlsx&amp;sheet=A0&amp;row=825&amp;col=11&amp;number=&amp;sourceID=30","")</f>
        <v/>
      </c>
      <c r="L825" s="4" t="str">
        <f>HYPERLINK("http://141.218.60.56/~jnz1568/getInfo.php?workbook=06_02.xlsx&amp;sheet=A0&amp;row=825&amp;col=12&amp;number=1.904e-12&amp;sourceID=30","1.904e-12")</f>
        <v>1.904e-12</v>
      </c>
      <c r="M825" s="4" t="str">
        <f>HYPERLINK("http://141.218.60.56/~jnz1568/getInfo.php?workbook=06_02.xlsx&amp;sheet=A0&amp;row=825&amp;col=13&amp;number=0&amp;sourceID=30","0")</f>
        <v>0</v>
      </c>
      <c r="N825" s="4" t="str">
        <f>HYPERLINK("http://141.218.60.56/~jnz1568/getInfo.php?workbook=06_02.xlsx&amp;sheet=A0&amp;row=825&amp;col=14&amp;number=&amp;sourceID=30","")</f>
        <v/>
      </c>
      <c r="O825" s="4" t="str">
        <f>HYPERLINK("http://141.218.60.56/~jnz1568/getInfo.php?workbook=06_02.xlsx&amp;sheet=A0&amp;row=825&amp;col=15&amp;number=&amp;sourceID=32","")</f>
        <v/>
      </c>
      <c r="P825" s="4" t="str">
        <f>HYPERLINK("http://141.218.60.56/~jnz1568/getInfo.php?workbook=06_02.xlsx&amp;sheet=A0&amp;row=825&amp;col=16&amp;number=&amp;sourceID=32","")</f>
        <v/>
      </c>
      <c r="Q825" s="4" t="str">
        <f>HYPERLINK("http://141.218.60.56/~jnz1568/getInfo.php?workbook=06_02.xlsx&amp;sheet=A0&amp;row=825&amp;col=17&amp;number=&amp;sourceID=32","")</f>
        <v/>
      </c>
      <c r="R825" s="4" t="str">
        <f>HYPERLINK("http://141.218.60.56/~jnz1568/getInfo.php?workbook=06_02.xlsx&amp;sheet=A0&amp;row=825&amp;col=18&amp;number=&amp;sourceID=32","")</f>
        <v/>
      </c>
    </row>
    <row r="826" spans="1:18">
      <c r="A826" s="3">
        <v>6</v>
      </c>
      <c r="B826" s="3">
        <v>2</v>
      </c>
      <c r="C826" s="3">
        <v>47</v>
      </c>
      <c r="D826" s="3">
        <v>40</v>
      </c>
      <c r="E826" s="3">
        <f>((1/(INDEX(E0!J$4:J$52,C826,1)-INDEX(E0!J$4:J$52,D826,1))))*100000000</f>
        <v>0</v>
      </c>
      <c r="F826" s="4" t="str">
        <f>HYPERLINK("http://141.218.60.56/~jnz1568/getInfo.php?workbook=06_02.xlsx&amp;sheet=A0&amp;row=826&amp;col=6&amp;number=&amp;sourceID=27","")</f>
        <v/>
      </c>
      <c r="G826" s="4" t="str">
        <f>HYPERLINK("http://141.218.60.56/~jnz1568/getInfo.php?workbook=06_02.xlsx&amp;sheet=A0&amp;row=826&amp;col=7&amp;number=&amp;sourceID=34","")</f>
        <v/>
      </c>
      <c r="H826" s="4" t="str">
        <f>HYPERLINK("http://141.218.60.56/~jnz1568/getInfo.php?workbook=06_02.xlsx&amp;sheet=A0&amp;row=826&amp;col=8&amp;number=&amp;sourceID=34","")</f>
        <v/>
      </c>
      <c r="I826" s="4" t="str">
        <f>HYPERLINK("http://141.218.60.56/~jnz1568/getInfo.php?workbook=06_02.xlsx&amp;sheet=A0&amp;row=826&amp;col=9&amp;number=&amp;sourceID=34","")</f>
        <v/>
      </c>
      <c r="J826" s="4" t="str">
        <f>HYPERLINK("http://141.218.60.56/~jnz1568/getInfo.php?workbook=06_02.xlsx&amp;sheet=A0&amp;row=826&amp;col=10&amp;number=&amp;sourceID=34","")</f>
        <v/>
      </c>
      <c r="K826" s="4" t="str">
        <f>HYPERLINK("http://141.218.60.56/~jnz1568/getInfo.php?workbook=06_02.xlsx&amp;sheet=A0&amp;row=826&amp;col=11&amp;number=&amp;sourceID=30","")</f>
        <v/>
      </c>
      <c r="L826" s="4" t="str">
        <f>HYPERLINK("http://141.218.60.56/~jnz1568/getInfo.php?workbook=06_02.xlsx&amp;sheet=A0&amp;row=826&amp;col=12&amp;number=&amp;sourceID=30","")</f>
        <v/>
      </c>
      <c r="M826" s="4" t="str">
        <f>HYPERLINK("http://141.218.60.56/~jnz1568/getInfo.php?workbook=06_02.xlsx&amp;sheet=A0&amp;row=826&amp;col=13&amp;number=&amp;sourceID=30","")</f>
        <v/>
      </c>
      <c r="N826" s="4" t="str">
        <f>HYPERLINK("http://141.218.60.56/~jnz1568/getInfo.php?workbook=06_02.xlsx&amp;sheet=A0&amp;row=826&amp;col=14&amp;number=0&amp;sourceID=30","0")</f>
        <v>0</v>
      </c>
      <c r="O826" s="4" t="str">
        <f>HYPERLINK("http://141.218.60.56/~jnz1568/getInfo.php?workbook=06_02.xlsx&amp;sheet=A0&amp;row=826&amp;col=15&amp;number=&amp;sourceID=32","")</f>
        <v/>
      </c>
      <c r="P826" s="4" t="str">
        <f>HYPERLINK("http://141.218.60.56/~jnz1568/getInfo.php?workbook=06_02.xlsx&amp;sheet=A0&amp;row=826&amp;col=16&amp;number=&amp;sourceID=32","")</f>
        <v/>
      </c>
      <c r="Q826" s="4" t="str">
        <f>HYPERLINK("http://141.218.60.56/~jnz1568/getInfo.php?workbook=06_02.xlsx&amp;sheet=A0&amp;row=826&amp;col=17&amp;number=&amp;sourceID=32","")</f>
        <v/>
      </c>
      <c r="R826" s="4" t="str">
        <f>HYPERLINK("http://141.218.60.56/~jnz1568/getInfo.php?workbook=06_02.xlsx&amp;sheet=A0&amp;row=826&amp;col=18&amp;number=&amp;sourceID=32","")</f>
        <v/>
      </c>
    </row>
    <row r="827" spans="1:18">
      <c r="A827" s="3">
        <v>6</v>
      </c>
      <c r="B827" s="3">
        <v>2</v>
      </c>
      <c r="C827" s="3">
        <v>47</v>
      </c>
      <c r="D827" s="3">
        <v>41</v>
      </c>
      <c r="E827" s="3">
        <f>((1/(INDEX(E0!J$4:J$52,C827,1)-INDEX(E0!J$4:J$52,D827,1))))*100000000</f>
        <v>0</v>
      </c>
      <c r="F827" s="4" t="str">
        <f>HYPERLINK("http://141.218.60.56/~jnz1568/getInfo.php?workbook=06_02.xlsx&amp;sheet=A0&amp;row=827&amp;col=6&amp;number=&amp;sourceID=27","")</f>
        <v/>
      </c>
      <c r="G827" s="4" t="str">
        <f>HYPERLINK("http://141.218.60.56/~jnz1568/getInfo.php?workbook=06_02.xlsx&amp;sheet=A0&amp;row=827&amp;col=7&amp;number=&amp;sourceID=34","")</f>
        <v/>
      </c>
      <c r="H827" s="4" t="str">
        <f>HYPERLINK("http://141.218.60.56/~jnz1568/getInfo.php?workbook=06_02.xlsx&amp;sheet=A0&amp;row=827&amp;col=8&amp;number=&amp;sourceID=34","")</f>
        <v/>
      </c>
      <c r="I827" s="4" t="str">
        <f>HYPERLINK("http://141.218.60.56/~jnz1568/getInfo.php?workbook=06_02.xlsx&amp;sheet=A0&amp;row=827&amp;col=9&amp;number=&amp;sourceID=34","")</f>
        <v/>
      </c>
      <c r="J827" s="4" t="str">
        <f>HYPERLINK("http://141.218.60.56/~jnz1568/getInfo.php?workbook=06_02.xlsx&amp;sheet=A0&amp;row=827&amp;col=10&amp;number=&amp;sourceID=34","")</f>
        <v/>
      </c>
      <c r="K827" s="4" t="str">
        <f>HYPERLINK("http://141.218.60.56/~jnz1568/getInfo.php?workbook=06_02.xlsx&amp;sheet=A0&amp;row=827&amp;col=11&amp;number=6.031e-05&amp;sourceID=30","6.031e-05")</f>
        <v>6.031e-05</v>
      </c>
      <c r="L827" s="4" t="str">
        <f>HYPERLINK("http://141.218.60.56/~jnz1568/getInfo.php?workbook=06_02.xlsx&amp;sheet=A0&amp;row=827&amp;col=12&amp;number=&amp;sourceID=30","")</f>
        <v/>
      </c>
      <c r="M827" s="4" t="str">
        <f>HYPERLINK("http://141.218.60.56/~jnz1568/getInfo.php?workbook=06_02.xlsx&amp;sheet=A0&amp;row=827&amp;col=13&amp;number=&amp;sourceID=30","")</f>
        <v/>
      </c>
      <c r="N827" s="4" t="str">
        <f>HYPERLINK("http://141.218.60.56/~jnz1568/getInfo.php?workbook=06_02.xlsx&amp;sheet=A0&amp;row=827&amp;col=14&amp;number=0&amp;sourceID=30","0")</f>
        <v>0</v>
      </c>
      <c r="O827" s="4" t="str">
        <f>HYPERLINK("http://141.218.60.56/~jnz1568/getInfo.php?workbook=06_02.xlsx&amp;sheet=A0&amp;row=827&amp;col=15&amp;number=&amp;sourceID=32","")</f>
        <v/>
      </c>
      <c r="P827" s="4" t="str">
        <f>HYPERLINK("http://141.218.60.56/~jnz1568/getInfo.php?workbook=06_02.xlsx&amp;sheet=A0&amp;row=827&amp;col=16&amp;number=&amp;sourceID=32","")</f>
        <v/>
      </c>
      <c r="Q827" s="4" t="str">
        <f>HYPERLINK("http://141.218.60.56/~jnz1568/getInfo.php?workbook=06_02.xlsx&amp;sheet=A0&amp;row=827&amp;col=17&amp;number=&amp;sourceID=32","")</f>
        <v/>
      </c>
      <c r="R827" s="4" t="str">
        <f>HYPERLINK("http://141.218.60.56/~jnz1568/getInfo.php?workbook=06_02.xlsx&amp;sheet=A0&amp;row=827&amp;col=18&amp;number=&amp;sourceID=32","")</f>
        <v/>
      </c>
    </row>
    <row r="828" spans="1:18">
      <c r="A828" s="3">
        <v>6</v>
      </c>
      <c r="B828" s="3">
        <v>2</v>
      </c>
      <c r="C828" s="3">
        <v>47</v>
      </c>
      <c r="D828" s="3">
        <v>42</v>
      </c>
      <c r="E828" s="3">
        <f>((1/(INDEX(E0!J$4:J$52,C828,1)-INDEX(E0!J$4:J$52,D828,1))))*100000000</f>
        <v>0</v>
      </c>
      <c r="F828" s="4" t="str">
        <f>HYPERLINK("http://141.218.60.56/~jnz1568/getInfo.php?workbook=06_02.xlsx&amp;sheet=A0&amp;row=828&amp;col=6&amp;number=&amp;sourceID=27","")</f>
        <v/>
      </c>
      <c r="G828" s="4" t="str">
        <f>HYPERLINK("http://141.218.60.56/~jnz1568/getInfo.php?workbook=06_02.xlsx&amp;sheet=A0&amp;row=828&amp;col=7&amp;number=&amp;sourceID=34","")</f>
        <v/>
      </c>
      <c r="H828" s="4" t="str">
        <f>HYPERLINK("http://141.218.60.56/~jnz1568/getInfo.php?workbook=06_02.xlsx&amp;sheet=A0&amp;row=828&amp;col=8&amp;number=&amp;sourceID=34","")</f>
        <v/>
      </c>
      <c r="I828" s="4" t="str">
        <f>HYPERLINK("http://141.218.60.56/~jnz1568/getInfo.php?workbook=06_02.xlsx&amp;sheet=A0&amp;row=828&amp;col=9&amp;number=&amp;sourceID=34","")</f>
        <v/>
      </c>
      <c r="J828" s="4" t="str">
        <f>HYPERLINK("http://141.218.60.56/~jnz1568/getInfo.php?workbook=06_02.xlsx&amp;sheet=A0&amp;row=828&amp;col=10&amp;number=&amp;sourceID=34","")</f>
        <v/>
      </c>
      <c r="K828" s="4" t="str">
        <f>HYPERLINK("http://141.218.60.56/~jnz1568/getInfo.php?workbook=06_02.xlsx&amp;sheet=A0&amp;row=828&amp;col=11&amp;number=1.33e-05&amp;sourceID=30","1.33e-05")</f>
        <v>1.33e-05</v>
      </c>
      <c r="L828" s="4" t="str">
        <f>HYPERLINK("http://141.218.60.56/~jnz1568/getInfo.php?workbook=06_02.xlsx&amp;sheet=A0&amp;row=828&amp;col=12&amp;number=&amp;sourceID=30","")</f>
        <v/>
      </c>
      <c r="M828" s="4" t="str">
        <f>HYPERLINK("http://141.218.60.56/~jnz1568/getInfo.php?workbook=06_02.xlsx&amp;sheet=A0&amp;row=828&amp;col=13&amp;number=&amp;sourceID=30","")</f>
        <v/>
      </c>
      <c r="N828" s="4" t="str">
        <f>HYPERLINK("http://141.218.60.56/~jnz1568/getInfo.php?workbook=06_02.xlsx&amp;sheet=A0&amp;row=828&amp;col=14&amp;number=0&amp;sourceID=30","0")</f>
        <v>0</v>
      </c>
      <c r="O828" s="4" t="str">
        <f>HYPERLINK("http://141.218.60.56/~jnz1568/getInfo.php?workbook=06_02.xlsx&amp;sheet=A0&amp;row=828&amp;col=15&amp;number=&amp;sourceID=32","")</f>
        <v/>
      </c>
      <c r="P828" s="4" t="str">
        <f>HYPERLINK("http://141.218.60.56/~jnz1568/getInfo.php?workbook=06_02.xlsx&amp;sheet=A0&amp;row=828&amp;col=16&amp;number=&amp;sourceID=32","")</f>
        <v/>
      </c>
      <c r="Q828" s="4" t="str">
        <f>HYPERLINK("http://141.218.60.56/~jnz1568/getInfo.php?workbook=06_02.xlsx&amp;sheet=A0&amp;row=828&amp;col=17&amp;number=&amp;sourceID=32","")</f>
        <v/>
      </c>
      <c r="R828" s="4" t="str">
        <f>HYPERLINK("http://141.218.60.56/~jnz1568/getInfo.php?workbook=06_02.xlsx&amp;sheet=A0&amp;row=828&amp;col=18&amp;number=&amp;sourceID=32","")</f>
        <v/>
      </c>
    </row>
    <row r="829" spans="1:18">
      <c r="A829" s="3">
        <v>6</v>
      </c>
      <c r="B829" s="3">
        <v>2</v>
      </c>
      <c r="C829" s="3">
        <v>47</v>
      </c>
      <c r="D829" s="3">
        <v>43</v>
      </c>
      <c r="E829" s="3">
        <f>((1/(INDEX(E0!J$4:J$52,C829,1)-INDEX(E0!J$4:J$52,D829,1))))*100000000</f>
        <v>0</v>
      </c>
      <c r="F829" s="4" t="str">
        <f>HYPERLINK("http://141.218.60.56/~jnz1568/getInfo.php?workbook=06_02.xlsx&amp;sheet=A0&amp;row=829&amp;col=6&amp;number=&amp;sourceID=27","")</f>
        <v/>
      </c>
      <c r="G829" s="4" t="str">
        <f>HYPERLINK("http://141.218.60.56/~jnz1568/getInfo.php?workbook=06_02.xlsx&amp;sheet=A0&amp;row=829&amp;col=7&amp;number=&amp;sourceID=34","")</f>
        <v/>
      </c>
      <c r="H829" s="4" t="str">
        <f>HYPERLINK("http://141.218.60.56/~jnz1568/getInfo.php?workbook=06_02.xlsx&amp;sheet=A0&amp;row=829&amp;col=8&amp;number=&amp;sourceID=34","")</f>
        <v/>
      </c>
      <c r="I829" s="4" t="str">
        <f>HYPERLINK("http://141.218.60.56/~jnz1568/getInfo.php?workbook=06_02.xlsx&amp;sheet=A0&amp;row=829&amp;col=9&amp;number=&amp;sourceID=34","")</f>
        <v/>
      </c>
      <c r="J829" s="4" t="str">
        <f>HYPERLINK("http://141.218.60.56/~jnz1568/getInfo.php?workbook=06_02.xlsx&amp;sheet=A0&amp;row=829&amp;col=10&amp;number=&amp;sourceID=34","")</f>
        <v/>
      </c>
      <c r="K829" s="4" t="str">
        <f>HYPERLINK("http://141.218.60.56/~jnz1568/getInfo.php?workbook=06_02.xlsx&amp;sheet=A0&amp;row=829&amp;col=11&amp;number=3.72e-05&amp;sourceID=30","3.72e-05")</f>
        <v>3.72e-05</v>
      </c>
      <c r="L829" s="4" t="str">
        <f>HYPERLINK("http://141.218.60.56/~jnz1568/getInfo.php?workbook=06_02.xlsx&amp;sheet=A0&amp;row=829&amp;col=12&amp;number=&amp;sourceID=30","")</f>
        <v/>
      </c>
      <c r="M829" s="4" t="str">
        <f>HYPERLINK("http://141.218.60.56/~jnz1568/getInfo.php?workbook=06_02.xlsx&amp;sheet=A0&amp;row=829&amp;col=13&amp;number=&amp;sourceID=30","")</f>
        <v/>
      </c>
      <c r="N829" s="4" t="str">
        <f>HYPERLINK("http://141.218.60.56/~jnz1568/getInfo.php?workbook=06_02.xlsx&amp;sheet=A0&amp;row=829&amp;col=14&amp;number=0&amp;sourceID=30","0")</f>
        <v>0</v>
      </c>
      <c r="O829" s="4" t="str">
        <f>HYPERLINK("http://141.218.60.56/~jnz1568/getInfo.php?workbook=06_02.xlsx&amp;sheet=A0&amp;row=829&amp;col=15&amp;number=&amp;sourceID=32","")</f>
        <v/>
      </c>
      <c r="P829" s="4" t="str">
        <f>HYPERLINK("http://141.218.60.56/~jnz1568/getInfo.php?workbook=06_02.xlsx&amp;sheet=A0&amp;row=829&amp;col=16&amp;number=&amp;sourceID=32","")</f>
        <v/>
      </c>
      <c r="Q829" s="4" t="str">
        <f>HYPERLINK("http://141.218.60.56/~jnz1568/getInfo.php?workbook=06_02.xlsx&amp;sheet=A0&amp;row=829&amp;col=17&amp;number=&amp;sourceID=32","")</f>
        <v/>
      </c>
      <c r="R829" s="4" t="str">
        <f>HYPERLINK("http://141.218.60.56/~jnz1568/getInfo.php?workbook=06_02.xlsx&amp;sheet=A0&amp;row=829&amp;col=18&amp;number=&amp;sourceID=32","")</f>
        <v/>
      </c>
    </row>
    <row r="830" spans="1:18">
      <c r="A830" s="3">
        <v>6</v>
      </c>
      <c r="B830" s="3">
        <v>2</v>
      </c>
      <c r="C830" s="3">
        <v>47</v>
      </c>
      <c r="D830" s="3">
        <v>44</v>
      </c>
      <c r="E830" s="3"/>
      <c r="F830" s="4" t="str">
        <f>HYPERLINK("http://141.218.60.56/~jnz1568/getInfo.php?workbook=06_02.xlsx&amp;sheet=A0&amp;row=830&amp;col=6&amp;number=&amp;sourceID=27","")</f>
        <v/>
      </c>
      <c r="G830" s="4" t="str">
        <f>HYPERLINK("http://141.218.60.56/~jnz1568/getInfo.php?workbook=06_02.xlsx&amp;sheet=A0&amp;row=830&amp;col=7&amp;number=&amp;sourceID=34","")</f>
        <v/>
      </c>
      <c r="H830" s="4" t="str">
        <f>HYPERLINK("http://141.218.60.56/~jnz1568/getInfo.php?workbook=06_02.xlsx&amp;sheet=A0&amp;row=830&amp;col=8&amp;number=&amp;sourceID=34","")</f>
        <v/>
      </c>
      <c r="I830" s="4" t="str">
        <f>HYPERLINK("http://141.218.60.56/~jnz1568/getInfo.php?workbook=06_02.xlsx&amp;sheet=A0&amp;row=830&amp;col=9&amp;number=&amp;sourceID=34","")</f>
        <v/>
      </c>
      <c r="J830" s="4" t="str">
        <f>HYPERLINK("http://141.218.60.56/~jnz1568/getInfo.php?workbook=06_02.xlsx&amp;sheet=A0&amp;row=830&amp;col=10&amp;number=&amp;sourceID=34","")</f>
        <v/>
      </c>
      <c r="K830" s="4" t="str">
        <f>HYPERLINK("http://141.218.60.56/~jnz1568/getInfo.php?workbook=06_02.xlsx&amp;sheet=A0&amp;row=830&amp;col=11&amp;number=&amp;sourceID=30","")</f>
        <v/>
      </c>
      <c r="L830" s="4" t="str">
        <f>HYPERLINK("http://141.218.60.56/~jnz1568/getInfo.php?workbook=06_02.xlsx&amp;sheet=A0&amp;row=830&amp;col=12&amp;number=0&amp;sourceID=30","0")</f>
        <v>0</v>
      </c>
      <c r="M830" s="4" t="str">
        <f>HYPERLINK("http://141.218.60.56/~jnz1568/getInfo.php?workbook=06_02.xlsx&amp;sheet=A0&amp;row=830&amp;col=13&amp;number=3.177e-11&amp;sourceID=30","3.177e-11")</f>
        <v>3.177e-11</v>
      </c>
      <c r="N830" s="4" t="str">
        <f>HYPERLINK("http://141.218.60.56/~jnz1568/getInfo.php?workbook=06_02.xlsx&amp;sheet=A0&amp;row=830&amp;col=14&amp;number=&amp;sourceID=30","")</f>
        <v/>
      </c>
      <c r="O830" s="4" t="str">
        <f>HYPERLINK("http://141.218.60.56/~jnz1568/getInfo.php?workbook=06_02.xlsx&amp;sheet=A0&amp;row=830&amp;col=15&amp;number=&amp;sourceID=32","")</f>
        <v/>
      </c>
      <c r="P830" s="4" t="str">
        <f>HYPERLINK("http://141.218.60.56/~jnz1568/getInfo.php?workbook=06_02.xlsx&amp;sheet=A0&amp;row=830&amp;col=16&amp;number=&amp;sourceID=32","")</f>
        <v/>
      </c>
      <c r="Q830" s="4" t="str">
        <f>HYPERLINK("http://141.218.60.56/~jnz1568/getInfo.php?workbook=06_02.xlsx&amp;sheet=A0&amp;row=830&amp;col=17&amp;number=&amp;sourceID=32","")</f>
        <v/>
      </c>
      <c r="R830" s="4" t="str">
        <f>HYPERLINK("http://141.218.60.56/~jnz1568/getInfo.php?workbook=06_02.xlsx&amp;sheet=A0&amp;row=830&amp;col=18&amp;number=&amp;sourceID=32","")</f>
        <v/>
      </c>
    </row>
    <row r="831" spans="1:18">
      <c r="A831" s="3">
        <v>6</v>
      </c>
      <c r="B831" s="3">
        <v>2</v>
      </c>
      <c r="C831" s="3">
        <v>47</v>
      </c>
      <c r="D831" s="3">
        <v>45</v>
      </c>
      <c r="E831" s="3"/>
      <c r="F831" s="4" t="str">
        <f>HYPERLINK("http://141.218.60.56/~jnz1568/getInfo.php?workbook=06_02.xlsx&amp;sheet=A0&amp;row=831&amp;col=6&amp;number=&amp;sourceID=27","")</f>
        <v/>
      </c>
      <c r="G831" s="4" t="str">
        <f>HYPERLINK("http://141.218.60.56/~jnz1568/getInfo.php?workbook=06_02.xlsx&amp;sheet=A0&amp;row=831&amp;col=7&amp;number=&amp;sourceID=34","")</f>
        <v/>
      </c>
      <c r="H831" s="4" t="str">
        <f>HYPERLINK("http://141.218.60.56/~jnz1568/getInfo.php?workbook=06_02.xlsx&amp;sheet=A0&amp;row=831&amp;col=8&amp;number=&amp;sourceID=34","")</f>
        <v/>
      </c>
      <c r="I831" s="4" t="str">
        <f>HYPERLINK("http://141.218.60.56/~jnz1568/getInfo.php?workbook=06_02.xlsx&amp;sheet=A0&amp;row=831&amp;col=9&amp;number=&amp;sourceID=34","")</f>
        <v/>
      </c>
      <c r="J831" s="4" t="str">
        <f>HYPERLINK("http://141.218.60.56/~jnz1568/getInfo.php?workbook=06_02.xlsx&amp;sheet=A0&amp;row=831&amp;col=10&amp;number=&amp;sourceID=34","")</f>
        <v/>
      </c>
      <c r="K831" s="4" t="str">
        <f>HYPERLINK("http://141.218.60.56/~jnz1568/getInfo.php?workbook=06_02.xlsx&amp;sheet=A0&amp;row=831&amp;col=11&amp;number=&amp;sourceID=30","")</f>
        <v/>
      </c>
      <c r="L831" s="4" t="str">
        <f>HYPERLINK("http://141.218.60.56/~jnz1568/getInfo.php?workbook=06_02.xlsx&amp;sheet=A0&amp;row=831&amp;col=12&amp;number=0&amp;sourceID=30","0")</f>
        <v>0</v>
      </c>
      <c r="M831" s="4" t="str">
        <f>HYPERLINK("http://141.218.60.56/~jnz1568/getInfo.php?workbook=06_02.xlsx&amp;sheet=A0&amp;row=831&amp;col=13&amp;number=2.839e-12&amp;sourceID=30","2.839e-12")</f>
        <v>2.839e-12</v>
      </c>
      <c r="N831" s="4" t="str">
        <f>HYPERLINK("http://141.218.60.56/~jnz1568/getInfo.php?workbook=06_02.xlsx&amp;sheet=A0&amp;row=831&amp;col=14&amp;number=&amp;sourceID=30","")</f>
        <v/>
      </c>
      <c r="O831" s="4" t="str">
        <f>HYPERLINK("http://141.218.60.56/~jnz1568/getInfo.php?workbook=06_02.xlsx&amp;sheet=A0&amp;row=831&amp;col=15&amp;number=&amp;sourceID=32","")</f>
        <v/>
      </c>
      <c r="P831" s="4" t="str">
        <f>HYPERLINK("http://141.218.60.56/~jnz1568/getInfo.php?workbook=06_02.xlsx&amp;sheet=A0&amp;row=831&amp;col=16&amp;number=&amp;sourceID=32","")</f>
        <v/>
      </c>
      <c r="Q831" s="4" t="str">
        <f>HYPERLINK("http://141.218.60.56/~jnz1568/getInfo.php?workbook=06_02.xlsx&amp;sheet=A0&amp;row=831&amp;col=17&amp;number=&amp;sourceID=32","")</f>
        <v/>
      </c>
      <c r="R831" s="4" t="str">
        <f>HYPERLINK("http://141.218.60.56/~jnz1568/getInfo.php?workbook=06_02.xlsx&amp;sheet=A0&amp;row=831&amp;col=18&amp;number=&amp;sourceID=32","")</f>
        <v/>
      </c>
    </row>
    <row r="832" spans="1:18">
      <c r="A832" s="3">
        <v>6</v>
      </c>
      <c r="B832" s="3">
        <v>2</v>
      </c>
      <c r="C832" s="3">
        <v>47</v>
      </c>
      <c r="D832" s="3">
        <v>46</v>
      </c>
      <c r="E832" s="3"/>
      <c r="F832" s="4" t="str">
        <f>HYPERLINK("http://141.218.60.56/~jnz1568/getInfo.php?workbook=06_02.xlsx&amp;sheet=A0&amp;row=832&amp;col=6&amp;number=&amp;sourceID=27","")</f>
        <v/>
      </c>
      <c r="G832" s="4" t="str">
        <f>HYPERLINK("http://141.218.60.56/~jnz1568/getInfo.php?workbook=06_02.xlsx&amp;sheet=A0&amp;row=832&amp;col=7&amp;number=&amp;sourceID=34","")</f>
        <v/>
      </c>
      <c r="H832" s="4" t="str">
        <f>HYPERLINK("http://141.218.60.56/~jnz1568/getInfo.php?workbook=06_02.xlsx&amp;sheet=A0&amp;row=832&amp;col=8&amp;number=&amp;sourceID=34","")</f>
        <v/>
      </c>
      <c r="I832" s="4" t="str">
        <f>HYPERLINK("http://141.218.60.56/~jnz1568/getInfo.php?workbook=06_02.xlsx&amp;sheet=A0&amp;row=832&amp;col=9&amp;number=&amp;sourceID=34","")</f>
        <v/>
      </c>
      <c r="J832" s="4" t="str">
        <f>HYPERLINK("http://141.218.60.56/~jnz1568/getInfo.php?workbook=06_02.xlsx&amp;sheet=A0&amp;row=832&amp;col=10&amp;number=&amp;sourceID=34","")</f>
        <v/>
      </c>
      <c r="K832" s="4" t="str">
        <f>HYPERLINK("http://141.218.60.56/~jnz1568/getInfo.php?workbook=06_02.xlsx&amp;sheet=A0&amp;row=832&amp;col=11&amp;number=&amp;sourceID=30","")</f>
        <v/>
      </c>
      <c r="L832" s="4" t="str">
        <f>HYPERLINK("http://141.218.60.56/~jnz1568/getInfo.php?workbook=06_02.xlsx&amp;sheet=A0&amp;row=832&amp;col=12&amp;number=0&amp;sourceID=30","0")</f>
        <v>0</v>
      </c>
      <c r="M832" s="4" t="str">
        <f>HYPERLINK("http://141.218.60.56/~jnz1568/getInfo.php?workbook=06_02.xlsx&amp;sheet=A0&amp;row=832&amp;col=13&amp;number=1.776e-12&amp;sourceID=30","1.776e-12")</f>
        <v>1.776e-12</v>
      </c>
      <c r="N832" s="4" t="str">
        <f>HYPERLINK("http://141.218.60.56/~jnz1568/getInfo.php?workbook=06_02.xlsx&amp;sheet=A0&amp;row=832&amp;col=14&amp;number=&amp;sourceID=30","")</f>
        <v/>
      </c>
      <c r="O832" s="4" t="str">
        <f>HYPERLINK("http://141.218.60.56/~jnz1568/getInfo.php?workbook=06_02.xlsx&amp;sheet=A0&amp;row=832&amp;col=15&amp;number=&amp;sourceID=32","")</f>
        <v/>
      </c>
      <c r="P832" s="4" t="str">
        <f>HYPERLINK("http://141.218.60.56/~jnz1568/getInfo.php?workbook=06_02.xlsx&amp;sheet=A0&amp;row=832&amp;col=16&amp;number=&amp;sourceID=32","")</f>
        <v/>
      </c>
      <c r="Q832" s="4" t="str">
        <f>HYPERLINK("http://141.218.60.56/~jnz1568/getInfo.php?workbook=06_02.xlsx&amp;sheet=A0&amp;row=832&amp;col=17&amp;number=&amp;sourceID=32","")</f>
        <v/>
      </c>
      <c r="R832" s="4" t="str">
        <f>HYPERLINK("http://141.218.60.56/~jnz1568/getInfo.php?workbook=06_02.xlsx&amp;sheet=A0&amp;row=832&amp;col=18&amp;number=&amp;sourceID=32","")</f>
        <v/>
      </c>
    </row>
    <row r="833" spans="1:18">
      <c r="A833" s="3">
        <v>6</v>
      </c>
      <c r="B833" s="3">
        <v>2</v>
      </c>
      <c r="C833" s="3">
        <v>48</v>
      </c>
      <c r="D833" s="3">
        <v>1</v>
      </c>
      <c r="E833" s="3">
        <f>((1/(INDEX(E0!J$4:J$52,C833,1)-INDEX(E0!J$4:J$52,D833,1))))*100000000</f>
        <v>0</v>
      </c>
      <c r="F833" s="4" t="str">
        <f>HYPERLINK("http://141.218.60.56/~jnz1568/getInfo.php?workbook=06_02.xlsx&amp;sheet=A0&amp;row=833&amp;col=6&amp;number=&amp;sourceID=27","")</f>
        <v/>
      </c>
      <c r="G833" s="4" t="str">
        <f>HYPERLINK("http://141.218.60.56/~jnz1568/getInfo.php?workbook=06_02.xlsx&amp;sheet=A0&amp;row=833&amp;col=7&amp;number=&amp;sourceID=34","")</f>
        <v/>
      </c>
      <c r="H833" s="4" t="str">
        <f>HYPERLINK("http://141.218.60.56/~jnz1568/getInfo.php?workbook=06_02.xlsx&amp;sheet=A0&amp;row=833&amp;col=8&amp;number=&amp;sourceID=34","")</f>
        <v/>
      </c>
      <c r="I833" s="4" t="str">
        <f>HYPERLINK("http://141.218.60.56/~jnz1568/getInfo.php?workbook=06_02.xlsx&amp;sheet=A0&amp;row=833&amp;col=9&amp;number=&amp;sourceID=34","")</f>
        <v/>
      </c>
      <c r="J833" s="4" t="str">
        <f>HYPERLINK("http://141.218.60.56/~jnz1568/getInfo.php?workbook=06_02.xlsx&amp;sheet=A0&amp;row=833&amp;col=10&amp;number=&amp;sourceID=34","")</f>
        <v/>
      </c>
      <c r="K833" s="4" t="str">
        <f>HYPERLINK("http://141.218.60.56/~jnz1568/getInfo.php?workbook=06_02.xlsx&amp;sheet=A0&amp;row=833&amp;col=11&amp;number=&amp;sourceID=30","")</f>
        <v/>
      </c>
      <c r="L833" s="4" t="str">
        <f>HYPERLINK("http://141.218.60.56/~jnz1568/getInfo.php?workbook=06_02.xlsx&amp;sheet=A0&amp;row=833&amp;col=12&amp;number=250900000&amp;sourceID=30","250900000")</f>
        <v>250900000</v>
      </c>
      <c r="M833" s="4" t="str">
        <f>HYPERLINK("http://141.218.60.56/~jnz1568/getInfo.php?workbook=06_02.xlsx&amp;sheet=A0&amp;row=833&amp;col=13&amp;number=&amp;sourceID=30","")</f>
        <v/>
      </c>
      <c r="N833" s="4" t="str">
        <f>HYPERLINK("http://141.218.60.56/~jnz1568/getInfo.php?workbook=06_02.xlsx&amp;sheet=A0&amp;row=833&amp;col=14&amp;number=&amp;sourceID=30","")</f>
        <v/>
      </c>
      <c r="O833" s="4" t="str">
        <f>HYPERLINK("http://141.218.60.56/~jnz1568/getInfo.php?workbook=06_02.xlsx&amp;sheet=A0&amp;row=833&amp;col=15&amp;number=&amp;sourceID=32","")</f>
        <v/>
      </c>
      <c r="P833" s="4" t="str">
        <f>HYPERLINK("http://141.218.60.56/~jnz1568/getInfo.php?workbook=06_02.xlsx&amp;sheet=A0&amp;row=833&amp;col=16&amp;number=6165000&amp;sourceID=32","6165000")</f>
        <v>6165000</v>
      </c>
      <c r="Q833" s="4" t="str">
        <f>HYPERLINK("http://141.218.60.56/~jnz1568/getInfo.php?workbook=06_02.xlsx&amp;sheet=A0&amp;row=833&amp;col=17&amp;number=&amp;sourceID=32","")</f>
        <v/>
      </c>
      <c r="R833" s="4" t="str">
        <f>HYPERLINK("http://141.218.60.56/~jnz1568/getInfo.php?workbook=06_02.xlsx&amp;sheet=A0&amp;row=833&amp;col=18&amp;number=&amp;sourceID=32","")</f>
        <v/>
      </c>
    </row>
    <row r="834" spans="1:18">
      <c r="A834" s="3">
        <v>6</v>
      </c>
      <c r="B834" s="3">
        <v>2</v>
      </c>
      <c r="C834" s="3">
        <v>48</v>
      </c>
      <c r="D834" s="3">
        <v>2</v>
      </c>
      <c r="E834" s="3">
        <f>((1/(INDEX(E0!J$4:J$52,C834,1)-INDEX(E0!J$4:J$52,D834,1))))*100000000</f>
        <v>0</v>
      </c>
      <c r="F834" s="4" t="str">
        <f>HYPERLINK("http://141.218.60.56/~jnz1568/getInfo.php?workbook=06_02.xlsx&amp;sheet=A0&amp;row=834&amp;col=6&amp;number=&amp;sourceID=27","")</f>
        <v/>
      </c>
      <c r="G834" s="4" t="str">
        <f>HYPERLINK("http://141.218.60.56/~jnz1568/getInfo.php?workbook=06_02.xlsx&amp;sheet=A0&amp;row=834&amp;col=7&amp;number=&amp;sourceID=34","")</f>
        <v/>
      </c>
      <c r="H834" s="4" t="str">
        <f>HYPERLINK("http://141.218.60.56/~jnz1568/getInfo.php?workbook=06_02.xlsx&amp;sheet=A0&amp;row=834&amp;col=8&amp;number=&amp;sourceID=34","")</f>
        <v/>
      </c>
      <c r="I834" s="4" t="str">
        <f>HYPERLINK("http://141.218.60.56/~jnz1568/getInfo.php?workbook=06_02.xlsx&amp;sheet=A0&amp;row=834&amp;col=9&amp;number=&amp;sourceID=34","")</f>
        <v/>
      </c>
      <c r="J834" s="4" t="str">
        <f>HYPERLINK("http://141.218.60.56/~jnz1568/getInfo.php?workbook=06_02.xlsx&amp;sheet=A0&amp;row=834&amp;col=10&amp;number=&amp;sourceID=34","")</f>
        <v/>
      </c>
      <c r="K834" s="4" t="str">
        <f>HYPERLINK("http://141.218.60.56/~jnz1568/getInfo.php?workbook=06_02.xlsx&amp;sheet=A0&amp;row=834&amp;col=11&amp;number=&amp;sourceID=30","")</f>
        <v/>
      </c>
      <c r="L834" s="4" t="str">
        <f>HYPERLINK("http://141.218.60.56/~jnz1568/getInfo.php?workbook=06_02.xlsx&amp;sheet=A0&amp;row=834&amp;col=12&amp;number=21.02&amp;sourceID=30","21.02")</f>
        <v>21.02</v>
      </c>
      <c r="M834" s="4" t="str">
        <f>HYPERLINK("http://141.218.60.56/~jnz1568/getInfo.php?workbook=06_02.xlsx&amp;sheet=A0&amp;row=834&amp;col=13&amp;number=0.0003553&amp;sourceID=30","0.0003553")</f>
        <v>0.0003553</v>
      </c>
      <c r="N834" s="4" t="str">
        <f>HYPERLINK("http://141.218.60.56/~jnz1568/getInfo.php?workbook=06_02.xlsx&amp;sheet=A0&amp;row=834&amp;col=14&amp;number=&amp;sourceID=30","")</f>
        <v/>
      </c>
      <c r="O834" s="4" t="str">
        <f>HYPERLINK("http://141.218.60.56/~jnz1568/getInfo.php?workbook=06_02.xlsx&amp;sheet=A0&amp;row=834&amp;col=15&amp;number=&amp;sourceID=32","")</f>
        <v/>
      </c>
      <c r="P834" s="4" t="str">
        <f>HYPERLINK("http://141.218.60.56/~jnz1568/getInfo.php?workbook=06_02.xlsx&amp;sheet=A0&amp;row=834&amp;col=16&amp;number=140.8&amp;sourceID=32","140.8")</f>
        <v>140.8</v>
      </c>
      <c r="Q834" s="4" t="str">
        <f>HYPERLINK("http://141.218.60.56/~jnz1568/getInfo.php?workbook=06_02.xlsx&amp;sheet=A0&amp;row=834&amp;col=17&amp;number=0.0004118&amp;sourceID=32","0.0004118")</f>
        <v>0.0004118</v>
      </c>
      <c r="R834" s="4" t="str">
        <f>HYPERLINK("http://141.218.60.56/~jnz1568/getInfo.php?workbook=06_02.xlsx&amp;sheet=A0&amp;row=834&amp;col=18&amp;number=&amp;sourceID=32","")</f>
        <v/>
      </c>
    </row>
    <row r="835" spans="1:18">
      <c r="A835" s="3">
        <v>6</v>
      </c>
      <c r="B835" s="3">
        <v>2</v>
      </c>
      <c r="C835" s="3">
        <v>48</v>
      </c>
      <c r="D835" s="3">
        <v>3</v>
      </c>
      <c r="E835" s="3">
        <f>((1/(INDEX(E0!J$4:J$52,C835,1)-INDEX(E0!J$4:J$52,D835,1))))*100000000</f>
        <v>0</v>
      </c>
      <c r="F835" s="4" t="str">
        <f>HYPERLINK("http://141.218.60.56/~jnz1568/getInfo.php?workbook=06_02.xlsx&amp;sheet=A0&amp;row=835&amp;col=6&amp;number=&amp;sourceID=27","")</f>
        <v/>
      </c>
      <c r="G835" s="4" t="str">
        <f>HYPERLINK("http://141.218.60.56/~jnz1568/getInfo.php?workbook=06_02.xlsx&amp;sheet=A0&amp;row=835&amp;col=7&amp;number=&amp;sourceID=34","")</f>
        <v/>
      </c>
      <c r="H835" s="4" t="str">
        <f>HYPERLINK("http://141.218.60.56/~jnz1568/getInfo.php?workbook=06_02.xlsx&amp;sheet=A0&amp;row=835&amp;col=8&amp;number=&amp;sourceID=34","")</f>
        <v/>
      </c>
      <c r="I835" s="4" t="str">
        <f>HYPERLINK("http://141.218.60.56/~jnz1568/getInfo.php?workbook=06_02.xlsx&amp;sheet=A0&amp;row=835&amp;col=9&amp;number=&amp;sourceID=34","")</f>
        <v/>
      </c>
      <c r="J835" s="4" t="str">
        <f>HYPERLINK("http://141.218.60.56/~jnz1568/getInfo.php?workbook=06_02.xlsx&amp;sheet=A0&amp;row=835&amp;col=10&amp;number=&amp;sourceID=34","")</f>
        <v/>
      </c>
      <c r="K835" s="4" t="str">
        <f>HYPERLINK("http://141.218.60.56/~jnz1568/getInfo.php?workbook=06_02.xlsx&amp;sheet=A0&amp;row=835&amp;col=11&amp;number=&amp;sourceID=30","")</f>
        <v/>
      </c>
      <c r="L835" s="4" t="str">
        <f>HYPERLINK("http://141.218.60.56/~jnz1568/getInfo.php?workbook=06_02.xlsx&amp;sheet=A0&amp;row=835&amp;col=12&amp;number=371800&amp;sourceID=30","371800")</f>
        <v>371800</v>
      </c>
      <c r="M835" s="4" t="str">
        <f>HYPERLINK("http://141.218.60.56/~jnz1568/getInfo.php?workbook=06_02.xlsx&amp;sheet=A0&amp;row=835&amp;col=13&amp;number=&amp;sourceID=30","")</f>
        <v/>
      </c>
      <c r="N835" s="4" t="str">
        <f>HYPERLINK("http://141.218.60.56/~jnz1568/getInfo.php?workbook=06_02.xlsx&amp;sheet=A0&amp;row=835&amp;col=14&amp;number=&amp;sourceID=30","")</f>
        <v/>
      </c>
      <c r="O835" s="4" t="str">
        <f>HYPERLINK("http://141.218.60.56/~jnz1568/getInfo.php?workbook=06_02.xlsx&amp;sheet=A0&amp;row=835&amp;col=15&amp;number=&amp;sourceID=32","")</f>
        <v/>
      </c>
      <c r="P835" s="4" t="str">
        <f>HYPERLINK("http://141.218.60.56/~jnz1568/getInfo.php?workbook=06_02.xlsx&amp;sheet=A0&amp;row=835&amp;col=16&amp;number=27880&amp;sourceID=32","27880")</f>
        <v>27880</v>
      </c>
      <c r="Q835" s="4" t="str">
        <f>HYPERLINK("http://141.218.60.56/~jnz1568/getInfo.php?workbook=06_02.xlsx&amp;sheet=A0&amp;row=835&amp;col=17&amp;number=&amp;sourceID=32","")</f>
        <v/>
      </c>
      <c r="R835" s="4" t="str">
        <f>HYPERLINK("http://141.218.60.56/~jnz1568/getInfo.php?workbook=06_02.xlsx&amp;sheet=A0&amp;row=835&amp;col=18&amp;number=&amp;sourceID=32","")</f>
        <v/>
      </c>
    </row>
    <row r="836" spans="1:18">
      <c r="A836" s="3">
        <v>6</v>
      </c>
      <c r="B836" s="3">
        <v>2</v>
      </c>
      <c r="C836" s="3">
        <v>48</v>
      </c>
      <c r="D836" s="3">
        <v>4</v>
      </c>
      <c r="E836" s="3">
        <f>((1/(INDEX(E0!J$4:J$52,C836,1)-INDEX(E0!J$4:J$52,D836,1))))*100000000</f>
        <v>0</v>
      </c>
      <c r="F836" s="4" t="str">
        <f>HYPERLINK("http://141.218.60.56/~jnz1568/getInfo.php?workbook=06_02.xlsx&amp;sheet=A0&amp;row=836&amp;col=6&amp;number=&amp;sourceID=27","")</f>
        <v/>
      </c>
      <c r="G836" s="4" t="str">
        <f>HYPERLINK("http://141.218.60.56/~jnz1568/getInfo.php?workbook=06_02.xlsx&amp;sheet=A0&amp;row=836&amp;col=7&amp;number=&amp;sourceID=34","")</f>
        <v/>
      </c>
      <c r="H836" s="4" t="str">
        <f>HYPERLINK("http://141.218.60.56/~jnz1568/getInfo.php?workbook=06_02.xlsx&amp;sheet=A0&amp;row=836&amp;col=8&amp;number=&amp;sourceID=34","")</f>
        <v/>
      </c>
      <c r="I836" s="4" t="str">
        <f>HYPERLINK("http://141.218.60.56/~jnz1568/getInfo.php?workbook=06_02.xlsx&amp;sheet=A0&amp;row=836&amp;col=9&amp;number=&amp;sourceID=34","")</f>
        <v/>
      </c>
      <c r="J836" s="4" t="str">
        <f>HYPERLINK("http://141.218.60.56/~jnz1568/getInfo.php?workbook=06_02.xlsx&amp;sheet=A0&amp;row=836&amp;col=10&amp;number=&amp;sourceID=34","")</f>
        <v/>
      </c>
      <c r="K836" s="4" t="str">
        <f>HYPERLINK("http://141.218.60.56/~jnz1568/getInfo.php?workbook=06_02.xlsx&amp;sheet=A0&amp;row=836&amp;col=11&amp;number=4928000&amp;sourceID=30","4928000")</f>
        <v>4928000</v>
      </c>
      <c r="L836" s="4" t="str">
        <f>HYPERLINK("http://141.218.60.56/~jnz1568/getInfo.php?workbook=06_02.xlsx&amp;sheet=A0&amp;row=836&amp;col=12&amp;number=&amp;sourceID=30","")</f>
        <v/>
      </c>
      <c r="M836" s="4" t="str">
        <f>HYPERLINK("http://141.218.60.56/~jnz1568/getInfo.php?workbook=06_02.xlsx&amp;sheet=A0&amp;row=836&amp;col=13&amp;number=&amp;sourceID=30","")</f>
        <v/>
      </c>
      <c r="N836" s="4" t="str">
        <f>HYPERLINK("http://141.218.60.56/~jnz1568/getInfo.php?workbook=06_02.xlsx&amp;sheet=A0&amp;row=836&amp;col=14&amp;number=7.942&amp;sourceID=30","7.942")</f>
        <v>7.942</v>
      </c>
      <c r="O836" s="4" t="str">
        <f>HYPERLINK("http://141.218.60.56/~jnz1568/getInfo.php?workbook=06_02.xlsx&amp;sheet=A0&amp;row=836&amp;col=15&amp;number=7731000&amp;sourceID=32","7731000")</f>
        <v>7731000</v>
      </c>
      <c r="P836" s="4" t="str">
        <f>HYPERLINK("http://141.218.60.56/~jnz1568/getInfo.php?workbook=06_02.xlsx&amp;sheet=A0&amp;row=836&amp;col=16&amp;number=&amp;sourceID=32","")</f>
        <v/>
      </c>
      <c r="Q836" s="4" t="str">
        <f>HYPERLINK("http://141.218.60.56/~jnz1568/getInfo.php?workbook=06_02.xlsx&amp;sheet=A0&amp;row=836&amp;col=17&amp;number=&amp;sourceID=32","")</f>
        <v/>
      </c>
      <c r="R836" s="4" t="str">
        <f>HYPERLINK("http://141.218.60.56/~jnz1568/getInfo.php?workbook=06_02.xlsx&amp;sheet=A0&amp;row=836&amp;col=18&amp;number=8.604&amp;sourceID=32","8.604")</f>
        <v>8.604</v>
      </c>
    </row>
    <row r="837" spans="1:18">
      <c r="A837" s="3">
        <v>6</v>
      </c>
      <c r="B837" s="3">
        <v>2</v>
      </c>
      <c r="C837" s="3">
        <v>48</v>
      </c>
      <c r="D837" s="3">
        <v>5</v>
      </c>
      <c r="E837" s="3">
        <f>((1/(INDEX(E0!J$4:J$52,C837,1)-INDEX(E0!J$4:J$52,D837,1))))*100000000</f>
        <v>0</v>
      </c>
      <c r="F837" s="4" t="str">
        <f>HYPERLINK("http://141.218.60.56/~jnz1568/getInfo.php?workbook=06_02.xlsx&amp;sheet=A0&amp;row=837&amp;col=6&amp;number=&amp;sourceID=27","")</f>
        <v/>
      </c>
      <c r="G837" s="4" t="str">
        <f>HYPERLINK("http://141.218.60.56/~jnz1568/getInfo.php?workbook=06_02.xlsx&amp;sheet=A0&amp;row=837&amp;col=7&amp;number=&amp;sourceID=34","")</f>
        <v/>
      </c>
      <c r="H837" s="4" t="str">
        <f>HYPERLINK("http://141.218.60.56/~jnz1568/getInfo.php?workbook=06_02.xlsx&amp;sheet=A0&amp;row=837&amp;col=8&amp;number=&amp;sourceID=34","")</f>
        <v/>
      </c>
      <c r="I837" s="4" t="str">
        <f>HYPERLINK("http://141.218.60.56/~jnz1568/getInfo.php?workbook=06_02.xlsx&amp;sheet=A0&amp;row=837&amp;col=9&amp;number=&amp;sourceID=34","")</f>
        <v/>
      </c>
      <c r="J837" s="4" t="str">
        <f>HYPERLINK("http://141.218.60.56/~jnz1568/getInfo.php?workbook=06_02.xlsx&amp;sheet=A0&amp;row=837&amp;col=10&amp;number=&amp;sourceID=34","")</f>
        <v/>
      </c>
      <c r="K837" s="4" t="str">
        <f>HYPERLINK("http://141.218.60.56/~jnz1568/getInfo.php?workbook=06_02.xlsx&amp;sheet=A0&amp;row=837&amp;col=11&amp;number=&amp;sourceID=30","")</f>
        <v/>
      </c>
      <c r="L837" s="4" t="str">
        <f>HYPERLINK("http://141.218.60.56/~jnz1568/getInfo.php?workbook=06_02.xlsx&amp;sheet=A0&amp;row=837&amp;col=12&amp;number=&amp;sourceID=30","")</f>
        <v/>
      </c>
      <c r="M837" s="4" t="str">
        <f>HYPERLINK("http://141.218.60.56/~jnz1568/getInfo.php?workbook=06_02.xlsx&amp;sheet=A0&amp;row=837&amp;col=13&amp;number=&amp;sourceID=30","")</f>
        <v/>
      </c>
      <c r="N837" s="4" t="str">
        <f>HYPERLINK("http://141.218.60.56/~jnz1568/getInfo.php?workbook=06_02.xlsx&amp;sheet=A0&amp;row=837&amp;col=14&amp;number=3.389&amp;sourceID=30","3.389")</f>
        <v>3.389</v>
      </c>
      <c r="O837" s="4" t="str">
        <f>HYPERLINK("http://141.218.60.56/~jnz1568/getInfo.php?workbook=06_02.xlsx&amp;sheet=A0&amp;row=837&amp;col=15&amp;number=&amp;sourceID=32","")</f>
        <v/>
      </c>
      <c r="P837" s="4" t="str">
        <f>HYPERLINK("http://141.218.60.56/~jnz1568/getInfo.php?workbook=06_02.xlsx&amp;sheet=A0&amp;row=837&amp;col=16&amp;number=&amp;sourceID=32","")</f>
        <v/>
      </c>
      <c r="Q837" s="4" t="str">
        <f>HYPERLINK("http://141.218.60.56/~jnz1568/getInfo.php?workbook=06_02.xlsx&amp;sheet=A0&amp;row=837&amp;col=17&amp;number=&amp;sourceID=32","")</f>
        <v/>
      </c>
      <c r="R837" s="4" t="str">
        <f>HYPERLINK("http://141.218.60.56/~jnz1568/getInfo.php?workbook=06_02.xlsx&amp;sheet=A0&amp;row=837&amp;col=18&amp;number=3.636&amp;sourceID=32","3.636")</f>
        <v>3.636</v>
      </c>
    </row>
    <row r="838" spans="1:18">
      <c r="A838" s="3">
        <v>6</v>
      </c>
      <c r="B838" s="3">
        <v>2</v>
      </c>
      <c r="C838" s="3">
        <v>48</v>
      </c>
      <c r="D838" s="3">
        <v>6</v>
      </c>
      <c r="E838" s="3">
        <f>((1/(INDEX(E0!J$4:J$52,C838,1)-INDEX(E0!J$4:J$52,D838,1))))*100000000</f>
        <v>0</v>
      </c>
      <c r="F838" s="4" t="str">
        <f>HYPERLINK("http://141.218.60.56/~jnz1568/getInfo.php?workbook=06_02.xlsx&amp;sheet=A0&amp;row=838&amp;col=6&amp;number=&amp;sourceID=27","")</f>
        <v/>
      </c>
      <c r="G838" s="4" t="str">
        <f>HYPERLINK("http://141.218.60.56/~jnz1568/getInfo.php?workbook=06_02.xlsx&amp;sheet=A0&amp;row=838&amp;col=7&amp;number=&amp;sourceID=34","")</f>
        <v/>
      </c>
      <c r="H838" s="4" t="str">
        <f>HYPERLINK("http://141.218.60.56/~jnz1568/getInfo.php?workbook=06_02.xlsx&amp;sheet=A0&amp;row=838&amp;col=8&amp;number=&amp;sourceID=34","")</f>
        <v/>
      </c>
      <c r="I838" s="4" t="str">
        <f>HYPERLINK("http://141.218.60.56/~jnz1568/getInfo.php?workbook=06_02.xlsx&amp;sheet=A0&amp;row=838&amp;col=9&amp;number=&amp;sourceID=34","")</f>
        <v/>
      </c>
      <c r="J838" s="4" t="str">
        <f>HYPERLINK("http://141.218.60.56/~jnz1568/getInfo.php?workbook=06_02.xlsx&amp;sheet=A0&amp;row=838&amp;col=10&amp;number=&amp;sourceID=34","")</f>
        <v/>
      </c>
      <c r="K838" s="4" t="str">
        <f>HYPERLINK("http://141.218.60.56/~jnz1568/getInfo.php?workbook=06_02.xlsx&amp;sheet=A0&amp;row=838&amp;col=11&amp;number=2374000&amp;sourceID=30","2374000")</f>
        <v>2374000</v>
      </c>
      <c r="L838" s="4" t="str">
        <f>HYPERLINK("http://141.218.60.56/~jnz1568/getInfo.php?workbook=06_02.xlsx&amp;sheet=A0&amp;row=838&amp;col=12&amp;number=&amp;sourceID=30","")</f>
        <v/>
      </c>
      <c r="M838" s="4" t="str">
        <f>HYPERLINK("http://141.218.60.56/~jnz1568/getInfo.php?workbook=06_02.xlsx&amp;sheet=A0&amp;row=838&amp;col=13&amp;number=&amp;sourceID=30","")</f>
        <v/>
      </c>
      <c r="N838" s="4" t="str">
        <f>HYPERLINK("http://141.218.60.56/~jnz1568/getInfo.php?workbook=06_02.xlsx&amp;sheet=A0&amp;row=838&amp;col=14&amp;number=6.107&amp;sourceID=30","6.107")</f>
        <v>6.107</v>
      </c>
      <c r="O838" s="4" t="str">
        <f>HYPERLINK("http://141.218.60.56/~jnz1568/getInfo.php?workbook=06_02.xlsx&amp;sheet=A0&amp;row=838&amp;col=15&amp;number=3434000&amp;sourceID=32","3434000")</f>
        <v>3434000</v>
      </c>
      <c r="P838" s="4" t="str">
        <f>HYPERLINK("http://141.218.60.56/~jnz1568/getInfo.php?workbook=06_02.xlsx&amp;sheet=A0&amp;row=838&amp;col=16&amp;number=&amp;sourceID=32","")</f>
        <v/>
      </c>
      <c r="Q838" s="4" t="str">
        <f>HYPERLINK("http://141.218.60.56/~jnz1568/getInfo.php?workbook=06_02.xlsx&amp;sheet=A0&amp;row=838&amp;col=17&amp;number=&amp;sourceID=32","")</f>
        <v/>
      </c>
      <c r="R838" s="4" t="str">
        <f>HYPERLINK("http://141.218.60.56/~jnz1568/getInfo.php?workbook=06_02.xlsx&amp;sheet=A0&amp;row=838&amp;col=18&amp;number=6.593&amp;sourceID=32","6.593")</f>
        <v>6.593</v>
      </c>
    </row>
    <row r="839" spans="1:18">
      <c r="A839" s="3">
        <v>6</v>
      </c>
      <c r="B839" s="3">
        <v>2</v>
      </c>
      <c r="C839" s="3">
        <v>48</v>
      </c>
      <c r="D839" s="3">
        <v>7</v>
      </c>
      <c r="E839" s="3">
        <f>((1/(INDEX(E0!J$4:J$52,C839,1)-INDEX(E0!J$4:J$52,D839,1))))*100000000</f>
        <v>0</v>
      </c>
      <c r="F839" s="4" t="str">
        <f>HYPERLINK("http://141.218.60.56/~jnz1568/getInfo.php?workbook=06_02.xlsx&amp;sheet=A0&amp;row=839&amp;col=6&amp;number=&amp;sourceID=27","")</f>
        <v/>
      </c>
      <c r="G839" s="4" t="str">
        <f>HYPERLINK("http://141.218.60.56/~jnz1568/getInfo.php?workbook=06_02.xlsx&amp;sheet=A0&amp;row=839&amp;col=7&amp;number=5580000000&amp;sourceID=34","5580000000")</f>
        <v>5580000000</v>
      </c>
      <c r="H839" s="4" t="str">
        <f>HYPERLINK("http://141.218.60.56/~jnz1568/getInfo.php?workbook=06_02.xlsx&amp;sheet=A0&amp;row=839&amp;col=8&amp;number=&amp;sourceID=34","")</f>
        <v/>
      </c>
      <c r="I839" s="4" t="str">
        <f>HYPERLINK("http://141.218.60.56/~jnz1568/getInfo.php?workbook=06_02.xlsx&amp;sheet=A0&amp;row=839&amp;col=9&amp;number=&amp;sourceID=34","")</f>
        <v/>
      </c>
      <c r="J839" s="4" t="str">
        <f>HYPERLINK("http://141.218.60.56/~jnz1568/getInfo.php?workbook=06_02.xlsx&amp;sheet=A0&amp;row=839&amp;col=10&amp;number=&amp;sourceID=34","")</f>
        <v/>
      </c>
      <c r="K839" s="4" t="str">
        <f>HYPERLINK("http://141.218.60.56/~jnz1568/getInfo.php?workbook=06_02.xlsx&amp;sheet=A0&amp;row=839&amp;col=11&amp;number=6570000000&amp;sourceID=30","6570000000")</f>
        <v>6570000000</v>
      </c>
      <c r="L839" s="4" t="str">
        <f>HYPERLINK("http://141.218.60.56/~jnz1568/getInfo.php?workbook=06_02.xlsx&amp;sheet=A0&amp;row=839&amp;col=12&amp;number=&amp;sourceID=30","")</f>
        <v/>
      </c>
      <c r="M839" s="4" t="str">
        <f>HYPERLINK("http://141.218.60.56/~jnz1568/getInfo.php?workbook=06_02.xlsx&amp;sheet=A0&amp;row=839&amp;col=13&amp;number=&amp;sourceID=30","")</f>
        <v/>
      </c>
      <c r="N839" s="4" t="str">
        <f>HYPERLINK("http://141.218.60.56/~jnz1568/getInfo.php?workbook=06_02.xlsx&amp;sheet=A0&amp;row=839&amp;col=14&amp;number=6.579&amp;sourceID=30","6.579")</f>
        <v>6.579</v>
      </c>
      <c r="O839" s="4" t="str">
        <f>HYPERLINK("http://141.218.60.56/~jnz1568/getInfo.php?workbook=06_02.xlsx&amp;sheet=A0&amp;row=839&amp;col=15&amp;number=5567000000&amp;sourceID=32","5567000000")</f>
        <v>5567000000</v>
      </c>
      <c r="P839" s="4" t="str">
        <f>HYPERLINK("http://141.218.60.56/~jnz1568/getInfo.php?workbook=06_02.xlsx&amp;sheet=A0&amp;row=839&amp;col=16&amp;number=&amp;sourceID=32","")</f>
        <v/>
      </c>
      <c r="Q839" s="4" t="str">
        <f>HYPERLINK("http://141.218.60.56/~jnz1568/getInfo.php?workbook=06_02.xlsx&amp;sheet=A0&amp;row=839&amp;col=17&amp;number=&amp;sourceID=32","")</f>
        <v/>
      </c>
      <c r="R839" s="4" t="str">
        <f>HYPERLINK("http://141.218.60.56/~jnz1568/getInfo.php?workbook=06_02.xlsx&amp;sheet=A0&amp;row=839&amp;col=18&amp;number=5.742&amp;sourceID=32","5.742")</f>
        <v>5.742</v>
      </c>
    </row>
    <row r="840" spans="1:18">
      <c r="A840" s="3">
        <v>6</v>
      </c>
      <c r="B840" s="3">
        <v>2</v>
      </c>
      <c r="C840" s="3">
        <v>48</v>
      </c>
      <c r="D840" s="3">
        <v>8</v>
      </c>
      <c r="E840" s="3">
        <f>((1/(INDEX(E0!J$4:J$52,C840,1)-INDEX(E0!J$4:J$52,D840,1))))*100000000</f>
        <v>0</v>
      </c>
      <c r="F840" s="4" t="str">
        <f>HYPERLINK("http://141.218.60.56/~jnz1568/getInfo.php?workbook=06_02.xlsx&amp;sheet=A0&amp;row=840&amp;col=6&amp;number=&amp;sourceID=27","")</f>
        <v/>
      </c>
      <c r="G840" s="4" t="str">
        <f>HYPERLINK("http://141.218.60.56/~jnz1568/getInfo.php?workbook=06_02.xlsx&amp;sheet=A0&amp;row=840&amp;col=7&amp;number=&amp;sourceID=34","")</f>
        <v/>
      </c>
      <c r="H840" s="4" t="str">
        <f>HYPERLINK("http://141.218.60.56/~jnz1568/getInfo.php?workbook=06_02.xlsx&amp;sheet=A0&amp;row=840&amp;col=8&amp;number=&amp;sourceID=34","")</f>
        <v/>
      </c>
      <c r="I840" s="4" t="str">
        <f>HYPERLINK("http://141.218.60.56/~jnz1568/getInfo.php?workbook=06_02.xlsx&amp;sheet=A0&amp;row=840&amp;col=9&amp;number=&amp;sourceID=34","")</f>
        <v/>
      </c>
      <c r="J840" s="4" t="str">
        <f>HYPERLINK("http://141.218.60.56/~jnz1568/getInfo.php?workbook=06_02.xlsx&amp;sheet=A0&amp;row=840&amp;col=10&amp;number=&amp;sourceID=34","")</f>
        <v/>
      </c>
      <c r="K840" s="4" t="str">
        <f>HYPERLINK("http://141.218.60.56/~jnz1568/getInfo.php?workbook=06_02.xlsx&amp;sheet=A0&amp;row=840&amp;col=11&amp;number=&amp;sourceID=30","")</f>
        <v/>
      </c>
      <c r="L840" s="4" t="str">
        <f>HYPERLINK("http://141.218.60.56/~jnz1568/getInfo.php?workbook=06_02.xlsx&amp;sheet=A0&amp;row=840&amp;col=12&amp;number=38.75&amp;sourceID=30","38.75")</f>
        <v>38.75</v>
      </c>
      <c r="M840" s="4" t="str">
        <f>HYPERLINK("http://141.218.60.56/~jnz1568/getInfo.php?workbook=06_02.xlsx&amp;sheet=A0&amp;row=840&amp;col=13&amp;number=3.543e-06&amp;sourceID=30","3.543e-06")</f>
        <v>3.543e-06</v>
      </c>
      <c r="N840" s="4" t="str">
        <f>HYPERLINK("http://141.218.60.56/~jnz1568/getInfo.php?workbook=06_02.xlsx&amp;sheet=A0&amp;row=840&amp;col=14&amp;number=&amp;sourceID=30","")</f>
        <v/>
      </c>
      <c r="O840" s="4" t="str">
        <f>HYPERLINK("http://141.218.60.56/~jnz1568/getInfo.php?workbook=06_02.xlsx&amp;sheet=A0&amp;row=840&amp;col=15&amp;number=&amp;sourceID=32","")</f>
        <v/>
      </c>
      <c r="P840" s="4" t="str">
        <f>HYPERLINK("http://141.218.60.56/~jnz1568/getInfo.php?workbook=06_02.xlsx&amp;sheet=A0&amp;row=840&amp;col=16&amp;number=61.58&amp;sourceID=32","61.58")</f>
        <v>61.58</v>
      </c>
      <c r="Q840" s="4" t="str">
        <f>HYPERLINK("http://141.218.60.56/~jnz1568/getInfo.php?workbook=06_02.xlsx&amp;sheet=A0&amp;row=840&amp;col=17&amp;number=5.394e-06&amp;sourceID=32","5.394e-06")</f>
        <v>5.394e-06</v>
      </c>
      <c r="R840" s="4" t="str">
        <f>HYPERLINK("http://141.218.60.56/~jnz1568/getInfo.php?workbook=06_02.xlsx&amp;sheet=A0&amp;row=840&amp;col=18&amp;number=&amp;sourceID=32","")</f>
        <v/>
      </c>
    </row>
    <row r="841" spans="1:18">
      <c r="A841" s="3">
        <v>6</v>
      </c>
      <c r="B841" s="3">
        <v>2</v>
      </c>
      <c r="C841" s="3">
        <v>48</v>
      </c>
      <c r="D841" s="3">
        <v>9</v>
      </c>
      <c r="E841" s="3">
        <f>((1/(INDEX(E0!J$4:J$52,C841,1)-INDEX(E0!J$4:J$52,D841,1))))*100000000</f>
        <v>0</v>
      </c>
      <c r="F841" s="4" t="str">
        <f>HYPERLINK("http://141.218.60.56/~jnz1568/getInfo.php?workbook=06_02.xlsx&amp;sheet=A0&amp;row=841&amp;col=6&amp;number=&amp;sourceID=27","")</f>
        <v/>
      </c>
      <c r="G841" s="4" t="str">
        <f>HYPERLINK("http://141.218.60.56/~jnz1568/getInfo.php?workbook=06_02.xlsx&amp;sheet=A0&amp;row=841&amp;col=7&amp;number=&amp;sourceID=34","")</f>
        <v/>
      </c>
      <c r="H841" s="4" t="str">
        <f>HYPERLINK("http://141.218.60.56/~jnz1568/getInfo.php?workbook=06_02.xlsx&amp;sheet=A0&amp;row=841&amp;col=8&amp;number=&amp;sourceID=34","")</f>
        <v/>
      </c>
      <c r="I841" s="4" t="str">
        <f>HYPERLINK("http://141.218.60.56/~jnz1568/getInfo.php?workbook=06_02.xlsx&amp;sheet=A0&amp;row=841&amp;col=9&amp;number=&amp;sourceID=34","")</f>
        <v/>
      </c>
      <c r="J841" s="4" t="str">
        <f>HYPERLINK("http://141.218.60.56/~jnz1568/getInfo.php?workbook=06_02.xlsx&amp;sheet=A0&amp;row=841&amp;col=10&amp;number=&amp;sourceID=34","")</f>
        <v/>
      </c>
      <c r="K841" s="4" t="str">
        <f>HYPERLINK("http://141.218.60.56/~jnz1568/getInfo.php?workbook=06_02.xlsx&amp;sheet=A0&amp;row=841&amp;col=11&amp;number=&amp;sourceID=30","")</f>
        <v/>
      </c>
      <c r="L841" s="4" t="str">
        <f>HYPERLINK("http://141.218.60.56/~jnz1568/getInfo.php?workbook=06_02.xlsx&amp;sheet=A0&amp;row=841&amp;col=12&amp;number=33870&amp;sourceID=30","33870")</f>
        <v>33870</v>
      </c>
      <c r="M841" s="4" t="str">
        <f>HYPERLINK("http://141.218.60.56/~jnz1568/getInfo.php?workbook=06_02.xlsx&amp;sheet=A0&amp;row=841&amp;col=13&amp;number=&amp;sourceID=30","")</f>
        <v/>
      </c>
      <c r="N841" s="4" t="str">
        <f>HYPERLINK("http://141.218.60.56/~jnz1568/getInfo.php?workbook=06_02.xlsx&amp;sheet=A0&amp;row=841&amp;col=14&amp;number=&amp;sourceID=30","")</f>
        <v/>
      </c>
      <c r="O841" s="4" t="str">
        <f>HYPERLINK("http://141.218.60.56/~jnz1568/getInfo.php?workbook=06_02.xlsx&amp;sheet=A0&amp;row=841&amp;col=15&amp;number=&amp;sourceID=32","")</f>
        <v/>
      </c>
      <c r="P841" s="4" t="str">
        <f>HYPERLINK("http://141.218.60.56/~jnz1568/getInfo.php?workbook=06_02.xlsx&amp;sheet=A0&amp;row=841&amp;col=16&amp;number=21160&amp;sourceID=32","21160")</f>
        <v>21160</v>
      </c>
      <c r="Q841" s="4" t="str">
        <f>HYPERLINK("http://141.218.60.56/~jnz1568/getInfo.php?workbook=06_02.xlsx&amp;sheet=A0&amp;row=841&amp;col=17&amp;number=&amp;sourceID=32","")</f>
        <v/>
      </c>
      <c r="R841" s="4" t="str">
        <f>HYPERLINK("http://141.218.60.56/~jnz1568/getInfo.php?workbook=06_02.xlsx&amp;sheet=A0&amp;row=841&amp;col=18&amp;number=&amp;sourceID=32","")</f>
        <v/>
      </c>
    </row>
    <row r="842" spans="1:18">
      <c r="A842" s="3">
        <v>6</v>
      </c>
      <c r="B842" s="3">
        <v>2</v>
      </c>
      <c r="C842" s="3">
        <v>48</v>
      </c>
      <c r="D842" s="3">
        <v>10</v>
      </c>
      <c r="E842" s="3">
        <f>((1/(INDEX(E0!J$4:J$52,C842,1)-INDEX(E0!J$4:J$52,D842,1))))*100000000</f>
        <v>0</v>
      </c>
      <c r="F842" s="4" t="str">
        <f>HYPERLINK("http://141.218.60.56/~jnz1568/getInfo.php?workbook=06_02.xlsx&amp;sheet=A0&amp;row=842&amp;col=6&amp;number=&amp;sourceID=27","")</f>
        <v/>
      </c>
      <c r="G842" s="4" t="str">
        <f>HYPERLINK("http://141.218.60.56/~jnz1568/getInfo.php?workbook=06_02.xlsx&amp;sheet=A0&amp;row=842&amp;col=7&amp;number=&amp;sourceID=34","")</f>
        <v/>
      </c>
      <c r="H842" s="4" t="str">
        <f>HYPERLINK("http://141.218.60.56/~jnz1568/getInfo.php?workbook=06_02.xlsx&amp;sheet=A0&amp;row=842&amp;col=8&amp;number=&amp;sourceID=34","")</f>
        <v/>
      </c>
      <c r="I842" s="4" t="str">
        <f>HYPERLINK("http://141.218.60.56/~jnz1568/getInfo.php?workbook=06_02.xlsx&amp;sheet=A0&amp;row=842&amp;col=9&amp;number=&amp;sourceID=34","")</f>
        <v/>
      </c>
      <c r="J842" s="4" t="str">
        <f>HYPERLINK("http://141.218.60.56/~jnz1568/getInfo.php?workbook=06_02.xlsx&amp;sheet=A0&amp;row=842&amp;col=10&amp;number=&amp;sourceID=34","")</f>
        <v/>
      </c>
      <c r="K842" s="4" t="str">
        <f>HYPERLINK("http://141.218.60.56/~jnz1568/getInfo.php?workbook=06_02.xlsx&amp;sheet=A0&amp;row=842&amp;col=11&amp;number=1681000&amp;sourceID=30","1681000")</f>
        <v>1681000</v>
      </c>
      <c r="L842" s="4" t="str">
        <f>HYPERLINK("http://141.218.60.56/~jnz1568/getInfo.php?workbook=06_02.xlsx&amp;sheet=A0&amp;row=842&amp;col=12&amp;number=&amp;sourceID=30","")</f>
        <v/>
      </c>
      <c r="M842" s="4" t="str">
        <f>HYPERLINK("http://141.218.60.56/~jnz1568/getInfo.php?workbook=06_02.xlsx&amp;sheet=A0&amp;row=842&amp;col=13&amp;number=&amp;sourceID=30","")</f>
        <v/>
      </c>
      <c r="N842" s="4" t="str">
        <f>HYPERLINK("http://141.218.60.56/~jnz1568/getInfo.php?workbook=06_02.xlsx&amp;sheet=A0&amp;row=842&amp;col=14&amp;number=0.3041&amp;sourceID=30","0.3041")</f>
        <v>0.3041</v>
      </c>
      <c r="O842" s="4" t="str">
        <f>HYPERLINK("http://141.218.60.56/~jnz1568/getInfo.php?workbook=06_02.xlsx&amp;sheet=A0&amp;row=842&amp;col=15&amp;number=2505000&amp;sourceID=32","2505000")</f>
        <v>2505000</v>
      </c>
      <c r="P842" s="4" t="str">
        <f>HYPERLINK("http://141.218.60.56/~jnz1568/getInfo.php?workbook=06_02.xlsx&amp;sheet=A0&amp;row=842&amp;col=16&amp;number=&amp;sourceID=32","")</f>
        <v/>
      </c>
      <c r="Q842" s="4" t="str">
        <f>HYPERLINK("http://141.218.60.56/~jnz1568/getInfo.php?workbook=06_02.xlsx&amp;sheet=A0&amp;row=842&amp;col=17&amp;number=&amp;sourceID=32","")</f>
        <v/>
      </c>
      <c r="R842" s="4" t="str">
        <f>HYPERLINK("http://141.218.60.56/~jnz1568/getInfo.php?workbook=06_02.xlsx&amp;sheet=A0&amp;row=842&amp;col=18&amp;number=0.3158&amp;sourceID=32","0.3158")</f>
        <v>0.3158</v>
      </c>
    </row>
    <row r="843" spans="1:18">
      <c r="A843" s="3">
        <v>6</v>
      </c>
      <c r="B843" s="3">
        <v>2</v>
      </c>
      <c r="C843" s="3">
        <v>48</v>
      </c>
      <c r="D843" s="3">
        <v>11</v>
      </c>
      <c r="E843" s="3">
        <f>((1/(INDEX(E0!J$4:J$52,C843,1)-INDEX(E0!J$4:J$52,D843,1))))*100000000</f>
        <v>0</v>
      </c>
      <c r="F843" s="4" t="str">
        <f>HYPERLINK("http://141.218.60.56/~jnz1568/getInfo.php?workbook=06_02.xlsx&amp;sheet=A0&amp;row=843&amp;col=6&amp;number=&amp;sourceID=27","")</f>
        <v/>
      </c>
      <c r="G843" s="4" t="str">
        <f>HYPERLINK("http://141.218.60.56/~jnz1568/getInfo.php?workbook=06_02.xlsx&amp;sheet=A0&amp;row=843&amp;col=7&amp;number=&amp;sourceID=34","")</f>
        <v/>
      </c>
      <c r="H843" s="4" t="str">
        <f>HYPERLINK("http://141.218.60.56/~jnz1568/getInfo.php?workbook=06_02.xlsx&amp;sheet=A0&amp;row=843&amp;col=8&amp;number=&amp;sourceID=34","")</f>
        <v/>
      </c>
      <c r="I843" s="4" t="str">
        <f>HYPERLINK("http://141.218.60.56/~jnz1568/getInfo.php?workbook=06_02.xlsx&amp;sheet=A0&amp;row=843&amp;col=9&amp;number=&amp;sourceID=34","")</f>
        <v/>
      </c>
      <c r="J843" s="4" t="str">
        <f>HYPERLINK("http://141.218.60.56/~jnz1568/getInfo.php?workbook=06_02.xlsx&amp;sheet=A0&amp;row=843&amp;col=10&amp;number=&amp;sourceID=34","")</f>
        <v/>
      </c>
      <c r="K843" s="4" t="str">
        <f>HYPERLINK("http://141.218.60.56/~jnz1568/getInfo.php?workbook=06_02.xlsx&amp;sheet=A0&amp;row=843&amp;col=11&amp;number=&amp;sourceID=30","")</f>
        <v/>
      </c>
      <c r="L843" s="4" t="str">
        <f>HYPERLINK("http://141.218.60.56/~jnz1568/getInfo.php?workbook=06_02.xlsx&amp;sheet=A0&amp;row=843&amp;col=12&amp;number=&amp;sourceID=30","")</f>
        <v/>
      </c>
      <c r="M843" s="4" t="str">
        <f>HYPERLINK("http://141.218.60.56/~jnz1568/getInfo.php?workbook=06_02.xlsx&amp;sheet=A0&amp;row=843&amp;col=13&amp;number=&amp;sourceID=30","")</f>
        <v/>
      </c>
      <c r="N843" s="4" t="str">
        <f>HYPERLINK("http://141.218.60.56/~jnz1568/getInfo.php?workbook=06_02.xlsx&amp;sheet=A0&amp;row=843&amp;col=14&amp;number=0.1297&amp;sourceID=30","0.1297")</f>
        <v>0.1297</v>
      </c>
      <c r="O843" s="4" t="str">
        <f>HYPERLINK("http://141.218.60.56/~jnz1568/getInfo.php?workbook=06_02.xlsx&amp;sheet=A0&amp;row=843&amp;col=15&amp;number=&amp;sourceID=32","")</f>
        <v/>
      </c>
      <c r="P843" s="4" t="str">
        <f>HYPERLINK("http://141.218.60.56/~jnz1568/getInfo.php?workbook=06_02.xlsx&amp;sheet=A0&amp;row=843&amp;col=16&amp;number=&amp;sourceID=32","")</f>
        <v/>
      </c>
      <c r="Q843" s="4" t="str">
        <f>HYPERLINK("http://141.218.60.56/~jnz1568/getInfo.php?workbook=06_02.xlsx&amp;sheet=A0&amp;row=843&amp;col=17&amp;number=&amp;sourceID=32","")</f>
        <v/>
      </c>
      <c r="R843" s="4" t="str">
        <f>HYPERLINK("http://141.218.60.56/~jnz1568/getInfo.php?workbook=06_02.xlsx&amp;sheet=A0&amp;row=843&amp;col=18&amp;number=0.1335&amp;sourceID=32","0.1335")</f>
        <v>0.1335</v>
      </c>
    </row>
    <row r="844" spans="1:18">
      <c r="A844" s="3">
        <v>6</v>
      </c>
      <c r="B844" s="3">
        <v>2</v>
      </c>
      <c r="C844" s="3">
        <v>48</v>
      </c>
      <c r="D844" s="3">
        <v>12</v>
      </c>
      <c r="E844" s="3">
        <f>((1/(INDEX(E0!J$4:J$52,C844,1)-INDEX(E0!J$4:J$52,D844,1))))*100000000</f>
        <v>0</v>
      </c>
      <c r="F844" s="4" t="str">
        <f>HYPERLINK("http://141.218.60.56/~jnz1568/getInfo.php?workbook=06_02.xlsx&amp;sheet=A0&amp;row=844&amp;col=6&amp;number=&amp;sourceID=27","")</f>
        <v/>
      </c>
      <c r="G844" s="4" t="str">
        <f>HYPERLINK("http://141.218.60.56/~jnz1568/getInfo.php?workbook=06_02.xlsx&amp;sheet=A0&amp;row=844&amp;col=7&amp;number=&amp;sourceID=34","")</f>
        <v/>
      </c>
      <c r="H844" s="4" t="str">
        <f>HYPERLINK("http://141.218.60.56/~jnz1568/getInfo.php?workbook=06_02.xlsx&amp;sheet=A0&amp;row=844&amp;col=8&amp;number=&amp;sourceID=34","")</f>
        <v/>
      </c>
      <c r="I844" s="4" t="str">
        <f>HYPERLINK("http://141.218.60.56/~jnz1568/getInfo.php?workbook=06_02.xlsx&amp;sheet=A0&amp;row=844&amp;col=9&amp;number=&amp;sourceID=34","")</f>
        <v/>
      </c>
      <c r="J844" s="4" t="str">
        <f>HYPERLINK("http://141.218.60.56/~jnz1568/getInfo.php?workbook=06_02.xlsx&amp;sheet=A0&amp;row=844&amp;col=10&amp;number=&amp;sourceID=34","")</f>
        <v/>
      </c>
      <c r="K844" s="4" t="str">
        <f>HYPERLINK("http://141.218.60.56/~jnz1568/getInfo.php?workbook=06_02.xlsx&amp;sheet=A0&amp;row=844&amp;col=11&amp;number=801900&amp;sourceID=30","801900")</f>
        <v>801900</v>
      </c>
      <c r="L844" s="4" t="str">
        <f>HYPERLINK("http://141.218.60.56/~jnz1568/getInfo.php?workbook=06_02.xlsx&amp;sheet=A0&amp;row=844&amp;col=12&amp;number=&amp;sourceID=30","")</f>
        <v/>
      </c>
      <c r="M844" s="4" t="str">
        <f>HYPERLINK("http://141.218.60.56/~jnz1568/getInfo.php?workbook=06_02.xlsx&amp;sheet=A0&amp;row=844&amp;col=13&amp;number=&amp;sourceID=30","")</f>
        <v/>
      </c>
      <c r="N844" s="4" t="str">
        <f>HYPERLINK("http://141.218.60.56/~jnz1568/getInfo.php?workbook=06_02.xlsx&amp;sheet=A0&amp;row=844&amp;col=14&amp;number=0.234&amp;sourceID=30","0.234")</f>
        <v>0.234</v>
      </c>
      <c r="O844" s="4" t="str">
        <f>HYPERLINK("http://141.218.60.56/~jnz1568/getInfo.php?workbook=06_02.xlsx&amp;sheet=A0&amp;row=844&amp;col=15&amp;number=1127000&amp;sourceID=32","1127000")</f>
        <v>1127000</v>
      </c>
      <c r="P844" s="4" t="str">
        <f>HYPERLINK("http://141.218.60.56/~jnz1568/getInfo.php?workbook=06_02.xlsx&amp;sheet=A0&amp;row=844&amp;col=16&amp;number=&amp;sourceID=32","")</f>
        <v/>
      </c>
      <c r="Q844" s="4" t="str">
        <f>HYPERLINK("http://141.218.60.56/~jnz1568/getInfo.php?workbook=06_02.xlsx&amp;sheet=A0&amp;row=844&amp;col=17&amp;number=&amp;sourceID=32","")</f>
        <v/>
      </c>
      <c r="R844" s="4" t="str">
        <f>HYPERLINK("http://141.218.60.56/~jnz1568/getInfo.php?workbook=06_02.xlsx&amp;sheet=A0&amp;row=844&amp;col=18&amp;number=0.2422&amp;sourceID=32","0.2422")</f>
        <v>0.2422</v>
      </c>
    </row>
    <row r="845" spans="1:18">
      <c r="A845" s="3">
        <v>6</v>
      </c>
      <c r="B845" s="3">
        <v>2</v>
      </c>
      <c r="C845" s="3">
        <v>48</v>
      </c>
      <c r="D845" s="3">
        <v>13</v>
      </c>
      <c r="E845" s="3">
        <f>((1/(INDEX(E0!J$4:J$52,C845,1)-INDEX(E0!J$4:J$52,D845,1))))*100000000</f>
        <v>0</v>
      </c>
      <c r="F845" s="4" t="str">
        <f>HYPERLINK("http://141.218.60.56/~jnz1568/getInfo.php?workbook=06_02.xlsx&amp;sheet=A0&amp;row=845&amp;col=6&amp;number=&amp;sourceID=27","")</f>
        <v/>
      </c>
      <c r="G845" s="4" t="str">
        <f>HYPERLINK("http://141.218.60.56/~jnz1568/getInfo.php?workbook=06_02.xlsx&amp;sheet=A0&amp;row=845&amp;col=7&amp;number=&amp;sourceID=34","")</f>
        <v/>
      </c>
      <c r="H845" s="4" t="str">
        <f>HYPERLINK("http://141.218.60.56/~jnz1568/getInfo.php?workbook=06_02.xlsx&amp;sheet=A0&amp;row=845&amp;col=8&amp;number=&amp;sourceID=34","")</f>
        <v/>
      </c>
      <c r="I845" s="4" t="str">
        <f>HYPERLINK("http://141.218.60.56/~jnz1568/getInfo.php?workbook=06_02.xlsx&amp;sheet=A0&amp;row=845&amp;col=9&amp;number=&amp;sourceID=34","")</f>
        <v/>
      </c>
      <c r="J845" s="4" t="str">
        <f>HYPERLINK("http://141.218.60.56/~jnz1568/getInfo.php?workbook=06_02.xlsx&amp;sheet=A0&amp;row=845&amp;col=10&amp;number=&amp;sourceID=34","")</f>
        <v/>
      </c>
      <c r="K845" s="4" t="str">
        <f>HYPERLINK("http://141.218.60.56/~jnz1568/getInfo.php?workbook=06_02.xlsx&amp;sheet=A0&amp;row=845&amp;col=11&amp;number=&amp;sourceID=30","")</f>
        <v/>
      </c>
      <c r="L845" s="4" t="str">
        <f>HYPERLINK("http://141.218.60.56/~jnz1568/getInfo.php?workbook=06_02.xlsx&amp;sheet=A0&amp;row=845&amp;col=12&amp;number=4.745&amp;sourceID=30","4.745")</f>
        <v>4.745</v>
      </c>
      <c r="M845" s="4" t="str">
        <f>HYPERLINK("http://141.218.60.56/~jnz1568/getInfo.php?workbook=06_02.xlsx&amp;sheet=A0&amp;row=845&amp;col=13&amp;number=6.414e-05&amp;sourceID=30","6.414e-05")</f>
        <v>6.414e-05</v>
      </c>
      <c r="N845" s="4" t="str">
        <f>HYPERLINK("http://141.218.60.56/~jnz1568/getInfo.php?workbook=06_02.xlsx&amp;sheet=A0&amp;row=845&amp;col=14&amp;number=&amp;sourceID=30","")</f>
        <v/>
      </c>
      <c r="O845" s="4" t="str">
        <f>HYPERLINK("http://141.218.60.56/~jnz1568/getInfo.php?workbook=06_02.xlsx&amp;sheet=A0&amp;row=845&amp;col=15&amp;number=&amp;sourceID=32","")</f>
        <v/>
      </c>
      <c r="P845" s="4" t="str">
        <f>HYPERLINK("http://141.218.60.56/~jnz1568/getInfo.php?workbook=06_02.xlsx&amp;sheet=A0&amp;row=845&amp;col=16&amp;number=6.567&amp;sourceID=32","6.567")</f>
        <v>6.567</v>
      </c>
      <c r="Q845" s="4" t="str">
        <f>HYPERLINK("http://141.218.60.56/~jnz1568/getInfo.php?workbook=06_02.xlsx&amp;sheet=A0&amp;row=845&amp;col=17&amp;number=6.392e-05&amp;sourceID=32","6.392e-05")</f>
        <v>6.392e-05</v>
      </c>
      <c r="R845" s="4" t="str">
        <f>HYPERLINK("http://141.218.60.56/~jnz1568/getInfo.php?workbook=06_02.xlsx&amp;sheet=A0&amp;row=845&amp;col=18&amp;number=&amp;sourceID=32","")</f>
        <v/>
      </c>
    </row>
    <row r="846" spans="1:18">
      <c r="A846" s="3">
        <v>6</v>
      </c>
      <c r="B846" s="3">
        <v>2</v>
      </c>
      <c r="C846" s="3">
        <v>48</v>
      </c>
      <c r="D846" s="3">
        <v>14</v>
      </c>
      <c r="E846" s="3">
        <f>((1/(INDEX(E0!J$4:J$52,C846,1)-INDEX(E0!J$4:J$52,D846,1))))*100000000</f>
        <v>0</v>
      </c>
      <c r="F846" s="4" t="str">
        <f>HYPERLINK("http://141.218.60.56/~jnz1568/getInfo.php?workbook=06_02.xlsx&amp;sheet=A0&amp;row=846&amp;col=6&amp;number=&amp;sourceID=27","")</f>
        <v/>
      </c>
      <c r="G846" s="4" t="str">
        <f>HYPERLINK("http://141.218.60.56/~jnz1568/getInfo.php?workbook=06_02.xlsx&amp;sheet=A0&amp;row=846&amp;col=7&amp;number=&amp;sourceID=34","")</f>
        <v/>
      </c>
      <c r="H846" s="4" t="str">
        <f>HYPERLINK("http://141.218.60.56/~jnz1568/getInfo.php?workbook=06_02.xlsx&amp;sheet=A0&amp;row=846&amp;col=8&amp;number=&amp;sourceID=34","")</f>
        <v/>
      </c>
      <c r="I846" s="4" t="str">
        <f>HYPERLINK("http://141.218.60.56/~jnz1568/getInfo.php?workbook=06_02.xlsx&amp;sheet=A0&amp;row=846&amp;col=9&amp;number=&amp;sourceID=34","")</f>
        <v/>
      </c>
      <c r="J846" s="4" t="str">
        <f>HYPERLINK("http://141.218.60.56/~jnz1568/getInfo.php?workbook=06_02.xlsx&amp;sheet=A0&amp;row=846&amp;col=10&amp;number=&amp;sourceID=34","")</f>
        <v/>
      </c>
      <c r="K846" s="4" t="str">
        <f>HYPERLINK("http://141.218.60.56/~jnz1568/getInfo.php?workbook=06_02.xlsx&amp;sheet=A0&amp;row=846&amp;col=11&amp;number=&amp;sourceID=30","")</f>
        <v/>
      </c>
      <c r="L846" s="4" t="str">
        <f>HYPERLINK("http://141.218.60.56/~jnz1568/getInfo.php?workbook=06_02.xlsx&amp;sheet=A0&amp;row=846&amp;col=12&amp;number=12.57&amp;sourceID=30","12.57")</f>
        <v>12.57</v>
      </c>
      <c r="M846" s="4" t="str">
        <f>HYPERLINK("http://141.218.60.56/~jnz1568/getInfo.php?workbook=06_02.xlsx&amp;sheet=A0&amp;row=846&amp;col=13&amp;number=2.565e-07&amp;sourceID=30","2.565e-07")</f>
        <v>2.565e-07</v>
      </c>
      <c r="N846" s="4" t="str">
        <f>HYPERLINK("http://141.218.60.56/~jnz1568/getInfo.php?workbook=06_02.xlsx&amp;sheet=A0&amp;row=846&amp;col=14&amp;number=&amp;sourceID=30","")</f>
        <v/>
      </c>
      <c r="O846" s="4" t="str">
        <f>HYPERLINK("http://141.218.60.56/~jnz1568/getInfo.php?workbook=06_02.xlsx&amp;sheet=A0&amp;row=846&amp;col=15&amp;number=&amp;sourceID=32","")</f>
        <v/>
      </c>
      <c r="P846" s="4" t="str">
        <f>HYPERLINK("http://141.218.60.56/~jnz1568/getInfo.php?workbook=06_02.xlsx&amp;sheet=A0&amp;row=846&amp;col=16&amp;number=16.26&amp;sourceID=32","16.26")</f>
        <v>16.26</v>
      </c>
      <c r="Q846" s="4" t="str">
        <f>HYPERLINK("http://141.218.60.56/~jnz1568/getInfo.php?workbook=06_02.xlsx&amp;sheet=A0&amp;row=846&amp;col=17&amp;number=1.873e-06&amp;sourceID=32","1.873e-06")</f>
        <v>1.873e-06</v>
      </c>
      <c r="R846" s="4" t="str">
        <f>HYPERLINK("http://141.218.60.56/~jnz1568/getInfo.php?workbook=06_02.xlsx&amp;sheet=A0&amp;row=846&amp;col=18&amp;number=&amp;sourceID=32","")</f>
        <v/>
      </c>
    </row>
    <row r="847" spans="1:18">
      <c r="A847" s="3">
        <v>6</v>
      </c>
      <c r="B847" s="3">
        <v>2</v>
      </c>
      <c r="C847" s="3">
        <v>48</v>
      </c>
      <c r="D847" s="3">
        <v>15</v>
      </c>
      <c r="E847" s="3">
        <f>((1/(INDEX(E0!J$4:J$52,C847,1)-INDEX(E0!J$4:J$52,D847,1))))*100000000</f>
        <v>0</v>
      </c>
      <c r="F847" s="4" t="str">
        <f>HYPERLINK("http://141.218.60.56/~jnz1568/getInfo.php?workbook=06_02.xlsx&amp;sheet=A0&amp;row=847&amp;col=6&amp;number=&amp;sourceID=27","")</f>
        <v/>
      </c>
      <c r="G847" s="4" t="str">
        <f>HYPERLINK("http://141.218.60.56/~jnz1568/getInfo.php?workbook=06_02.xlsx&amp;sheet=A0&amp;row=847&amp;col=7&amp;number=&amp;sourceID=34","")</f>
        <v/>
      </c>
      <c r="H847" s="4" t="str">
        <f>HYPERLINK("http://141.218.60.56/~jnz1568/getInfo.php?workbook=06_02.xlsx&amp;sheet=A0&amp;row=847&amp;col=8&amp;number=&amp;sourceID=34","")</f>
        <v/>
      </c>
      <c r="I847" s="4" t="str">
        <f>HYPERLINK("http://141.218.60.56/~jnz1568/getInfo.php?workbook=06_02.xlsx&amp;sheet=A0&amp;row=847&amp;col=9&amp;number=&amp;sourceID=34","")</f>
        <v/>
      </c>
      <c r="J847" s="4" t="str">
        <f>HYPERLINK("http://141.218.60.56/~jnz1568/getInfo.php?workbook=06_02.xlsx&amp;sheet=A0&amp;row=847&amp;col=10&amp;number=&amp;sourceID=34","")</f>
        <v/>
      </c>
      <c r="K847" s="4" t="str">
        <f>HYPERLINK("http://141.218.60.56/~jnz1568/getInfo.php?workbook=06_02.xlsx&amp;sheet=A0&amp;row=847&amp;col=11&amp;number=&amp;sourceID=30","")</f>
        <v/>
      </c>
      <c r="L847" s="4" t="str">
        <f>HYPERLINK("http://141.218.60.56/~jnz1568/getInfo.php?workbook=06_02.xlsx&amp;sheet=A0&amp;row=847&amp;col=12&amp;number=5.413&amp;sourceID=30","5.413")</f>
        <v>5.413</v>
      </c>
      <c r="M847" s="4" t="str">
        <f>HYPERLINK("http://141.218.60.56/~jnz1568/getInfo.php?workbook=06_02.xlsx&amp;sheet=A0&amp;row=847&amp;col=13&amp;number=0.0004195&amp;sourceID=30","0.0004195")</f>
        <v>0.0004195</v>
      </c>
      <c r="N847" s="4" t="str">
        <f>HYPERLINK("http://141.218.60.56/~jnz1568/getInfo.php?workbook=06_02.xlsx&amp;sheet=A0&amp;row=847&amp;col=14&amp;number=&amp;sourceID=30","")</f>
        <v/>
      </c>
      <c r="O847" s="4" t="str">
        <f>HYPERLINK("http://141.218.60.56/~jnz1568/getInfo.php?workbook=06_02.xlsx&amp;sheet=A0&amp;row=847&amp;col=15&amp;number=&amp;sourceID=32","")</f>
        <v/>
      </c>
      <c r="P847" s="4" t="str">
        <f>HYPERLINK("http://141.218.60.56/~jnz1568/getInfo.php?workbook=06_02.xlsx&amp;sheet=A0&amp;row=847&amp;col=16&amp;number=7.501&amp;sourceID=32","7.501")</f>
        <v>7.501</v>
      </c>
      <c r="Q847" s="4" t="str">
        <f>HYPERLINK("http://141.218.60.56/~jnz1568/getInfo.php?workbook=06_02.xlsx&amp;sheet=A0&amp;row=847&amp;col=17&amp;number=0.0003843&amp;sourceID=32","0.0003843")</f>
        <v>0.0003843</v>
      </c>
      <c r="R847" s="4" t="str">
        <f>HYPERLINK("http://141.218.60.56/~jnz1568/getInfo.php?workbook=06_02.xlsx&amp;sheet=A0&amp;row=847&amp;col=18&amp;number=&amp;sourceID=32","")</f>
        <v/>
      </c>
    </row>
    <row r="848" spans="1:18">
      <c r="A848" s="3">
        <v>6</v>
      </c>
      <c r="B848" s="3">
        <v>2</v>
      </c>
      <c r="C848" s="3">
        <v>48</v>
      </c>
      <c r="D848" s="3">
        <v>16</v>
      </c>
      <c r="E848" s="3">
        <f>((1/(INDEX(E0!J$4:J$52,C848,1)-INDEX(E0!J$4:J$52,D848,1))))*100000000</f>
        <v>0</v>
      </c>
      <c r="F848" s="4" t="str">
        <f>HYPERLINK("http://141.218.60.56/~jnz1568/getInfo.php?workbook=06_02.xlsx&amp;sheet=A0&amp;row=848&amp;col=6&amp;number=&amp;sourceID=27","")</f>
        <v/>
      </c>
      <c r="G848" s="4" t="str">
        <f>HYPERLINK("http://141.218.60.56/~jnz1568/getInfo.php?workbook=06_02.xlsx&amp;sheet=A0&amp;row=848&amp;col=7&amp;number=&amp;sourceID=34","")</f>
        <v/>
      </c>
      <c r="H848" s="4" t="str">
        <f>HYPERLINK("http://141.218.60.56/~jnz1568/getInfo.php?workbook=06_02.xlsx&amp;sheet=A0&amp;row=848&amp;col=8&amp;number=&amp;sourceID=34","")</f>
        <v/>
      </c>
      <c r="I848" s="4" t="str">
        <f>HYPERLINK("http://141.218.60.56/~jnz1568/getInfo.php?workbook=06_02.xlsx&amp;sheet=A0&amp;row=848&amp;col=9&amp;number=&amp;sourceID=34","")</f>
        <v/>
      </c>
      <c r="J848" s="4" t="str">
        <f>HYPERLINK("http://141.218.60.56/~jnz1568/getInfo.php?workbook=06_02.xlsx&amp;sheet=A0&amp;row=848&amp;col=10&amp;number=&amp;sourceID=34","")</f>
        <v/>
      </c>
      <c r="K848" s="4" t="str">
        <f>HYPERLINK("http://141.218.60.56/~jnz1568/getInfo.php?workbook=06_02.xlsx&amp;sheet=A0&amp;row=848&amp;col=11&amp;number=&amp;sourceID=30","")</f>
        <v/>
      </c>
      <c r="L848" s="4" t="str">
        <f>HYPERLINK("http://141.218.60.56/~jnz1568/getInfo.php?workbook=06_02.xlsx&amp;sheet=A0&amp;row=848&amp;col=12&amp;number=9266&amp;sourceID=30","9266")</f>
        <v>9266</v>
      </c>
      <c r="M848" s="4" t="str">
        <f>HYPERLINK("http://141.218.60.56/~jnz1568/getInfo.php?workbook=06_02.xlsx&amp;sheet=A0&amp;row=848&amp;col=13&amp;number=0.0003542&amp;sourceID=30","0.0003542")</f>
        <v>0.0003542</v>
      </c>
      <c r="N848" s="4" t="str">
        <f>HYPERLINK("http://141.218.60.56/~jnz1568/getInfo.php?workbook=06_02.xlsx&amp;sheet=A0&amp;row=848&amp;col=14&amp;number=&amp;sourceID=30","")</f>
        <v/>
      </c>
      <c r="O848" s="4" t="str">
        <f>HYPERLINK("http://141.218.60.56/~jnz1568/getInfo.php?workbook=06_02.xlsx&amp;sheet=A0&amp;row=848&amp;col=15&amp;number=&amp;sourceID=32","")</f>
        <v/>
      </c>
      <c r="P848" s="4" t="str">
        <f>HYPERLINK("http://141.218.60.56/~jnz1568/getInfo.php?workbook=06_02.xlsx&amp;sheet=A0&amp;row=848&amp;col=16&amp;number=8937&amp;sourceID=32","8937")</f>
        <v>8937</v>
      </c>
      <c r="Q848" s="4" t="str">
        <f>HYPERLINK("http://141.218.60.56/~jnz1568/getInfo.php?workbook=06_02.xlsx&amp;sheet=A0&amp;row=848&amp;col=17&amp;number=0.0003528&amp;sourceID=32","0.0003528")</f>
        <v>0.0003528</v>
      </c>
      <c r="R848" s="4" t="str">
        <f>HYPERLINK("http://141.218.60.56/~jnz1568/getInfo.php?workbook=06_02.xlsx&amp;sheet=A0&amp;row=848&amp;col=18&amp;number=&amp;sourceID=32","")</f>
        <v/>
      </c>
    </row>
    <row r="849" spans="1:18">
      <c r="A849" s="3">
        <v>6</v>
      </c>
      <c r="B849" s="3">
        <v>2</v>
      </c>
      <c r="C849" s="3">
        <v>48</v>
      </c>
      <c r="D849" s="3">
        <v>17</v>
      </c>
      <c r="E849" s="3">
        <f>((1/(INDEX(E0!J$4:J$52,C849,1)-INDEX(E0!J$4:J$52,D849,1))))*100000000</f>
        <v>0</v>
      </c>
      <c r="F849" s="4" t="str">
        <f>HYPERLINK("http://141.218.60.56/~jnz1568/getInfo.php?workbook=06_02.xlsx&amp;sheet=A0&amp;row=849&amp;col=6&amp;number=&amp;sourceID=27","")</f>
        <v/>
      </c>
      <c r="G849" s="4" t="str">
        <f>HYPERLINK("http://141.218.60.56/~jnz1568/getInfo.php?workbook=06_02.xlsx&amp;sheet=A0&amp;row=849&amp;col=7&amp;number=2100000000&amp;sourceID=34","2100000000")</f>
        <v>2100000000</v>
      </c>
      <c r="H849" s="4" t="str">
        <f>HYPERLINK("http://141.218.60.56/~jnz1568/getInfo.php?workbook=06_02.xlsx&amp;sheet=A0&amp;row=849&amp;col=8&amp;number=&amp;sourceID=34","")</f>
        <v/>
      </c>
      <c r="I849" s="4" t="str">
        <f>HYPERLINK("http://141.218.60.56/~jnz1568/getInfo.php?workbook=06_02.xlsx&amp;sheet=A0&amp;row=849&amp;col=9&amp;number=&amp;sourceID=34","")</f>
        <v/>
      </c>
      <c r="J849" s="4" t="str">
        <f>HYPERLINK("http://141.218.60.56/~jnz1568/getInfo.php?workbook=06_02.xlsx&amp;sheet=A0&amp;row=849&amp;col=10&amp;number=&amp;sourceID=34","")</f>
        <v/>
      </c>
      <c r="K849" s="4" t="str">
        <f>HYPERLINK("http://141.218.60.56/~jnz1568/getInfo.php?workbook=06_02.xlsx&amp;sheet=A0&amp;row=849&amp;col=11&amp;number=2260000000&amp;sourceID=30","2260000000")</f>
        <v>2260000000</v>
      </c>
      <c r="L849" s="4" t="str">
        <f>HYPERLINK("http://141.218.60.56/~jnz1568/getInfo.php?workbook=06_02.xlsx&amp;sheet=A0&amp;row=849&amp;col=12&amp;number=&amp;sourceID=30","")</f>
        <v/>
      </c>
      <c r="M849" s="4" t="str">
        <f>HYPERLINK("http://141.218.60.56/~jnz1568/getInfo.php?workbook=06_02.xlsx&amp;sheet=A0&amp;row=849&amp;col=13&amp;number=&amp;sourceID=30","")</f>
        <v/>
      </c>
      <c r="N849" s="4" t="str">
        <f>HYPERLINK("http://141.218.60.56/~jnz1568/getInfo.php?workbook=06_02.xlsx&amp;sheet=A0&amp;row=849&amp;col=14&amp;number=0.261&amp;sourceID=30","0.261")</f>
        <v>0.261</v>
      </c>
      <c r="O849" s="4" t="str">
        <f>HYPERLINK("http://141.218.60.56/~jnz1568/getInfo.php?workbook=06_02.xlsx&amp;sheet=A0&amp;row=849&amp;col=15&amp;number=2098000000&amp;sourceID=32","2098000000")</f>
        <v>2098000000</v>
      </c>
      <c r="P849" s="4" t="str">
        <f>HYPERLINK("http://141.218.60.56/~jnz1568/getInfo.php?workbook=06_02.xlsx&amp;sheet=A0&amp;row=849&amp;col=16&amp;number=&amp;sourceID=32","")</f>
        <v/>
      </c>
      <c r="Q849" s="4" t="str">
        <f>HYPERLINK("http://141.218.60.56/~jnz1568/getInfo.php?workbook=06_02.xlsx&amp;sheet=A0&amp;row=849&amp;col=17&amp;number=&amp;sourceID=32","")</f>
        <v/>
      </c>
      <c r="R849" s="4" t="str">
        <f>HYPERLINK("http://141.218.60.56/~jnz1568/getInfo.php?workbook=06_02.xlsx&amp;sheet=A0&amp;row=849&amp;col=18&amp;number=0.2469&amp;sourceID=32","0.2469")</f>
        <v>0.2469</v>
      </c>
    </row>
    <row r="850" spans="1:18">
      <c r="A850" s="3">
        <v>6</v>
      </c>
      <c r="B850" s="3">
        <v>2</v>
      </c>
      <c r="C850" s="3">
        <v>48</v>
      </c>
      <c r="D850" s="3">
        <v>18</v>
      </c>
      <c r="E850" s="3">
        <f>((1/(INDEX(E0!J$4:J$52,C850,1)-INDEX(E0!J$4:J$52,D850,1))))*100000000</f>
        <v>0</v>
      </c>
      <c r="F850" s="4" t="str">
        <f>HYPERLINK("http://141.218.60.56/~jnz1568/getInfo.php?workbook=06_02.xlsx&amp;sheet=A0&amp;row=850&amp;col=6&amp;number=&amp;sourceID=27","")</f>
        <v/>
      </c>
      <c r="G850" s="4" t="str">
        <f>HYPERLINK("http://141.218.60.56/~jnz1568/getInfo.php?workbook=06_02.xlsx&amp;sheet=A0&amp;row=850&amp;col=7&amp;number=&amp;sourceID=34","")</f>
        <v/>
      </c>
      <c r="H850" s="4" t="str">
        <f>HYPERLINK("http://141.218.60.56/~jnz1568/getInfo.php?workbook=06_02.xlsx&amp;sheet=A0&amp;row=850&amp;col=8&amp;number=&amp;sourceID=34","")</f>
        <v/>
      </c>
      <c r="I850" s="4" t="str">
        <f>HYPERLINK("http://141.218.60.56/~jnz1568/getInfo.php?workbook=06_02.xlsx&amp;sheet=A0&amp;row=850&amp;col=9&amp;number=&amp;sourceID=34","")</f>
        <v/>
      </c>
      <c r="J850" s="4" t="str">
        <f>HYPERLINK("http://141.218.60.56/~jnz1568/getInfo.php?workbook=06_02.xlsx&amp;sheet=A0&amp;row=850&amp;col=10&amp;number=&amp;sourceID=34","")</f>
        <v/>
      </c>
      <c r="K850" s="4" t="str">
        <f>HYPERLINK("http://141.218.60.56/~jnz1568/getInfo.php?workbook=06_02.xlsx&amp;sheet=A0&amp;row=850&amp;col=11&amp;number=&amp;sourceID=30","")</f>
        <v/>
      </c>
      <c r="L850" s="4" t="str">
        <f>HYPERLINK("http://141.218.60.56/~jnz1568/getInfo.php?workbook=06_02.xlsx&amp;sheet=A0&amp;row=850&amp;col=12&amp;number=15.05&amp;sourceID=30","15.05")</f>
        <v>15.05</v>
      </c>
      <c r="M850" s="4" t="str">
        <f>HYPERLINK("http://141.218.60.56/~jnz1568/getInfo.php?workbook=06_02.xlsx&amp;sheet=A0&amp;row=850&amp;col=13&amp;number=3.469e-08&amp;sourceID=30","3.469e-08")</f>
        <v>3.469e-08</v>
      </c>
      <c r="N850" s="4" t="str">
        <f>HYPERLINK("http://141.218.60.56/~jnz1568/getInfo.php?workbook=06_02.xlsx&amp;sheet=A0&amp;row=850&amp;col=14&amp;number=&amp;sourceID=30","")</f>
        <v/>
      </c>
      <c r="O850" s="4" t="str">
        <f>HYPERLINK("http://141.218.60.56/~jnz1568/getInfo.php?workbook=06_02.xlsx&amp;sheet=A0&amp;row=850&amp;col=15&amp;number=&amp;sourceID=32","")</f>
        <v/>
      </c>
      <c r="P850" s="4" t="str">
        <f>HYPERLINK("http://141.218.60.56/~jnz1568/getInfo.php?workbook=06_02.xlsx&amp;sheet=A0&amp;row=850&amp;col=16&amp;number=21.09&amp;sourceID=32","21.09")</f>
        <v>21.09</v>
      </c>
      <c r="Q850" s="4" t="str">
        <f>HYPERLINK("http://141.218.60.56/~jnz1568/getInfo.php?workbook=06_02.xlsx&amp;sheet=A0&amp;row=850&amp;col=17&amp;number=6.993e-08&amp;sourceID=32","6.993e-08")</f>
        <v>6.993e-08</v>
      </c>
      <c r="R850" s="4" t="str">
        <f>HYPERLINK("http://141.218.60.56/~jnz1568/getInfo.php?workbook=06_02.xlsx&amp;sheet=A0&amp;row=850&amp;col=18&amp;number=&amp;sourceID=32","")</f>
        <v/>
      </c>
    </row>
    <row r="851" spans="1:18">
      <c r="A851" s="3">
        <v>6</v>
      </c>
      <c r="B851" s="3">
        <v>2</v>
      </c>
      <c r="C851" s="3">
        <v>48</v>
      </c>
      <c r="D851" s="3">
        <v>19</v>
      </c>
      <c r="E851" s="3">
        <f>((1/(INDEX(E0!J$4:J$52,C851,1)-INDEX(E0!J$4:J$52,D851,1))))*100000000</f>
        <v>0</v>
      </c>
      <c r="F851" s="4" t="str">
        <f>HYPERLINK("http://141.218.60.56/~jnz1568/getInfo.php?workbook=06_02.xlsx&amp;sheet=A0&amp;row=851&amp;col=6&amp;number=&amp;sourceID=27","")</f>
        <v/>
      </c>
      <c r="G851" s="4" t="str">
        <f>HYPERLINK("http://141.218.60.56/~jnz1568/getInfo.php?workbook=06_02.xlsx&amp;sheet=A0&amp;row=851&amp;col=7&amp;number=&amp;sourceID=34","")</f>
        <v/>
      </c>
      <c r="H851" s="4" t="str">
        <f>HYPERLINK("http://141.218.60.56/~jnz1568/getInfo.php?workbook=06_02.xlsx&amp;sheet=A0&amp;row=851&amp;col=8&amp;number=&amp;sourceID=34","")</f>
        <v/>
      </c>
      <c r="I851" s="4" t="str">
        <f>HYPERLINK("http://141.218.60.56/~jnz1568/getInfo.php?workbook=06_02.xlsx&amp;sheet=A0&amp;row=851&amp;col=9&amp;number=&amp;sourceID=34","")</f>
        <v/>
      </c>
      <c r="J851" s="4" t="str">
        <f>HYPERLINK("http://141.218.60.56/~jnz1568/getInfo.php?workbook=06_02.xlsx&amp;sheet=A0&amp;row=851&amp;col=10&amp;number=&amp;sourceID=34","")</f>
        <v/>
      </c>
      <c r="K851" s="4" t="str">
        <f>HYPERLINK("http://141.218.60.56/~jnz1568/getInfo.php?workbook=06_02.xlsx&amp;sheet=A0&amp;row=851&amp;col=11&amp;number=&amp;sourceID=30","")</f>
        <v/>
      </c>
      <c r="L851" s="4" t="str">
        <f>HYPERLINK("http://141.218.60.56/~jnz1568/getInfo.php?workbook=06_02.xlsx&amp;sheet=A0&amp;row=851&amp;col=12&amp;number=9612&amp;sourceID=30","9612")</f>
        <v>9612</v>
      </c>
      <c r="M851" s="4" t="str">
        <f>HYPERLINK("http://141.218.60.56/~jnz1568/getInfo.php?workbook=06_02.xlsx&amp;sheet=A0&amp;row=851&amp;col=13&amp;number=&amp;sourceID=30","")</f>
        <v/>
      </c>
      <c r="N851" s="4" t="str">
        <f>HYPERLINK("http://141.218.60.56/~jnz1568/getInfo.php?workbook=06_02.xlsx&amp;sheet=A0&amp;row=851&amp;col=14&amp;number=&amp;sourceID=30","")</f>
        <v/>
      </c>
      <c r="O851" s="4" t="str">
        <f>HYPERLINK("http://141.218.60.56/~jnz1568/getInfo.php?workbook=06_02.xlsx&amp;sheet=A0&amp;row=851&amp;col=15&amp;number=&amp;sourceID=32","")</f>
        <v/>
      </c>
      <c r="P851" s="4" t="str">
        <f>HYPERLINK("http://141.218.60.56/~jnz1568/getInfo.php?workbook=06_02.xlsx&amp;sheet=A0&amp;row=851&amp;col=16&amp;number=9090&amp;sourceID=32","9090")</f>
        <v>9090</v>
      </c>
      <c r="Q851" s="4" t="str">
        <f>HYPERLINK("http://141.218.60.56/~jnz1568/getInfo.php?workbook=06_02.xlsx&amp;sheet=A0&amp;row=851&amp;col=17&amp;number=&amp;sourceID=32","")</f>
        <v/>
      </c>
      <c r="R851" s="4" t="str">
        <f>HYPERLINK("http://141.218.60.56/~jnz1568/getInfo.php?workbook=06_02.xlsx&amp;sheet=A0&amp;row=851&amp;col=18&amp;number=&amp;sourceID=32","")</f>
        <v/>
      </c>
    </row>
    <row r="852" spans="1:18">
      <c r="A852" s="3">
        <v>6</v>
      </c>
      <c r="B852" s="3">
        <v>2</v>
      </c>
      <c r="C852" s="3">
        <v>48</v>
      </c>
      <c r="D852" s="3">
        <v>20</v>
      </c>
      <c r="E852" s="3">
        <f>((1/(INDEX(E0!J$4:J$52,C852,1)-INDEX(E0!J$4:J$52,D852,1))))*100000000</f>
        <v>0</v>
      </c>
      <c r="F852" s="4" t="str">
        <f>HYPERLINK("http://141.218.60.56/~jnz1568/getInfo.php?workbook=06_02.xlsx&amp;sheet=A0&amp;row=852&amp;col=6&amp;number=&amp;sourceID=27","")</f>
        <v/>
      </c>
      <c r="G852" s="4" t="str">
        <f>HYPERLINK("http://141.218.60.56/~jnz1568/getInfo.php?workbook=06_02.xlsx&amp;sheet=A0&amp;row=852&amp;col=7&amp;number=&amp;sourceID=34","")</f>
        <v/>
      </c>
      <c r="H852" s="4" t="str">
        <f>HYPERLINK("http://141.218.60.56/~jnz1568/getInfo.php?workbook=06_02.xlsx&amp;sheet=A0&amp;row=852&amp;col=8&amp;number=&amp;sourceID=34","")</f>
        <v/>
      </c>
      <c r="I852" s="4" t="str">
        <f>HYPERLINK("http://141.218.60.56/~jnz1568/getInfo.php?workbook=06_02.xlsx&amp;sheet=A0&amp;row=852&amp;col=9&amp;number=&amp;sourceID=34","")</f>
        <v/>
      </c>
      <c r="J852" s="4" t="str">
        <f>HYPERLINK("http://141.218.60.56/~jnz1568/getInfo.php?workbook=06_02.xlsx&amp;sheet=A0&amp;row=852&amp;col=10&amp;number=&amp;sourceID=34","")</f>
        <v/>
      </c>
      <c r="K852" s="4" t="str">
        <f>HYPERLINK("http://141.218.60.56/~jnz1568/getInfo.php?workbook=06_02.xlsx&amp;sheet=A0&amp;row=852&amp;col=11&amp;number=&amp;sourceID=30","")</f>
        <v/>
      </c>
      <c r="L852" s="4" t="str">
        <f>HYPERLINK("http://141.218.60.56/~jnz1568/getInfo.php?workbook=06_02.xlsx&amp;sheet=A0&amp;row=852&amp;col=12&amp;number=&amp;sourceID=30","")</f>
        <v/>
      </c>
      <c r="M852" s="4" t="str">
        <f>HYPERLINK("http://141.218.60.56/~jnz1568/getInfo.php?workbook=06_02.xlsx&amp;sheet=A0&amp;row=852&amp;col=13&amp;number=&amp;sourceID=30","")</f>
        <v/>
      </c>
      <c r="N852" s="4" t="str">
        <f>HYPERLINK("http://141.218.60.56/~jnz1568/getInfo.php?workbook=06_02.xlsx&amp;sheet=A0&amp;row=852&amp;col=14&amp;number=0.005436&amp;sourceID=30","0.005436")</f>
        <v>0.005436</v>
      </c>
      <c r="O852" s="4" t="str">
        <f>HYPERLINK("http://141.218.60.56/~jnz1568/getInfo.php?workbook=06_02.xlsx&amp;sheet=A0&amp;row=852&amp;col=15&amp;number=&amp;sourceID=32","")</f>
        <v/>
      </c>
      <c r="P852" s="4" t="str">
        <f>HYPERLINK("http://141.218.60.56/~jnz1568/getInfo.php?workbook=06_02.xlsx&amp;sheet=A0&amp;row=852&amp;col=16&amp;number=&amp;sourceID=32","")</f>
        <v/>
      </c>
      <c r="Q852" s="4" t="str">
        <f>HYPERLINK("http://141.218.60.56/~jnz1568/getInfo.php?workbook=06_02.xlsx&amp;sheet=A0&amp;row=852&amp;col=17&amp;number=&amp;sourceID=32","")</f>
        <v/>
      </c>
      <c r="R852" s="4" t="str">
        <f>HYPERLINK("http://141.218.60.56/~jnz1568/getInfo.php?workbook=06_02.xlsx&amp;sheet=A0&amp;row=852&amp;col=18&amp;number=0.005512&amp;sourceID=32","0.005512")</f>
        <v>0.005512</v>
      </c>
    </row>
    <row r="853" spans="1:18">
      <c r="A853" s="3">
        <v>6</v>
      </c>
      <c r="B853" s="3">
        <v>2</v>
      </c>
      <c r="C853" s="3">
        <v>48</v>
      </c>
      <c r="D853" s="3">
        <v>21</v>
      </c>
      <c r="E853" s="3">
        <f>((1/(INDEX(E0!J$4:J$52,C853,1)-INDEX(E0!J$4:J$52,D853,1))))*100000000</f>
        <v>0</v>
      </c>
      <c r="F853" s="4" t="str">
        <f>HYPERLINK("http://141.218.60.56/~jnz1568/getInfo.php?workbook=06_02.xlsx&amp;sheet=A0&amp;row=853&amp;col=6&amp;number=&amp;sourceID=27","")</f>
        <v/>
      </c>
      <c r="G853" s="4" t="str">
        <f>HYPERLINK("http://141.218.60.56/~jnz1568/getInfo.php?workbook=06_02.xlsx&amp;sheet=A0&amp;row=853&amp;col=7&amp;number=&amp;sourceID=34","")</f>
        <v/>
      </c>
      <c r="H853" s="4" t="str">
        <f>HYPERLINK("http://141.218.60.56/~jnz1568/getInfo.php?workbook=06_02.xlsx&amp;sheet=A0&amp;row=853&amp;col=8&amp;number=&amp;sourceID=34","")</f>
        <v/>
      </c>
      <c r="I853" s="4" t="str">
        <f>HYPERLINK("http://141.218.60.56/~jnz1568/getInfo.php?workbook=06_02.xlsx&amp;sheet=A0&amp;row=853&amp;col=9&amp;number=&amp;sourceID=34","")</f>
        <v/>
      </c>
      <c r="J853" s="4" t="str">
        <f>HYPERLINK("http://141.218.60.56/~jnz1568/getInfo.php?workbook=06_02.xlsx&amp;sheet=A0&amp;row=853&amp;col=10&amp;number=&amp;sourceID=34","")</f>
        <v/>
      </c>
      <c r="K853" s="4" t="str">
        <f>HYPERLINK("http://141.218.60.56/~jnz1568/getInfo.php?workbook=06_02.xlsx&amp;sheet=A0&amp;row=853&amp;col=11&amp;number=699200&amp;sourceID=30","699200")</f>
        <v>699200</v>
      </c>
      <c r="L853" s="4" t="str">
        <f>HYPERLINK("http://141.218.60.56/~jnz1568/getInfo.php?workbook=06_02.xlsx&amp;sheet=A0&amp;row=853&amp;col=12&amp;number=&amp;sourceID=30","")</f>
        <v/>
      </c>
      <c r="M853" s="4" t="str">
        <f>HYPERLINK("http://141.218.60.56/~jnz1568/getInfo.php?workbook=06_02.xlsx&amp;sheet=A0&amp;row=853&amp;col=13&amp;number=&amp;sourceID=30","")</f>
        <v/>
      </c>
      <c r="N853" s="4" t="str">
        <f>HYPERLINK("http://141.218.60.56/~jnz1568/getInfo.php?workbook=06_02.xlsx&amp;sheet=A0&amp;row=853&amp;col=14&amp;number=0.01275&amp;sourceID=30","0.01275")</f>
        <v>0.01275</v>
      </c>
      <c r="O853" s="4" t="str">
        <f>HYPERLINK("http://141.218.60.56/~jnz1568/getInfo.php?workbook=06_02.xlsx&amp;sheet=A0&amp;row=853&amp;col=15&amp;number=1010000&amp;sourceID=32","1010000")</f>
        <v>1010000</v>
      </c>
      <c r="P853" s="4" t="str">
        <f>HYPERLINK("http://141.218.60.56/~jnz1568/getInfo.php?workbook=06_02.xlsx&amp;sheet=A0&amp;row=853&amp;col=16&amp;number=&amp;sourceID=32","")</f>
        <v/>
      </c>
      <c r="Q853" s="4" t="str">
        <f>HYPERLINK("http://141.218.60.56/~jnz1568/getInfo.php?workbook=06_02.xlsx&amp;sheet=A0&amp;row=853&amp;col=17&amp;number=&amp;sourceID=32","")</f>
        <v/>
      </c>
      <c r="R853" s="4" t="str">
        <f>HYPERLINK("http://141.218.60.56/~jnz1568/getInfo.php?workbook=06_02.xlsx&amp;sheet=A0&amp;row=853&amp;col=18&amp;number=0.01304&amp;sourceID=32","0.01304")</f>
        <v>0.01304</v>
      </c>
    </row>
    <row r="854" spans="1:18">
      <c r="A854" s="3">
        <v>6</v>
      </c>
      <c r="B854" s="3">
        <v>2</v>
      </c>
      <c r="C854" s="3">
        <v>48</v>
      </c>
      <c r="D854" s="3">
        <v>22</v>
      </c>
      <c r="E854" s="3">
        <f>((1/(INDEX(E0!J$4:J$52,C854,1)-INDEX(E0!J$4:J$52,D854,1))))*100000000</f>
        <v>0</v>
      </c>
      <c r="F854" s="4" t="str">
        <f>HYPERLINK("http://141.218.60.56/~jnz1568/getInfo.php?workbook=06_02.xlsx&amp;sheet=A0&amp;row=854&amp;col=6&amp;number=&amp;sourceID=27","")</f>
        <v/>
      </c>
      <c r="G854" s="4" t="str">
        <f>HYPERLINK("http://141.218.60.56/~jnz1568/getInfo.php?workbook=06_02.xlsx&amp;sheet=A0&amp;row=854&amp;col=7&amp;number=&amp;sourceID=34","")</f>
        <v/>
      </c>
      <c r="H854" s="4" t="str">
        <f>HYPERLINK("http://141.218.60.56/~jnz1568/getInfo.php?workbook=06_02.xlsx&amp;sheet=A0&amp;row=854&amp;col=8&amp;number=&amp;sourceID=34","")</f>
        <v/>
      </c>
      <c r="I854" s="4" t="str">
        <f>HYPERLINK("http://141.218.60.56/~jnz1568/getInfo.php?workbook=06_02.xlsx&amp;sheet=A0&amp;row=854&amp;col=9&amp;number=&amp;sourceID=34","")</f>
        <v/>
      </c>
      <c r="J854" s="4" t="str">
        <f>HYPERLINK("http://141.218.60.56/~jnz1568/getInfo.php?workbook=06_02.xlsx&amp;sheet=A0&amp;row=854&amp;col=10&amp;number=&amp;sourceID=34","")</f>
        <v/>
      </c>
      <c r="K854" s="4" t="str">
        <f>HYPERLINK("http://141.218.60.56/~jnz1568/getInfo.php?workbook=06_02.xlsx&amp;sheet=A0&amp;row=854&amp;col=11&amp;number=330300&amp;sourceID=30","330300")</f>
        <v>330300</v>
      </c>
      <c r="L854" s="4" t="str">
        <f>HYPERLINK("http://141.218.60.56/~jnz1568/getInfo.php?workbook=06_02.xlsx&amp;sheet=A0&amp;row=854&amp;col=12&amp;number=&amp;sourceID=30","")</f>
        <v/>
      </c>
      <c r="M854" s="4" t="str">
        <f>HYPERLINK("http://141.218.60.56/~jnz1568/getInfo.php?workbook=06_02.xlsx&amp;sheet=A0&amp;row=854&amp;col=13&amp;number=&amp;sourceID=30","")</f>
        <v/>
      </c>
      <c r="N854" s="4" t="str">
        <f>HYPERLINK("http://141.218.60.56/~jnz1568/getInfo.php?workbook=06_02.xlsx&amp;sheet=A0&amp;row=854&amp;col=14&amp;number=0.009811&amp;sourceID=30","0.009811")</f>
        <v>0.009811</v>
      </c>
      <c r="O854" s="4" t="str">
        <f>HYPERLINK("http://141.218.60.56/~jnz1568/getInfo.php?workbook=06_02.xlsx&amp;sheet=A0&amp;row=854&amp;col=15&amp;number=456400&amp;sourceID=32","456400")</f>
        <v>456400</v>
      </c>
      <c r="P854" s="4" t="str">
        <f>HYPERLINK("http://141.218.60.56/~jnz1568/getInfo.php?workbook=06_02.xlsx&amp;sheet=A0&amp;row=854&amp;col=16&amp;number=&amp;sourceID=32","")</f>
        <v/>
      </c>
      <c r="Q854" s="4" t="str">
        <f>HYPERLINK("http://141.218.60.56/~jnz1568/getInfo.php?workbook=06_02.xlsx&amp;sheet=A0&amp;row=854&amp;col=17&amp;number=&amp;sourceID=32","")</f>
        <v/>
      </c>
      <c r="R854" s="4" t="str">
        <f>HYPERLINK("http://141.218.60.56/~jnz1568/getInfo.php?workbook=06_02.xlsx&amp;sheet=A0&amp;row=854&amp;col=18&amp;number=0.01&amp;sourceID=32","0.01")</f>
        <v>0.01</v>
      </c>
    </row>
    <row r="855" spans="1:18">
      <c r="A855" s="3">
        <v>6</v>
      </c>
      <c r="B855" s="3">
        <v>2</v>
      </c>
      <c r="C855" s="3">
        <v>48</v>
      </c>
      <c r="D855" s="3">
        <v>23</v>
      </c>
      <c r="E855" s="3">
        <f>((1/(INDEX(E0!J$4:J$52,C855,1)-INDEX(E0!J$4:J$52,D855,1))))*100000000</f>
        <v>0</v>
      </c>
      <c r="F855" s="4" t="str">
        <f>HYPERLINK("http://141.218.60.56/~jnz1568/getInfo.php?workbook=06_02.xlsx&amp;sheet=A0&amp;row=855&amp;col=6&amp;number=&amp;sourceID=27","")</f>
        <v/>
      </c>
      <c r="G855" s="4" t="str">
        <f>HYPERLINK("http://141.218.60.56/~jnz1568/getInfo.php?workbook=06_02.xlsx&amp;sheet=A0&amp;row=855&amp;col=7&amp;number=&amp;sourceID=34","")</f>
        <v/>
      </c>
      <c r="H855" s="4" t="str">
        <f>HYPERLINK("http://141.218.60.56/~jnz1568/getInfo.php?workbook=06_02.xlsx&amp;sheet=A0&amp;row=855&amp;col=8&amp;number=&amp;sourceID=34","")</f>
        <v/>
      </c>
      <c r="I855" s="4" t="str">
        <f>HYPERLINK("http://141.218.60.56/~jnz1568/getInfo.php?workbook=06_02.xlsx&amp;sheet=A0&amp;row=855&amp;col=9&amp;number=&amp;sourceID=34","")</f>
        <v/>
      </c>
      <c r="J855" s="4" t="str">
        <f>HYPERLINK("http://141.218.60.56/~jnz1568/getInfo.php?workbook=06_02.xlsx&amp;sheet=A0&amp;row=855&amp;col=10&amp;number=&amp;sourceID=34","")</f>
        <v/>
      </c>
      <c r="K855" s="4" t="str">
        <f>HYPERLINK("http://141.218.60.56/~jnz1568/getInfo.php?workbook=06_02.xlsx&amp;sheet=A0&amp;row=855&amp;col=11&amp;number=&amp;sourceID=30","")</f>
        <v/>
      </c>
      <c r="L855" s="4" t="str">
        <f>HYPERLINK("http://141.218.60.56/~jnz1568/getInfo.php?workbook=06_02.xlsx&amp;sheet=A0&amp;row=855&amp;col=12&amp;number=2.213&amp;sourceID=30","2.213")</f>
        <v>2.213</v>
      </c>
      <c r="M855" s="4" t="str">
        <f>HYPERLINK("http://141.218.60.56/~jnz1568/getInfo.php?workbook=06_02.xlsx&amp;sheet=A0&amp;row=855&amp;col=13&amp;number=1.94e-05&amp;sourceID=30","1.94e-05")</f>
        <v>1.94e-05</v>
      </c>
      <c r="N855" s="4" t="str">
        <f>HYPERLINK("http://141.218.60.56/~jnz1568/getInfo.php?workbook=06_02.xlsx&amp;sheet=A0&amp;row=855&amp;col=14&amp;number=&amp;sourceID=30","")</f>
        <v/>
      </c>
      <c r="O855" s="4" t="str">
        <f>HYPERLINK("http://141.218.60.56/~jnz1568/getInfo.php?workbook=06_02.xlsx&amp;sheet=A0&amp;row=855&amp;col=15&amp;number=&amp;sourceID=32","")</f>
        <v/>
      </c>
      <c r="P855" s="4" t="str">
        <f>HYPERLINK("http://141.218.60.56/~jnz1568/getInfo.php?workbook=06_02.xlsx&amp;sheet=A0&amp;row=855&amp;col=16&amp;number=3.037&amp;sourceID=32","3.037")</f>
        <v>3.037</v>
      </c>
      <c r="Q855" s="4" t="str">
        <f>HYPERLINK("http://141.218.60.56/~jnz1568/getInfo.php?workbook=06_02.xlsx&amp;sheet=A0&amp;row=855&amp;col=17&amp;number=1.891e-05&amp;sourceID=32","1.891e-05")</f>
        <v>1.891e-05</v>
      </c>
      <c r="R855" s="4" t="str">
        <f>HYPERLINK("http://141.218.60.56/~jnz1568/getInfo.php?workbook=06_02.xlsx&amp;sheet=A0&amp;row=855&amp;col=18&amp;number=&amp;sourceID=32","")</f>
        <v/>
      </c>
    </row>
    <row r="856" spans="1:18">
      <c r="A856" s="3">
        <v>6</v>
      </c>
      <c r="B856" s="3">
        <v>2</v>
      </c>
      <c r="C856" s="3">
        <v>48</v>
      </c>
      <c r="D856" s="3">
        <v>24</v>
      </c>
      <c r="E856" s="3">
        <f>((1/(INDEX(E0!J$4:J$52,C856,1)-INDEX(E0!J$4:J$52,D856,1))))*100000000</f>
        <v>0</v>
      </c>
      <c r="F856" s="4" t="str">
        <f>HYPERLINK("http://141.218.60.56/~jnz1568/getInfo.php?workbook=06_02.xlsx&amp;sheet=A0&amp;row=856&amp;col=6&amp;number=&amp;sourceID=27","")</f>
        <v/>
      </c>
      <c r="G856" s="4" t="str">
        <f>HYPERLINK("http://141.218.60.56/~jnz1568/getInfo.php?workbook=06_02.xlsx&amp;sheet=A0&amp;row=856&amp;col=7&amp;number=&amp;sourceID=34","")</f>
        <v/>
      </c>
      <c r="H856" s="4" t="str">
        <f>HYPERLINK("http://141.218.60.56/~jnz1568/getInfo.php?workbook=06_02.xlsx&amp;sheet=A0&amp;row=856&amp;col=8&amp;number=&amp;sourceID=34","")</f>
        <v/>
      </c>
      <c r="I856" s="4" t="str">
        <f>HYPERLINK("http://141.218.60.56/~jnz1568/getInfo.php?workbook=06_02.xlsx&amp;sheet=A0&amp;row=856&amp;col=9&amp;number=&amp;sourceID=34","")</f>
        <v/>
      </c>
      <c r="J856" s="4" t="str">
        <f>HYPERLINK("http://141.218.60.56/~jnz1568/getInfo.php?workbook=06_02.xlsx&amp;sheet=A0&amp;row=856&amp;col=10&amp;number=&amp;sourceID=34","")</f>
        <v/>
      </c>
      <c r="K856" s="4" t="str">
        <f>HYPERLINK("http://141.218.60.56/~jnz1568/getInfo.php?workbook=06_02.xlsx&amp;sheet=A0&amp;row=856&amp;col=11&amp;number=&amp;sourceID=30","")</f>
        <v/>
      </c>
      <c r="L856" s="4" t="str">
        <f>HYPERLINK("http://141.218.60.56/~jnz1568/getInfo.php?workbook=06_02.xlsx&amp;sheet=A0&amp;row=856&amp;col=12&amp;number=2.32&amp;sourceID=30","2.32")</f>
        <v>2.32</v>
      </c>
      <c r="M856" s="4" t="str">
        <f>HYPERLINK("http://141.218.60.56/~jnz1568/getInfo.php?workbook=06_02.xlsx&amp;sheet=A0&amp;row=856&amp;col=13&amp;number=1.537e-06&amp;sourceID=30","1.537e-06")</f>
        <v>1.537e-06</v>
      </c>
      <c r="N856" s="4" t="str">
        <f>HYPERLINK("http://141.218.60.56/~jnz1568/getInfo.php?workbook=06_02.xlsx&amp;sheet=A0&amp;row=856&amp;col=14&amp;number=&amp;sourceID=30","")</f>
        <v/>
      </c>
      <c r="O856" s="4" t="str">
        <f>HYPERLINK("http://141.218.60.56/~jnz1568/getInfo.php?workbook=06_02.xlsx&amp;sheet=A0&amp;row=856&amp;col=15&amp;number=&amp;sourceID=32","")</f>
        <v/>
      </c>
      <c r="P856" s="4" t="str">
        <f>HYPERLINK("http://141.218.60.56/~jnz1568/getInfo.php?workbook=06_02.xlsx&amp;sheet=A0&amp;row=856&amp;col=16&amp;number=3.135&amp;sourceID=32","3.135")</f>
        <v>3.135</v>
      </c>
      <c r="Q856" s="4" t="str">
        <f>HYPERLINK("http://141.218.60.56/~jnz1568/getInfo.php?workbook=06_02.xlsx&amp;sheet=A0&amp;row=856&amp;col=17&amp;number=1.921e-06&amp;sourceID=32","1.921e-06")</f>
        <v>1.921e-06</v>
      </c>
      <c r="R856" s="4" t="str">
        <f>HYPERLINK("http://141.218.60.56/~jnz1568/getInfo.php?workbook=06_02.xlsx&amp;sheet=A0&amp;row=856&amp;col=18&amp;number=&amp;sourceID=32","")</f>
        <v/>
      </c>
    </row>
    <row r="857" spans="1:18">
      <c r="A857" s="3">
        <v>6</v>
      </c>
      <c r="B857" s="3">
        <v>2</v>
      </c>
      <c r="C857" s="3">
        <v>48</v>
      </c>
      <c r="D857" s="3">
        <v>25</v>
      </c>
      <c r="E857" s="3">
        <f>((1/(INDEX(E0!J$4:J$52,C857,1)-INDEX(E0!J$4:J$52,D857,1))))*100000000</f>
        <v>0</v>
      </c>
      <c r="F857" s="4" t="str">
        <f>HYPERLINK("http://141.218.60.56/~jnz1568/getInfo.php?workbook=06_02.xlsx&amp;sheet=A0&amp;row=857&amp;col=6&amp;number=&amp;sourceID=27","")</f>
        <v/>
      </c>
      <c r="G857" s="4" t="str">
        <f>HYPERLINK("http://141.218.60.56/~jnz1568/getInfo.php?workbook=06_02.xlsx&amp;sheet=A0&amp;row=857&amp;col=7&amp;number=&amp;sourceID=34","")</f>
        <v/>
      </c>
      <c r="H857" s="4" t="str">
        <f>HYPERLINK("http://141.218.60.56/~jnz1568/getInfo.php?workbook=06_02.xlsx&amp;sheet=A0&amp;row=857&amp;col=8&amp;number=&amp;sourceID=34","")</f>
        <v/>
      </c>
      <c r="I857" s="4" t="str">
        <f>HYPERLINK("http://141.218.60.56/~jnz1568/getInfo.php?workbook=06_02.xlsx&amp;sheet=A0&amp;row=857&amp;col=9&amp;number=&amp;sourceID=34","")</f>
        <v/>
      </c>
      <c r="J857" s="4" t="str">
        <f>HYPERLINK("http://141.218.60.56/~jnz1568/getInfo.php?workbook=06_02.xlsx&amp;sheet=A0&amp;row=857&amp;col=10&amp;number=&amp;sourceID=34","")</f>
        <v/>
      </c>
      <c r="K857" s="4" t="str">
        <f>HYPERLINK("http://141.218.60.56/~jnz1568/getInfo.php?workbook=06_02.xlsx&amp;sheet=A0&amp;row=857&amp;col=11&amp;number=&amp;sourceID=30","")</f>
        <v/>
      </c>
      <c r="L857" s="4" t="str">
        <f>HYPERLINK("http://141.218.60.56/~jnz1568/getInfo.php?workbook=06_02.xlsx&amp;sheet=A0&amp;row=857&amp;col=12&amp;number=2.527&amp;sourceID=30","2.527")</f>
        <v>2.527</v>
      </c>
      <c r="M857" s="4" t="str">
        <f>HYPERLINK("http://141.218.60.56/~jnz1568/getInfo.php?workbook=06_02.xlsx&amp;sheet=A0&amp;row=857&amp;col=13&amp;number=4.847e-05&amp;sourceID=30","4.847e-05")</f>
        <v>4.847e-05</v>
      </c>
      <c r="N857" s="4" t="str">
        <f>HYPERLINK("http://141.218.60.56/~jnz1568/getInfo.php?workbook=06_02.xlsx&amp;sheet=A0&amp;row=857&amp;col=14&amp;number=&amp;sourceID=30","")</f>
        <v/>
      </c>
      <c r="O857" s="4" t="str">
        <f>HYPERLINK("http://141.218.60.56/~jnz1568/getInfo.php?workbook=06_02.xlsx&amp;sheet=A0&amp;row=857&amp;col=15&amp;number=&amp;sourceID=32","")</f>
        <v/>
      </c>
      <c r="P857" s="4" t="str">
        <f>HYPERLINK("http://141.218.60.56/~jnz1568/getInfo.php?workbook=06_02.xlsx&amp;sheet=A0&amp;row=857&amp;col=16&amp;number=3.469&amp;sourceID=32","3.469")</f>
        <v>3.469</v>
      </c>
      <c r="Q857" s="4" t="str">
        <f>HYPERLINK("http://141.218.60.56/~jnz1568/getInfo.php?workbook=06_02.xlsx&amp;sheet=A0&amp;row=857&amp;col=17&amp;number=4.517e-05&amp;sourceID=32","4.517e-05")</f>
        <v>4.517e-05</v>
      </c>
      <c r="R857" s="4" t="str">
        <f>HYPERLINK("http://141.218.60.56/~jnz1568/getInfo.php?workbook=06_02.xlsx&amp;sheet=A0&amp;row=857&amp;col=18&amp;number=&amp;sourceID=32","")</f>
        <v/>
      </c>
    </row>
    <row r="858" spans="1:18">
      <c r="A858" s="3">
        <v>6</v>
      </c>
      <c r="B858" s="3">
        <v>2</v>
      </c>
      <c r="C858" s="3">
        <v>48</v>
      </c>
      <c r="D858" s="3">
        <v>26</v>
      </c>
      <c r="E858" s="3">
        <f>((1/(INDEX(E0!J$4:J$52,C858,1)-INDEX(E0!J$4:J$52,D858,1))))*100000000</f>
        <v>0</v>
      </c>
      <c r="F858" s="4" t="str">
        <f>HYPERLINK("http://141.218.60.56/~jnz1568/getInfo.php?workbook=06_02.xlsx&amp;sheet=A0&amp;row=858&amp;col=6&amp;number=&amp;sourceID=27","")</f>
        <v/>
      </c>
      <c r="G858" s="4" t="str">
        <f>HYPERLINK("http://141.218.60.56/~jnz1568/getInfo.php?workbook=06_02.xlsx&amp;sheet=A0&amp;row=858&amp;col=7&amp;number=&amp;sourceID=34","")</f>
        <v/>
      </c>
      <c r="H858" s="4" t="str">
        <f>HYPERLINK("http://141.218.60.56/~jnz1568/getInfo.php?workbook=06_02.xlsx&amp;sheet=A0&amp;row=858&amp;col=8&amp;number=&amp;sourceID=34","")</f>
        <v/>
      </c>
      <c r="I858" s="4" t="str">
        <f>HYPERLINK("http://141.218.60.56/~jnz1568/getInfo.php?workbook=06_02.xlsx&amp;sheet=A0&amp;row=858&amp;col=9&amp;number=&amp;sourceID=34","")</f>
        <v/>
      </c>
      <c r="J858" s="4" t="str">
        <f>HYPERLINK("http://141.218.60.56/~jnz1568/getInfo.php?workbook=06_02.xlsx&amp;sheet=A0&amp;row=858&amp;col=10&amp;number=&amp;sourceID=34","")</f>
        <v/>
      </c>
      <c r="K858" s="4" t="str">
        <f>HYPERLINK("http://141.218.60.56/~jnz1568/getInfo.php?workbook=06_02.xlsx&amp;sheet=A0&amp;row=858&amp;col=11&amp;number=21800000&amp;sourceID=30","21800000")</f>
        <v>21800000</v>
      </c>
      <c r="L858" s="4" t="str">
        <f>HYPERLINK("http://141.218.60.56/~jnz1568/getInfo.php?workbook=06_02.xlsx&amp;sheet=A0&amp;row=858&amp;col=12&amp;number=&amp;sourceID=30","")</f>
        <v/>
      </c>
      <c r="M858" s="4" t="str">
        <f>HYPERLINK("http://141.218.60.56/~jnz1568/getInfo.php?workbook=06_02.xlsx&amp;sheet=A0&amp;row=858&amp;col=13&amp;number=&amp;sourceID=30","")</f>
        <v/>
      </c>
      <c r="N858" s="4" t="str">
        <f>HYPERLINK("http://141.218.60.56/~jnz1568/getInfo.php?workbook=06_02.xlsx&amp;sheet=A0&amp;row=858&amp;col=14&amp;number=0.001154&amp;sourceID=30","0.001154")</f>
        <v>0.001154</v>
      </c>
      <c r="O858" s="4" t="str">
        <f>HYPERLINK("http://141.218.60.56/~jnz1568/getInfo.php?workbook=06_02.xlsx&amp;sheet=A0&amp;row=858&amp;col=15&amp;number=10090000&amp;sourceID=32","10090000")</f>
        <v>10090000</v>
      </c>
      <c r="P858" s="4" t="str">
        <f>HYPERLINK("http://141.218.60.56/~jnz1568/getInfo.php?workbook=06_02.xlsx&amp;sheet=A0&amp;row=858&amp;col=16&amp;number=&amp;sourceID=32","")</f>
        <v/>
      </c>
      <c r="Q858" s="4" t="str">
        <f>HYPERLINK("http://141.218.60.56/~jnz1568/getInfo.php?workbook=06_02.xlsx&amp;sheet=A0&amp;row=858&amp;col=17&amp;number=&amp;sourceID=32","")</f>
        <v/>
      </c>
      <c r="R858" s="4" t="str">
        <f>HYPERLINK("http://141.218.60.56/~jnz1568/getInfo.php?workbook=06_02.xlsx&amp;sheet=A0&amp;row=858&amp;col=18&amp;number=5.081e-05&amp;sourceID=32","5.081e-05")</f>
        <v>5.081e-05</v>
      </c>
    </row>
    <row r="859" spans="1:18">
      <c r="A859" s="3">
        <v>6</v>
      </c>
      <c r="B859" s="3">
        <v>2</v>
      </c>
      <c r="C859" s="3">
        <v>48</v>
      </c>
      <c r="D859" s="3">
        <v>27</v>
      </c>
      <c r="E859" s="3">
        <f>((1/(INDEX(E0!J$4:J$52,C859,1)-INDEX(E0!J$4:J$52,D859,1))))*100000000</f>
        <v>0</v>
      </c>
      <c r="F859" s="4" t="str">
        <f>HYPERLINK("http://141.218.60.56/~jnz1568/getInfo.php?workbook=06_02.xlsx&amp;sheet=A0&amp;row=859&amp;col=6&amp;number=&amp;sourceID=27","")</f>
        <v/>
      </c>
      <c r="G859" s="4" t="str">
        <f>HYPERLINK("http://141.218.60.56/~jnz1568/getInfo.php?workbook=06_02.xlsx&amp;sheet=A0&amp;row=859&amp;col=7&amp;number=&amp;sourceID=34","")</f>
        <v/>
      </c>
      <c r="H859" s="4" t="str">
        <f>HYPERLINK("http://141.218.60.56/~jnz1568/getInfo.php?workbook=06_02.xlsx&amp;sheet=A0&amp;row=859&amp;col=8&amp;number=&amp;sourceID=34","")</f>
        <v/>
      </c>
      <c r="I859" s="4" t="str">
        <f>HYPERLINK("http://141.218.60.56/~jnz1568/getInfo.php?workbook=06_02.xlsx&amp;sheet=A0&amp;row=859&amp;col=9&amp;number=&amp;sourceID=34","")</f>
        <v/>
      </c>
      <c r="J859" s="4" t="str">
        <f>HYPERLINK("http://141.218.60.56/~jnz1568/getInfo.php?workbook=06_02.xlsx&amp;sheet=A0&amp;row=859&amp;col=10&amp;number=&amp;sourceID=34","")</f>
        <v/>
      </c>
      <c r="K859" s="4" t="str">
        <f>HYPERLINK("http://141.218.60.56/~jnz1568/getInfo.php?workbook=06_02.xlsx&amp;sheet=A0&amp;row=859&amp;col=11&amp;number=5303&amp;sourceID=30","5303")</f>
        <v>5303</v>
      </c>
      <c r="L859" s="4" t="str">
        <f>HYPERLINK("http://141.218.60.56/~jnz1568/getInfo.php?workbook=06_02.xlsx&amp;sheet=A0&amp;row=859&amp;col=12&amp;number=&amp;sourceID=30","")</f>
        <v/>
      </c>
      <c r="M859" s="4" t="str">
        <f>HYPERLINK("http://141.218.60.56/~jnz1568/getInfo.php?workbook=06_02.xlsx&amp;sheet=A0&amp;row=859&amp;col=13&amp;number=&amp;sourceID=30","")</f>
        <v/>
      </c>
      <c r="N859" s="4" t="str">
        <f>HYPERLINK("http://141.218.60.56/~jnz1568/getInfo.php?workbook=06_02.xlsx&amp;sheet=A0&amp;row=859&amp;col=14&amp;number=2.278e-05&amp;sourceID=30","2.278e-05")</f>
        <v>2.278e-05</v>
      </c>
      <c r="O859" s="4" t="str">
        <f>HYPERLINK("http://141.218.60.56/~jnz1568/getInfo.php?workbook=06_02.xlsx&amp;sheet=A0&amp;row=859&amp;col=15&amp;number=7320&amp;sourceID=32","7320")</f>
        <v>7320</v>
      </c>
      <c r="P859" s="4" t="str">
        <f>HYPERLINK("http://141.218.60.56/~jnz1568/getInfo.php?workbook=06_02.xlsx&amp;sheet=A0&amp;row=859&amp;col=16&amp;number=&amp;sourceID=32","")</f>
        <v/>
      </c>
      <c r="Q859" s="4" t="str">
        <f>HYPERLINK("http://141.218.60.56/~jnz1568/getInfo.php?workbook=06_02.xlsx&amp;sheet=A0&amp;row=859&amp;col=17&amp;number=&amp;sourceID=32","")</f>
        <v/>
      </c>
      <c r="R859" s="4" t="str">
        <f>HYPERLINK("http://141.218.60.56/~jnz1568/getInfo.php?workbook=06_02.xlsx&amp;sheet=A0&amp;row=859&amp;col=18&amp;number=2.249e-05&amp;sourceID=32","2.249e-05")</f>
        <v>2.249e-05</v>
      </c>
    </row>
    <row r="860" spans="1:18">
      <c r="A860" s="3">
        <v>6</v>
      </c>
      <c r="B860" s="3">
        <v>2</v>
      </c>
      <c r="C860" s="3">
        <v>48</v>
      </c>
      <c r="D860" s="3">
        <v>28</v>
      </c>
      <c r="E860" s="3">
        <f>((1/(INDEX(E0!J$4:J$52,C860,1)-INDEX(E0!J$4:J$52,D860,1))))*100000000</f>
        <v>0</v>
      </c>
      <c r="F860" s="4" t="str">
        <f>HYPERLINK("http://141.218.60.56/~jnz1568/getInfo.php?workbook=06_02.xlsx&amp;sheet=A0&amp;row=860&amp;col=6&amp;number=&amp;sourceID=27","")</f>
        <v/>
      </c>
      <c r="G860" s="4" t="str">
        <f>HYPERLINK("http://141.218.60.56/~jnz1568/getInfo.php?workbook=06_02.xlsx&amp;sheet=A0&amp;row=860&amp;col=7&amp;number=&amp;sourceID=34","")</f>
        <v/>
      </c>
      <c r="H860" s="4" t="str">
        <f>HYPERLINK("http://141.218.60.56/~jnz1568/getInfo.php?workbook=06_02.xlsx&amp;sheet=A0&amp;row=860&amp;col=8&amp;number=&amp;sourceID=34","")</f>
        <v/>
      </c>
      <c r="I860" s="4" t="str">
        <f>HYPERLINK("http://141.218.60.56/~jnz1568/getInfo.php?workbook=06_02.xlsx&amp;sheet=A0&amp;row=860&amp;col=9&amp;number=&amp;sourceID=34","")</f>
        <v/>
      </c>
      <c r="J860" s="4" t="str">
        <f>HYPERLINK("http://141.218.60.56/~jnz1568/getInfo.php?workbook=06_02.xlsx&amp;sheet=A0&amp;row=860&amp;col=10&amp;number=&amp;sourceID=34","")</f>
        <v/>
      </c>
      <c r="K860" s="4" t="str">
        <f>HYPERLINK("http://141.218.60.56/~jnz1568/getInfo.php?workbook=06_02.xlsx&amp;sheet=A0&amp;row=860&amp;col=11&amp;number=9624000&amp;sourceID=30","9624000")</f>
        <v>9624000</v>
      </c>
      <c r="L860" s="4" t="str">
        <f>HYPERLINK("http://141.218.60.56/~jnz1568/getInfo.php?workbook=06_02.xlsx&amp;sheet=A0&amp;row=860&amp;col=12&amp;number=&amp;sourceID=30","")</f>
        <v/>
      </c>
      <c r="M860" s="4" t="str">
        <f>HYPERLINK("http://141.218.60.56/~jnz1568/getInfo.php?workbook=06_02.xlsx&amp;sheet=A0&amp;row=860&amp;col=13&amp;number=&amp;sourceID=30","")</f>
        <v/>
      </c>
      <c r="N860" s="4" t="str">
        <f>HYPERLINK("http://141.218.60.56/~jnz1568/getInfo.php?workbook=06_02.xlsx&amp;sheet=A0&amp;row=860&amp;col=14&amp;number=4.252e-05&amp;sourceID=30","4.252e-05")</f>
        <v>4.252e-05</v>
      </c>
      <c r="O860" s="4" t="str">
        <f>HYPERLINK("http://141.218.60.56/~jnz1568/getInfo.php?workbook=06_02.xlsx&amp;sheet=A0&amp;row=860&amp;col=15&amp;number=21490000&amp;sourceID=32","21490000")</f>
        <v>21490000</v>
      </c>
      <c r="P860" s="4" t="str">
        <f>HYPERLINK("http://141.218.60.56/~jnz1568/getInfo.php?workbook=06_02.xlsx&amp;sheet=A0&amp;row=860&amp;col=16&amp;number=&amp;sourceID=32","")</f>
        <v/>
      </c>
      <c r="Q860" s="4" t="str">
        <f>HYPERLINK("http://141.218.60.56/~jnz1568/getInfo.php?workbook=06_02.xlsx&amp;sheet=A0&amp;row=860&amp;col=17&amp;number=&amp;sourceID=32","")</f>
        <v/>
      </c>
      <c r="R860" s="4" t="str">
        <f>HYPERLINK("http://141.218.60.56/~jnz1568/getInfo.php?workbook=06_02.xlsx&amp;sheet=A0&amp;row=860&amp;col=18&amp;number=0.001165&amp;sourceID=32","0.001165")</f>
        <v>0.001165</v>
      </c>
    </row>
    <row r="861" spans="1:18">
      <c r="A861" s="3">
        <v>6</v>
      </c>
      <c r="B861" s="3">
        <v>2</v>
      </c>
      <c r="C861" s="3">
        <v>48</v>
      </c>
      <c r="D861" s="3">
        <v>29</v>
      </c>
      <c r="E861" s="3">
        <f>((1/(INDEX(E0!J$4:J$52,C861,1)-INDEX(E0!J$4:J$52,D861,1))))*100000000</f>
        <v>0</v>
      </c>
      <c r="F861" s="4" t="str">
        <f>HYPERLINK("http://141.218.60.56/~jnz1568/getInfo.php?workbook=06_02.xlsx&amp;sheet=A0&amp;row=861&amp;col=6&amp;number=&amp;sourceID=27","")</f>
        <v/>
      </c>
      <c r="G861" s="4" t="str">
        <f>HYPERLINK("http://141.218.60.56/~jnz1568/getInfo.php?workbook=06_02.xlsx&amp;sheet=A0&amp;row=861&amp;col=7&amp;number=&amp;sourceID=34","")</f>
        <v/>
      </c>
      <c r="H861" s="4" t="str">
        <f>HYPERLINK("http://141.218.60.56/~jnz1568/getInfo.php?workbook=06_02.xlsx&amp;sheet=A0&amp;row=861&amp;col=8&amp;number=&amp;sourceID=34","")</f>
        <v/>
      </c>
      <c r="I861" s="4" t="str">
        <f>HYPERLINK("http://141.218.60.56/~jnz1568/getInfo.php?workbook=06_02.xlsx&amp;sheet=A0&amp;row=861&amp;col=9&amp;number=&amp;sourceID=34","")</f>
        <v/>
      </c>
      <c r="J861" s="4" t="str">
        <f>HYPERLINK("http://141.218.60.56/~jnz1568/getInfo.php?workbook=06_02.xlsx&amp;sheet=A0&amp;row=861&amp;col=10&amp;number=&amp;sourceID=34","")</f>
        <v/>
      </c>
      <c r="K861" s="4" t="str">
        <f>HYPERLINK("http://141.218.60.56/~jnz1568/getInfo.php?workbook=06_02.xlsx&amp;sheet=A0&amp;row=861&amp;col=11&amp;number=&amp;sourceID=30","")</f>
        <v/>
      </c>
      <c r="L861" s="4" t="str">
        <f>HYPERLINK("http://141.218.60.56/~jnz1568/getInfo.php?workbook=06_02.xlsx&amp;sheet=A0&amp;row=861&amp;col=12&amp;number=&amp;sourceID=30","")</f>
        <v/>
      </c>
      <c r="M861" s="4" t="str">
        <f>HYPERLINK("http://141.218.60.56/~jnz1568/getInfo.php?workbook=06_02.xlsx&amp;sheet=A0&amp;row=861&amp;col=13&amp;number=&amp;sourceID=30","")</f>
        <v/>
      </c>
      <c r="N861" s="4" t="str">
        <f>HYPERLINK("http://141.218.60.56/~jnz1568/getInfo.php?workbook=06_02.xlsx&amp;sheet=A0&amp;row=861&amp;col=14&amp;number=0.0006645&amp;sourceID=30","0.0006645")</f>
        <v>0.0006645</v>
      </c>
      <c r="O861" s="4" t="str">
        <f>HYPERLINK("http://141.218.60.56/~jnz1568/getInfo.php?workbook=06_02.xlsx&amp;sheet=A0&amp;row=861&amp;col=15&amp;number=&amp;sourceID=32","")</f>
        <v/>
      </c>
      <c r="P861" s="4" t="str">
        <f>HYPERLINK("http://141.218.60.56/~jnz1568/getInfo.php?workbook=06_02.xlsx&amp;sheet=A0&amp;row=861&amp;col=16&amp;number=&amp;sourceID=32","")</f>
        <v/>
      </c>
      <c r="Q861" s="4" t="str">
        <f>HYPERLINK("http://141.218.60.56/~jnz1568/getInfo.php?workbook=06_02.xlsx&amp;sheet=A0&amp;row=861&amp;col=17&amp;number=&amp;sourceID=32","")</f>
        <v/>
      </c>
      <c r="R861" s="4" t="str">
        <f>HYPERLINK("http://141.218.60.56/~jnz1568/getInfo.php?workbook=06_02.xlsx&amp;sheet=A0&amp;row=861&amp;col=18&amp;number=&amp;sourceID=32","")</f>
        <v/>
      </c>
    </row>
    <row r="862" spans="1:18">
      <c r="A862" s="3">
        <v>6</v>
      </c>
      <c r="B862" s="3">
        <v>2</v>
      </c>
      <c r="C862" s="3">
        <v>48</v>
      </c>
      <c r="D862" s="3">
        <v>30</v>
      </c>
      <c r="E862" s="3">
        <f>((1/(INDEX(E0!J$4:J$52,C862,1)-INDEX(E0!J$4:J$52,D862,1))))*100000000</f>
        <v>0</v>
      </c>
      <c r="F862" s="4" t="str">
        <f>HYPERLINK("http://141.218.60.56/~jnz1568/getInfo.php?workbook=06_02.xlsx&amp;sheet=A0&amp;row=862&amp;col=6&amp;number=&amp;sourceID=27","")</f>
        <v/>
      </c>
      <c r="G862" s="4" t="str">
        <f>HYPERLINK("http://141.218.60.56/~jnz1568/getInfo.php?workbook=06_02.xlsx&amp;sheet=A0&amp;row=862&amp;col=7&amp;number=&amp;sourceID=34","")</f>
        <v/>
      </c>
      <c r="H862" s="4" t="str">
        <f>HYPERLINK("http://141.218.60.56/~jnz1568/getInfo.php?workbook=06_02.xlsx&amp;sheet=A0&amp;row=862&amp;col=8&amp;number=&amp;sourceID=34","")</f>
        <v/>
      </c>
      <c r="I862" s="4" t="str">
        <f>HYPERLINK("http://141.218.60.56/~jnz1568/getInfo.php?workbook=06_02.xlsx&amp;sheet=A0&amp;row=862&amp;col=9&amp;number=&amp;sourceID=34","")</f>
        <v/>
      </c>
      <c r="J862" s="4" t="str">
        <f>HYPERLINK("http://141.218.60.56/~jnz1568/getInfo.php?workbook=06_02.xlsx&amp;sheet=A0&amp;row=862&amp;col=10&amp;number=&amp;sourceID=34","")</f>
        <v/>
      </c>
      <c r="K862" s="4" t="str">
        <f>HYPERLINK("http://141.218.60.56/~jnz1568/getInfo.php?workbook=06_02.xlsx&amp;sheet=A0&amp;row=862&amp;col=11&amp;number=&amp;sourceID=30","")</f>
        <v/>
      </c>
      <c r="L862" s="4" t="str">
        <f>HYPERLINK("http://141.218.60.56/~jnz1568/getInfo.php?workbook=06_02.xlsx&amp;sheet=A0&amp;row=862&amp;col=12&amp;number=4167&amp;sourceID=30","4167")</f>
        <v>4167</v>
      </c>
      <c r="M862" s="4" t="str">
        <f>HYPERLINK("http://141.218.60.56/~jnz1568/getInfo.php?workbook=06_02.xlsx&amp;sheet=A0&amp;row=862&amp;col=13&amp;number=1.651e-05&amp;sourceID=30","1.651e-05")</f>
        <v>1.651e-05</v>
      </c>
      <c r="N862" s="4" t="str">
        <f>HYPERLINK("http://141.218.60.56/~jnz1568/getInfo.php?workbook=06_02.xlsx&amp;sheet=A0&amp;row=862&amp;col=14&amp;number=&amp;sourceID=30","")</f>
        <v/>
      </c>
      <c r="O862" s="4" t="str">
        <f>HYPERLINK("http://141.218.60.56/~jnz1568/getInfo.php?workbook=06_02.xlsx&amp;sheet=A0&amp;row=862&amp;col=15&amp;number=&amp;sourceID=32","")</f>
        <v/>
      </c>
      <c r="P862" s="4" t="str">
        <f>HYPERLINK("http://141.218.60.56/~jnz1568/getInfo.php?workbook=06_02.xlsx&amp;sheet=A0&amp;row=862&amp;col=16&amp;number=4144&amp;sourceID=32","4144")</f>
        <v>4144</v>
      </c>
      <c r="Q862" s="4" t="str">
        <f>HYPERLINK("http://141.218.60.56/~jnz1568/getInfo.php?workbook=06_02.xlsx&amp;sheet=A0&amp;row=862&amp;col=17&amp;number=1.635e-05&amp;sourceID=32","1.635e-05")</f>
        <v>1.635e-05</v>
      </c>
      <c r="R862" s="4" t="str">
        <f>HYPERLINK("http://141.218.60.56/~jnz1568/getInfo.php?workbook=06_02.xlsx&amp;sheet=A0&amp;row=862&amp;col=18&amp;number=&amp;sourceID=32","")</f>
        <v/>
      </c>
    </row>
    <row r="863" spans="1:18">
      <c r="A863" s="3">
        <v>6</v>
      </c>
      <c r="B863" s="3">
        <v>2</v>
      </c>
      <c r="C863" s="3">
        <v>48</v>
      </c>
      <c r="D863" s="3">
        <v>31</v>
      </c>
      <c r="E863" s="3">
        <f>((1/(INDEX(E0!J$4:J$52,C863,1)-INDEX(E0!J$4:J$52,D863,1))))*100000000</f>
        <v>0</v>
      </c>
      <c r="F863" s="4" t="str">
        <f>HYPERLINK("http://141.218.60.56/~jnz1568/getInfo.php?workbook=06_02.xlsx&amp;sheet=A0&amp;row=863&amp;col=6&amp;number=&amp;sourceID=27","")</f>
        <v/>
      </c>
      <c r="G863" s="4" t="str">
        <f>HYPERLINK("http://141.218.60.56/~jnz1568/getInfo.php?workbook=06_02.xlsx&amp;sheet=A0&amp;row=863&amp;col=7&amp;number=944000000&amp;sourceID=34","944000000")</f>
        <v>944000000</v>
      </c>
      <c r="H863" s="4" t="str">
        <f>HYPERLINK("http://141.218.60.56/~jnz1568/getInfo.php?workbook=06_02.xlsx&amp;sheet=A0&amp;row=863&amp;col=8&amp;number=&amp;sourceID=34","")</f>
        <v/>
      </c>
      <c r="I863" s="4" t="str">
        <f>HYPERLINK("http://141.218.60.56/~jnz1568/getInfo.php?workbook=06_02.xlsx&amp;sheet=A0&amp;row=863&amp;col=9&amp;number=&amp;sourceID=34","")</f>
        <v/>
      </c>
      <c r="J863" s="4" t="str">
        <f>HYPERLINK("http://141.218.60.56/~jnz1568/getInfo.php?workbook=06_02.xlsx&amp;sheet=A0&amp;row=863&amp;col=10&amp;number=&amp;sourceID=34","")</f>
        <v/>
      </c>
      <c r="K863" s="4" t="str">
        <f>HYPERLINK("http://141.218.60.56/~jnz1568/getInfo.php?workbook=06_02.xlsx&amp;sheet=A0&amp;row=863&amp;col=11&amp;number=977900000&amp;sourceID=30","977900000")</f>
        <v>977900000</v>
      </c>
      <c r="L863" s="4" t="str">
        <f>HYPERLINK("http://141.218.60.56/~jnz1568/getInfo.php?workbook=06_02.xlsx&amp;sheet=A0&amp;row=863&amp;col=12&amp;number=&amp;sourceID=30","")</f>
        <v/>
      </c>
      <c r="M863" s="4" t="str">
        <f>HYPERLINK("http://141.218.60.56/~jnz1568/getInfo.php?workbook=06_02.xlsx&amp;sheet=A0&amp;row=863&amp;col=13&amp;number=&amp;sourceID=30","")</f>
        <v/>
      </c>
      <c r="N863" s="4" t="str">
        <f>HYPERLINK("http://141.218.60.56/~jnz1568/getInfo.php?workbook=06_02.xlsx&amp;sheet=A0&amp;row=863&amp;col=14&amp;number=0.0112&amp;sourceID=30","0.0112")</f>
        <v>0.0112</v>
      </c>
      <c r="O863" s="4" t="str">
        <f>HYPERLINK("http://141.218.60.56/~jnz1568/getInfo.php?workbook=06_02.xlsx&amp;sheet=A0&amp;row=863&amp;col=15&amp;number=943200000&amp;sourceID=32","943200000")</f>
        <v>943200000</v>
      </c>
      <c r="P863" s="4" t="str">
        <f>HYPERLINK("http://141.218.60.56/~jnz1568/getInfo.php?workbook=06_02.xlsx&amp;sheet=A0&amp;row=863&amp;col=16&amp;number=&amp;sourceID=32","")</f>
        <v/>
      </c>
      <c r="Q863" s="4" t="str">
        <f>HYPERLINK("http://141.218.60.56/~jnz1568/getInfo.php?workbook=06_02.xlsx&amp;sheet=A0&amp;row=863&amp;col=17&amp;number=&amp;sourceID=32","")</f>
        <v/>
      </c>
      <c r="R863" s="4" t="str">
        <f>HYPERLINK("http://141.218.60.56/~jnz1568/getInfo.php?workbook=06_02.xlsx&amp;sheet=A0&amp;row=863&amp;col=18&amp;number=0.01105&amp;sourceID=32","0.01105")</f>
        <v>0.01105</v>
      </c>
    </row>
    <row r="864" spans="1:18">
      <c r="A864" s="3">
        <v>6</v>
      </c>
      <c r="B864" s="3">
        <v>2</v>
      </c>
      <c r="C864" s="3">
        <v>48</v>
      </c>
      <c r="D864" s="3">
        <v>32</v>
      </c>
      <c r="E864" s="3">
        <f>((1/(INDEX(E0!J$4:J$52,C864,1)-INDEX(E0!J$4:J$52,D864,1))))*100000000</f>
        <v>0</v>
      </c>
      <c r="F864" s="4" t="str">
        <f>HYPERLINK("http://141.218.60.56/~jnz1568/getInfo.php?workbook=06_02.xlsx&amp;sheet=A0&amp;row=864&amp;col=6&amp;number=&amp;sourceID=27","")</f>
        <v/>
      </c>
      <c r="G864" s="4" t="str">
        <f>HYPERLINK("http://141.218.60.56/~jnz1568/getInfo.php?workbook=06_02.xlsx&amp;sheet=A0&amp;row=864&amp;col=7&amp;number=&amp;sourceID=34","")</f>
        <v/>
      </c>
      <c r="H864" s="4" t="str">
        <f>HYPERLINK("http://141.218.60.56/~jnz1568/getInfo.php?workbook=06_02.xlsx&amp;sheet=A0&amp;row=864&amp;col=8&amp;number=&amp;sourceID=34","")</f>
        <v/>
      </c>
      <c r="I864" s="4" t="str">
        <f>HYPERLINK("http://141.218.60.56/~jnz1568/getInfo.php?workbook=06_02.xlsx&amp;sheet=A0&amp;row=864&amp;col=9&amp;number=&amp;sourceID=34","")</f>
        <v/>
      </c>
      <c r="J864" s="4" t="str">
        <f>HYPERLINK("http://141.218.60.56/~jnz1568/getInfo.php?workbook=06_02.xlsx&amp;sheet=A0&amp;row=864&amp;col=10&amp;number=&amp;sourceID=34","")</f>
        <v/>
      </c>
      <c r="K864" s="4" t="str">
        <f>HYPERLINK("http://141.218.60.56/~jnz1568/getInfo.php?workbook=06_02.xlsx&amp;sheet=A0&amp;row=864&amp;col=11&amp;number=&amp;sourceID=30","")</f>
        <v/>
      </c>
      <c r="L864" s="4" t="str">
        <f>HYPERLINK("http://141.218.60.56/~jnz1568/getInfo.php?workbook=06_02.xlsx&amp;sheet=A0&amp;row=864&amp;col=12&amp;number=7.544e-05&amp;sourceID=30","7.544e-05")</f>
        <v>7.544e-05</v>
      </c>
      <c r="M864" s="4" t="str">
        <f>HYPERLINK("http://141.218.60.56/~jnz1568/getInfo.php?workbook=06_02.xlsx&amp;sheet=A0&amp;row=864&amp;col=13&amp;number=4.3e-13&amp;sourceID=30","4.3e-13")</f>
        <v>4.3e-13</v>
      </c>
      <c r="N864" s="4" t="str">
        <f>HYPERLINK("http://141.218.60.56/~jnz1568/getInfo.php?workbook=06_02.xlsx&amp;sheet=A0&amp;row=864&amp;col=14&amp;number=&amp;sourceID=30","")</f>
        <v/>
      </c>
      <c r="O864" s="4" t="str">
        <f>HYPERLINK("http://141.218.60.56/~jnz1568/getInfo.php?workbook=06_02.xlsx&amp;sheet=A0&amp;row=864&amp;col=15&amp;number=&amp;sourceID=32","")</f>
        <v/>
      </c>
      <c r="P864" s="4" t="str">
        <f>HYPERLINK("http://141.218.60.56/~jnz1568/getInfo.php?workbook=06_02.xlsx&amp;sheet=A0&amp;row=864&amp;col=16&amp;number=0.0001043&amp;sourceID=32","0.0001043")</f>
        <v>0.0001043</v>
      </c>
      <c r="Q864" s="4" t="str">
        <f>HYPERLINK("http://141.218.60.56/~jnz1568/getInfo.php?workbook=06_02.xlsx&amp;sheet=A0&amp;row=864&amp;col=17&amp;number=4.1e-12&amp;sourceID=32","4.1e-12")</f>
        <v>4.1e-12</v>
      </c>
      <c r="R864" s="4" t="str">
        <f>HYPERLINK("http://141.218.60.56/~jnz1568/getInfo.php?workbook=06_02.xlsx&amp;sheet=A0&amp;row=864&amp;col=18&amp;number=&amp;sourceID=32","")</f>
        <v/>
      </c>
    </row>
    <row r="865" spans="1:18">
      <c r="A865" s="3">
        <v>6</v>
      </c>
      <c r="B865" s="3">
        <v>2</v>
      </c>
      <c r="C865" s="3">
        <v>48</v>
      </c>
      <c r="D865" s="3">
        <v>33</v>
      </c>
      <c r="E865" s="3">
        <f>((1/(INDEX(E0!J$4:J$52,C865,1)-INDEX(E0!J$4:J$52,D865,1))))*100000000</f>
        <v>0</v>
      </c>
      <c r="F865" s="4" t="str">
        <f>HYPERLINK("http://141.218.60.56/~jnz1568/getInfo.php?workbook=06_02.xlsx&amp;sheet=A0&amp;row=865&amp;col=6&amp;number=&amp;sourceID=27","")</f>
        <v/>
      </c>
      <c r="G865" s="4" t="str">
        <f>HYPERLINK("http://141.218.60.56/~jnz1568/getInfo.php?workbook=06_02.xlsx&amp;sheet=A0&amp;row=865&amp;col=7&amp;number=&amp;sourceID=34","")</f>
        <v/>
      </c>
      <c r="H865" s="4" t="str">
        <f>HYPERLINK("http://141.218.60.56/~jnz1568/getInfo.php?workbook=06_02.xlsx&amp;sheet=A0&amp;row=865&amp;col=8&amp;number=&amp;sourceID=34","")</f>
        <v/>
      </c>
      <c r="I865" s="4" t="str">
        <f>HYPERLINK("http://141.218.60.56/~jnz1568/getInfo.php?workbook=06_02.xlsx&amp;sheet=A0&amp;row=865&amp;col=9&amp;number=&amp;sourceID=34","")</f>
        <v/>
      </c>
      <c r="J865" s="4" t="str">
        <f>HYPERLINK("http://141.218.60.56/~jnz1568/getInfo.php?workbook=06_02.xlsx&amp;sheet=A0&amp;row=865&amp;col=10&amp;number=&amp;sourceID=34","")</f>
        <v/>
      </c>
      <c r="K865" s="4" t="str">
        <f>HYPERLINK("http://141.218.60.56/~jnz1568/getInfo.php?workbook=06_02.xlsx&amp;sheet=A0&amp;row=865&amp;col=11&amp;number=&amp;sourceID=30","")</f>
        <v/>
      </c>
      <c r="L865" s="4" t="str">
        <f>HYPERLINK("http://141.218.60.56/~jnz1568/getInfo.php?workbook=06_02.xlsx&amp;sheet=A0&amp;row=865&amp;col=12&amp;number=2.408e-05&amp;sourceID=30","2.408e-05")</f>
        <v>2.408e-05</v>
      </c>
      <c r="M865" s="4" t="str">
        <f>HYPERLINK("http://141.218.60.56/~jnz1568/getInfo.php?workbook=06_02.xlsx&amp;sheet=A0&amp;row=865&amp;col=13&amp;number=&amp;sourceID=30","")</f>
        <v/>
      </c>
      <c r="N865" s="4" t="str">
        <f>HYPERLINK("http://141.218.60.56/~jnz1568/getInfo.php?workbook=06_02.xlsx&amp;sheet=A0&amp;row=865&amp;col=14&amp;number=&amp;sourceID=30","")</f>
        <v/>
      </c>
      <c r="O865" s="4" t="str">
        <f>HYPERLINK("http://141.218.60.56/~jnz1568/getInfo.php?workbook=06_02.xlsx&amp;sheet=A0&amp;row=865&amp;col=15&amp;number=&amp;sourceID=32","")</f>
        <v/>
      </c>
      <c r="P865" s="4" t="str">
        <f>HYPERLINK("http://141.218.60.56/~jnz1568/getInfo.php?workbook=06_02.xlsx&amp;sheet=A0&amp;row=865&amp;col=16&amp;number=0.0003503&amp;sourceID=32","0.0003503")</f>
        <v>0.0003503</v>
      </c>
      <c r="Q865" s="4" t="str">
        <f>HYPERLINK("http://141.218.60.56/~jnz1568/getInfo.php?workbook=06_02.xlsx&amp;sheet=A0&amp;row=865&amp;col=17&amp;number=&amp;sourceID=32","")</f>
        <v/>
      </c>
      <c r="R865" s="4" t="str">
        <f>HYPERLINK("http://141.218.60.56/~jnz1568/getInfo.php?workbook=06_02.xlsx&amp;sheet=A0&amp;row=865&amp;col=18&amp;number=&amp;sourceID=32","")</f>
        <v/>
      </c>
    </row>
    <row r="866" spans="1:18">
      <c r="A866" s="3">
        <v>6</v>
      </c>
      <c r="B866" s="3">
        <v>2</v>
      </c>
      <c r="C866" s="3">
        <v>48</v>
      </c>
      <c r="D866" s="3">
        <v>34</v>
      </c>
      <c r="E866" s="3">
        <f>((1/(INDEX(E0!J$4:J$52,C866,1)-INDEX(E0!J$4:J$52,D866,1))))*100000000</f>
        <v>0</v>
      </c>
      <c r="F866" s="4" t="str">
        <f>HYPERLINK("http://141.218.60.56/~jnz1568/getInfo.php?workbook=06_02.xlsx&amp;sheet=A0&amp;row=866&amp;col=6&amp;number=&amp;sourceID=27","")</f>
        <v/>
      </c>
      <c r="G866" s="4" t="str">
        <f>HYPERLINK("http://141.218.60.56/~jnz1568/getInfo.php?workbook=06_02.xlsx&amp;sheet=A0&amp;row=866&amp;col=7&amp;number=&amp;sourceID=34","")</f>
        <v/>
      </c>
      <c r="H866" s="4" t="str">
        <f>HYPERLINK("http://141.218.60.56/~jnz1568/getInfo.php?workbook=06_02.xlsx&amp;sheet=A0&amp;row=866&amp;col=8&amp;number=&amp;sourceID=34","")</f>
        <v/>
      </c>
      <c r="I866" s="4" t="str">
        <f>HYPERLINK("http://141.218.60.56/~jnz1568/getInfo.php?workbook=06_02.xlsx&amp;sheet=A0&amp;row=866&amp;col=9&amp;number=&amp;sourceID=34","")</f>
        <v/>
      </c>
      <c r="J866" s="4" t="str">
        <f>HYPERLINK("http://141.218.60.56/~jnz1568/getInfo.php?workbook=06_02.xlsx&amp;sheet=A0&amp;row=866&amp;col=10&amp;number=&amp;sourceID=34","")</f>
        <v/>
      </c>
      <c r="K866" s="4" t="str">
        <f>HYPERLINK("http://141.218.60.56/~jnz1568/getInfo.php?workbook=06_02.xlsx&amp;sheet=A0&amp;row=866&amp;col=11&amp;number=&amp;sourceID=30","")</f>
        <v/>
      </c>
      <c r="L866" s="4" t="str">
        <f>HYPERLINK("http://141.218.60.56/~jnz1568/getInfo.php?workbook=06_02.xlsx&amp;sheet=A0&amp;row=866&amp;col=12&amp;number=&amp;sourceID=30","")</f>
        <v/>
      </c>
      <c r="M866" s="4" t="str">
        <f>HYPERLINK("http://141.218.60.56/~jnz1568/getInfo.php?workbook=06_02.xlsx&amp;sheet=A0&amp;row=866&amp;col=13&amp;number=&amp;sourceID=30","")</f>
        <v/>
      </c>
      <c r="N866" s="4" t="str">
        <f>HYPERLINK("http://141.218.60.56/~jnz1568/getInfo.php?workbook=06_02.xlsx&amp;sheet=A0&amp;row=866&amp;col=14&amp;number=1.892e-10&amp;sourceID=30","1.892e-10")</f>
        <v>1.892e-10</v>
      </c>
      <c r="O866" s="4" t="str">
        <f>HYPERLINK("http://141.218.60.56/~jnz1568/getInfo.php?workbook=06_02.xlsx&amp;sheet=A0&amp;row=866&amp;col=15&amp;number=&amp;sourceID=32","")</f>
        <v/>
      </c>
      <c r="P866" s="4" t="str">
        <f>HYPERLINK("http://141.218.60.56/~jnz1568/getInfo.php?workbook=06_02.xlsx&amp;sheet=A0&amp;row=866&amp;col=16&amp;number=&amp;sourceID=32","")</f>
        <v/>
      </c>
      <c r="Q866" s="4" t="str">
        <f>HYPERLINK("http://141.218.60.56/~jnz1568/getInfo.php?workbook=06_02.xlsx&amp;sheet=A0&amp;row=866&amp;col=17&amp;number=&amp;sourceID=32","")</f>
        <v/>
      </c>
      <c r="R866" s="4" t="str">
        <f>HYPERLINK("http://141.218.60.56/~jnz1568/getInfo.php?workbook=06_02.xlsx&amp;sheet=A0&amp;row=866&amp;col=18&amp;number=2.228e-10&amp;sourceID=32","2.228e-10")</f>
        <v>2.228e-10</v>
      </c>
    </row>
    <row r="867" spans="1:18">
      <c r="A867" s="3">
        <v>6</v>
      </c>
      <c r="B867" s="3">
        <v>2</v>
      </c>
      <c r="C867" s="3">
        <v>48</v>
      </c>
      <c r="D867" s="3">
        <v>35</v>
      </c>
      <c r="E867" s="3">
        <f>((1/(INDEX(E0!J$4:J$52,C867,1)-INDEX(E0!J$4:J$52,D867,1))))*100000000</f>
        <v>0</v>
      </c>
      <c r="F867" s="4" t="str">
        <f>HYPERLINK("http://141.218.60.56/~jnz1568/getInfo.php?workbook=06_02.xlsx&amp;sheet=A0&amp;row=867&amp;col=6&amp;number=&amp;sourceID=27","")</f>
        <v/>
      </c>
      <c r="G867" s="4" t="str">
        <f>HYPERLINK("http://141.218.60.56/~jnz1568/getInfo.php?workbook=06_02.xlsx&amp;sheet=A0&amp;row=867&amp;col=7&amp;number=&amp;sourceID=34","")</f>
        <v/>
      </c>
      <c r="H867" s="4" t="str">
        <f>HYPERLINK("http://141.218.60.56/~jnz1568/getInfo.php?workbook=06_02.xlsx&amp;sheet=A0&amp;row=867&amp;col=8&amp;number=&amp;sourceID=34","")</f>
        <v/>
      </c>
      <c r="I867" s="4" t="str">
        <f>HYPERLINK("http://141.218.60.56/~jnz1568/getInfo.php?workbook=06_02.xlsx&amp;sheet=A0&amp;row=867&amp;col=9&amp;number=&amp;sourceID=34","")</f>
        <v/>
      </c>
      <c r="J867" s="4" t="str">
        <f>HYPERLINK("http://141.218.60.56/~jnz1568/getInfo.php?workbook=06_02.xlsx&amp;sheet=A0&amp;row=867&amp;col=10&amp;number=&amp;sourceID=34","")</f>
        <v/>
      </c>
      <c r="K867" s="4" t="str">
        <f>HYPERLINK("http://141.218.60.56/~jnz1568/getInfo.php?workbook=06_02.xlsx&amp;sheet=A0&amp;row=867&amp;col=11&amp;number=64.06&amp;sourceID=30","64.06")</f>
        <v>64.06</v>
      </c>
      <c r="L867" s="4" t="str">
        <f>HYPERLINK("http://141.218.60.56/~jnz1568/getInfo.php?workbook=06_02.xlsx&amp;sheet=A0&amp;row=867&amp;col=12&amp;number=&amp;sourceID=30","")</f>
        <v/>
      </c>
      <c r="M867" s="4" t="str">
        <f>HYPERLINK("http://141.218.60.56/~jnz1568/getInfo.php?workbook=06_02.xlsx&amp;sheet=A0&amp;row=867&amp;col=13&amp;number=&amp;sourceID=30","")</f>
        <v/>
      </c>
      <c r="N867" s="4" t="str">
        <f>HYPERLINK("http://141.218.60.56/~jnz1568/getInfo.php?workbook=06_02.xlsx&amp;sheet=A0&amp;row=867&amp;col=14&amp;number=4.437e-10&amp;sourceID=30","4.437e-10")</f>
        <v>4.437e-10</v>
      </c>
      <c r="O867" s="4" t="str">
        <f>HYPERLINK("http://141.218.60.56/~jnz1568/getInfo.php?workbook=06_02.xlsx&amp;sheet=A0&amp;row=867&amp;col=15&amp;number=98.16&amp;sourceID=32","98.16")</f>
        <v>98.16</v>
      </c>
      <c r="P867" s="4" t="str">
        <f>HYPERLINK("http://141.218.60.56/~jnz1568/getInfo.php?workbook=06_02.xlsx&amp;sheet=A0&amp;row=867&amp;col=16&amp;number=&amp;sourceID=32","")</f>
        <v/>
      </c>
      <c r="Q867" s="4" t="str">
        <f>HYPERLINK("http://141.218.60.56/~jnz1568/getInfo.php?workbook=06_02.xlsx&amp;sheet=A0&amp;row=867&amp;col=17&amp;number=&amp;sourceID=32","")</f>
        <v/>
      </c>
      <c r="R867" s="4" t="str">
        <f>HYPERLINK("http://141.218.60.56/~jnz1568/getInfo.php?workbook=06_02.xlsx&amp;sheet=A0&amp;row=867&amp;col=18&amp;number=5.234e-10&amp;sourceID=32","5.234e-10")</f>
        <v>5.234e-10</v>
      </c>
    </row>
    <row r="868" spans="1:18">
      <c r="A868" s="3">
        <v>6</v>
      </c>
      <c r="B868" s="3">
        <v>2</v>
      </c>
      <c r="C868" s="3">
        <v>48</v>
      </c>
      <c r="D868" s="3">
        <v>36</v>
      </c>
      <c r="E868" s="3">
        <f>((1/(INDEX(E0!J$4:J$52,C868,1)-INDEX(E0!J$4:J$52,D868,1))))*100000000</f>
        <v>0</v>
      </c>
      <c r="F868" s="4" t="str">
        <f>HYPERLINK("http://141.218.60.56/~jnz1568/getInfo.php?workbook=06_02.xlsx&amp;sheet=A0&amp;row=868&amp;col=6&amp;number=&amp;sourceID=27","")</f>
        <v/>
      </c>
      <c r="G868" s="4" t="str">
        <f>HYPERLINK("http://141.218.60.56/~jnz1568/getInfo.php?workbook=06_02.xlsx&amp;sheet=A0&amp;row=868&amp;col=7&amp;number=&amp;sourceID=34","")</f>
        <v/>
      </c>
      <c r="H868" s="4" t="str">
        <f>HYPERLINK("http://141.218.60.56/~jnz1568/getInfo.php?workbook=06_02.xlsx&amp;sheet=A0&amp;row=868&amp;col=8&amp;number=&amp;sourceID=34","")</f>
        <v/>
      </c>
      <c r="I868" s="4" t="str">
        <f>HYPERLINK("http://141.218.60.56/~jnz1568/getInfo.php?workbook=06_02.xlsx&amp;sheet=A0&amp;row=868&amp;col=9&amp;number=&amp;sourceID=34","")</f>
        <v/>
      </c>
      <c r="J868" s="4" t="str">
        <f>HYPERLINK("http://141.218.60.56/~jnz1568/getInfo.php?workbook=06_02.xlsx&amp;sheet=A0&amp;row=868&amp;col=10&amp;number=&amp;sourceID=34","")</f>
        <v/>
      </c>
      <c r="K868" s="4" t="str">
        <f>HYPERLINK("http://141.218.60.56/~jnz1568/getInfo.php?workbook=06_02.xlsx&amp;sheet=A0&amp;row=868&amp;col=11&amp;number=29.15&amp;sourceID=30","29.15")</f>
        <v>29.15</v>
      </c>
      <c r="L868" s="4" t="str">
        <f>HYPERLINK("http://141.218.60.56/~jnz1568/getInfo.php?workbook=06_02.xlsx&amp;sheet=A0&amp;row=868&amp;col=12&amp;number=&amp;sourceID=30","")</f>
        <v/>
      </c>
      <c r="M868" s="4" t="str">
        <f>HYPERLINK("http://141.218.60.56/~jnz1568/getInfo.php?workbook=06_02.xlsx&amp;sheet=A0&amp;row=868&amp;col=13&amp;number=&amp;sourceID=30","")</f>
        <v/>
      </c>
      <c r="N868" s="4" t="str">
        <f>HYPERLINK("http://141.218.60.56/~jnz1568/getInfo.php?workbook=06_02.xlsx&amp;sheet=A0&amp;row=868&amp;col=14&amp;number=3.299e-10&amp;sourceID=30","3.299e-10")</f>
        <v>3.299e-10</v>
      </c>
      <c r="O868" s="4" t="str">
        <f>HYPERLINK("http://141.218.60.56/~jnz1568/getInfo.php?workbook=06_02.xlsx&amp;sheet=A0&amp;row=868&amp;col=15&amp;number=43.28&amp;sourceID=32","43.28")</f>
        <v>43.28</v>
      </c>
      <c r="P868" s="4" t="str">
        <f>HYPERLINK("http://141.218.60.56/~jnz1568/getInfo.php?workbook=06_02.xlsx&amp;sheet=A0&amp;row=868&amp;col=16&amp;number=&amp;sourceID=32","")</f>
        <v/>
      </c>
      <c r="Q868" s="4" t="str">
        <f>HYPERLINK("http://141.218.60.56/~jnz1568/getInfo.php?workbook=06_02.xlsx&amp;sheet=A0&amp;row=868&amp;col=17&amp;number=&amp;sourceID=32","")</f>
        <v/>
      </c>
      <c r="R868" s="4" t="str">
        <f>HYPERLINK("http://141.218.60.56/~jnz1568/getInfo.php?workbook=06_02.xlsx&amp;sheet=A0&amp;row=868&amp;col=18&amp;number=3.831e-10&amp;sourceID=32","3.831e-10")</f>
        <v>3.831e-10</v>
      </c>
    </row>
    <row r="869" spans="1:18">
      <c r="A869" s="3">
        <v>6</v>
      </c>
      <c r="B869" s="3">
        <v>2</v>
      </c>
      <c r="C869" s="3">
        <v>48</v>
      </c>
      <c r="D869" s="3">
        <v>37</v>
      </c>
      <c r="E869" s="3">
        <f>((1/(INDEX(E0!J$4:J$52,C869,1)-INDEX(E0!J$4:J$52,D869,1))))*100000000</f>
        <v>0</v>
      </c>
      <c r="F869" s="4" t="str">
        <f>HYPERLINK("http://141.218.60.56/~jnz1568/getInfo.php?workbook=06_02.xlsx&amp;sheet=A0&amp;row=869&amp;col=6&amp;number=&amp;sourceID=27","")</f>
        <v/>
      </c>
      <c r="G869" s="4" t="str">
        <f>HYPERLINK("http://141.218.60.56/~jnz1568/getInfo.php?workbook=06_02.xlsx&amp;sheet=A0&amp;row=869&amp;col=7&amp;number=&amp;sourceID=34","")</f>
        <v/>
      </c>
      <c r="H869" s="4" t="str">
        <f>HYPERLINK("http://141.218.60.56/~jnz1568/getInfo.php?workbook=06_02.xlsx&amp;sheet=A0&amp;row=869&amp;col=8&amp;number=&amp;sourceID=34","")</f>
        <v/>
      </c>
      <c r="I869" s="4" t="str">
        <f>HYPERLINK("http://141.218.60.56/~jnz1568/getInfo.php?workbook=06_02.xlsx&amp;sheet=A0&amp;row=869&amp;col=9&amp;number=&amp;sourceID=34","")</f>
        <v/>
      </c>
      <c r="J869" s="4" t="str">
        <f>HYPERLINK("http://141.218.60.56/~jnz1568/getInfo.php?workbook=06_02.xlsx&amp;sheet=A0&amp;row=869&amp;col=10&amp;number=&amp;sourceID=34","")</f>
        <v/>
      </c>
      <c r="K869" s="4" t="str">
        <f>HYPERLINK("http://141.218.60.56/~jnz1568/getInfo.php?workbook=06_02.xlsx&amp;sheet=A0&amp;row=869&amp;col=11&amp;number=&amp;sourceID=30","")</f>
        <v/>
      </c>
      <c r="L869" s="4" t="str">
        <f>HYPERLINK("http://141.218.60.56/~jnz1568/getInfo.php?workbook=06_02.xlsx&amp;sheet=A0&amp;row=869&amp;col=12&amp;number=2.33e-13&amp;sourceID=30","2.33e-13")</f>
        <v>2.33e-13</v>
      </c>
      <c r="M869" s="4" t="str">
        <f>HYPERLINK("http://141.218.60.56/~jnz1568/getInfo.php?workbook=06_02.xlsx&amp;sheet=A0&amp;row=869&amp;col=13&amp;number=2.402e-08&amp;sourceID=30","2.402e-08")</f>
        <v>2.402e-08</v>
      </c>
      <c r="N869" s="4" t="str">
        <f>HYPERLINK("http://141.218.60.56/~jnz1568/getInfo.php?workbook=06_02.xlsx&amp;sheet=A0&amp;row=869&amp;col=14&amp;number=&amp;sourceID=30","")</f>
        <v/>
      </c>
      <c r="O869" s="4" t="str">
        <f>HYPERLINK("http://141.218.60.56/~jnz1568/getInfo.php?workbook=06_02.xlsx&amp;sheet=A0&amp;row=869&amp;col=15&amp;number=&amp;sourceID=32","")</f>
        <v/>
      </c>
      <c r="P869" s="4" t="str">
        <f>HYPERLINK("http://141.218.60.56/~jnz1568/getInfo.php?workbook=06_02.xlsx&amp;sheet=A0&amp;row=869&amp;col=16&amp;number=&amp;sourceID=32","")</f>
        <v/>
      </c>
      <c r="Q869" s="4" t="str">
        <f>HYPERLINK("http://141.218.60.56/~jnz1568/getInfo.php?workbook=06_02.xlsx&amp;sheet=A0&amp;row=869&amp;col=17&amp;number=&amp;sourceID=32","")</f>
        <v/>
      </c>
      <c r="R869" s="4" t="str">
        <f>HYPERLINK("http://141.218.60.56/~jnz1568/getInfo.php?workbook=06_02.xlsx&amp;sheet=A0&amp;row=869&amp;col=18&amp;number=&amp;sourceID=32","")</f>
        <v/>
      </c>
    </row>
    <row r="870" spans="1:18">
      <c r="A870" s="3">
        <v>6</v>
      </c>
      <c r="B870" s="3">
        <v>2</v>
      </c>
      <c r="C870" s="3">
        <v>48</v>
      </c>
      <c r="D870" s="3">
        <v>38</v>
      </c>
      <c r="E870" s="3">
        <f>((1/(INDEX(E0!J$4:J$52,C870,1)-INDEX(E0!J$4:J$52,D870,1))))*100000000</f>
        <v>0</v>
      </c>
      <c r="F870" s="4" t="str">
        <f>HYPERLINK("http://141.218.60.56/~jnz1568/getInfo.php?workbook=06_02.xlsx&amp;sheet=A0&amp;row=870&amp;col=6&amp;number=&amp;sourceID=27","")</f>
        <v/>
      </c>
      <c r="G870" s="4" t="str">
        <f>HYPERLINK("http://141.218.60.56/~jnz1568/getInfo.php?workbook=06_02.xlsx&amp;sheet=A0&amp;row=870&amp;col=7&amp;number=&amp;sourceID=34","")</f>
        <v/>
      </c>
      <c r="H870" s="4" t="str">
        <f>HYPERLINK("http://141.218.60.56/~jnz1568/getInfo.php?workbook=06_02.xlsx&amp;sheet=A0&amp;row=870&amp;col=8&amp;number=&amp;sourceID=34","")</f>
        <v/>
      </c>
      <c r="I870" s="4" t="str">
        <f>HYPERLINK("http://141.218.60.56/~jnz1568/getInfo.php?workbook=06_02.xlsx&amp;sheet=A0&amp;row=870&amp;col=9&amp;number=&amp;sourceID=34","")</f>
        <v/>
      </c>
      <c r="J870" s="4" t="str">
        <f>HYPERLINK("http://141.218.60.56/~jnz1568/getInfo.php?workbook=06_02.xlsx&amp;sheet=A0&amp;row=870&amp;col=10&amp;number=&amp;sourceID=34","")</f>
        <v/>
      </c>
      <c r="K870" s="4" t="str">
        <f>HYPERLINK("http://141.218.60.56/~jnz1568/getInfo.php?workbook=06_02.xlsx&amp;sheet=A0&amp;row=870&amp;col=11&amp;number=&amp;sourceID=30","")</f>
        <v/>
      </c>
      <c r="L870" s="4" t="str">
        <f>HYPERLINK("http://141.218.60.56/~jnz1568/getInfo.php?workbook=06_02.xlsx&amp;sheet=A0&amp;row=870&amp;col=12&amp;number=1.62e-13&amp;sourceID=30","1.62e-13")</f>
        <v>1.62e-13</v>
      </c>
      <c r="M870" s="4" t="str">
        <f>HYPERLINK("http://141.218.60.56/~jnz1568/getInfo.php?workbook=06_02.xlsx&amp;sheet=A0&amp;row=870&amp;col=13&amp;number=4.633e-09&amp;sourceID=30","4.633e-09")</f>
        <v>4.633e-09</v>
      </c>
      <c r="N870" s="4" t="str">
        <f>HYPERLINK("http://141.218.60.56/~jnz1568/getInfo.php?workbook=06_02.xlsx&amp;sheet=A0&amp;row=870&amp;col=14&amp;number=&amp;sourceID=30","")</f>
        <v/>
      </c>
      <c r="O870" s="4" t="str">
        <f>HYPERLINK("http://141.218.60.56/~jnz1568/getInfo.php?workbook=06_02.xlsx&amp;sheet=A0&amp;row=870&amp;col=15&amp;number=&amp;sourceID=32","")</f>
        <v/>
      </c>
      <c r="P870" s="4" t="str">
        <f>HYPERLINK("http://141.218.60.56/~jnz1568/getInfo.php?workbook=06_02.xlsx&amp;sheet=A0&amp;row=870&amp;col=16&amp;number=&amp;sourceID=32","")</f>
        <v/>
      </c>
      <c r="Q870" s="4" t="str">
        <f>HYPERLINK("http://141.218.60.56/~jnz1568/getInfo.php?workbook=06_02.xlsx&amp;sheet=A0&amp;row=870&amp;col=17&amp;number=&amp;sourceID=32","")</f>
        <v/>
      </c>
      <c r="R870" s="4" t="str">
        <f>HYPERLINK("http://141.218.60.56/~jnz1568/getInfo.php?workbook=06_02.xlsx&amp;sheet=A0&amp;row=870&amp;col=18&amp;number=&amp;sourceID=32","")</f>
        <v/>
      </c>
    </row>
    <row r="871" spans="1:18">
      <c r="A871" s="3">
        <v>6</v>
      </c>
      <c r="B871" s="3">
        <v>2</v>
      </c>
      <c r="C871" s="3">
        <v>48</v>
      </c>
      <c r="D871" s="3">
        <v>39</v>
      </c>
      <c r="E871" s="3">
        <f>((1/(INDEX(E0!J$4:J$52,C871,1)-INDEX(E0!J$4:J$52,D871,1))))*100000000</f>
        <v>0</v>
      </c>
      <c r="F871" s="4" t="str">
        <f>HYPERLINK("http://141.218.60.56/~jnz1568/getInfo.php?workbook=06_02.xlsx&amp;sheet=A0&amp;row=871&amp;col=6&amp;number=&amp;sourceID=27","")</f>
        <v/>
      </c>
      <c r="G871" s="4" t="str">
        <f>HYPERLINK("http://141.218.60.56/~jnz1568/getInfo.php?workbook=06_02.xlsx&amp;sheet=A0&amp;row=871&amp;col=7&amp;number=&amp;sourceID=34","")</f>
        <v/>
      </c>
      <c r="H871" s="4" t="str">
        <f>HYPERLINK("http://141.218.60.56/~jnz1568/getInfo.php?workbook=06_02.xlsx&amp;sheet=A0&amp;row=871&amp;col=8&amp;number=&amp;sourceID=34","")</f>
        <v/>
      </c>
      <c r="I871" s="4" t="str">
        <f>HYPERLINK("http://141.218.60.56/~jnz1568/getInfo.php?workbook=06_02.xlsx&amp;sheet=A0&amp;row=871&amp;col=9&amp;number=&amp;sourceID=34","")</f>
        <v/>
      </c>
      <c r="J871" s="4" t="str">
        <f>HYPERLINK("http://141.218.60.56/~jnz1568/getInfo.php?workbook=06_02.xlsx&amp;sheet=A0&amp;row=871&amp;col=10&amp;number=&amp;sourceID=34","")</f>
        <v/>
      </c>
      <c r="K871" s="4" t="str">
        <f>HYPERLINK("http://141.218.60.56/~jnz1568/getInfo.php?workbook=06_02.xlsx&amp;sheet=A0&amp;row=871&amp;col=11&amp;number=&amp;sourceID=30","")</f>
        <v/>
      </c>
      <c r="L871" s="4" t="str">
        <f>HYPERLINK("http://141.218.60.56/~jnz1568/getInfo.php?workbook=06_02.xlsx&amp;sheet=A0&amp;row=871&amp;col=12&amp;number=2.28e-13&amp;sourceID=30","2.28e-13")</f>
        <v>2.28e-13</v>
      </c>
      <c r="M871" s="4" t="str">
        <f>HYPERLINK("http://141.218.60.56/~jnz1568/getInfo.php?workbook=06_02.xlsx&amp;sheet=A0&amp;row=871&amp;col=13&amp;number=2.129e-08&amp;sourceID=30","2.129e-08")</f>
        <v>2.129e-08</v>
      </c>
      <c r="N871" s="4" t="str">
        <f>HYPERLINK("http://141.218.60.56/~jnz1568/getInfo.php?workbook=06_02.xlsx&amp;sheet=A0&amp;row=871&amp;col=14&amp;number=&amp;sourceID=30","")</f>
        <v/>
      </c>
      <c r="O871" s="4" t="str">
        <f>HYPERLINK("http://141.218.60.56/~jnz1568/getInfo.php?workbook=06_02.xlsx&amp;sheet=A0&amp;row=871&amp;col=15&amp;number=&amp;sourceID=32","")</f>
        <v/>
      </c>
      <c r="P871" s="4" t="str">
        <f>HYPERLINK("http://141.218.60.56/~jnz1568/getInfo.php?workbook=06_02.xlsx&amp;sheet=A0&amp;row=871&amp;col=16&amp;number=&amp;sourceID=32","")</f>
        <v/>
      </c>
      <c r="Q871" s="4" t="str">
        <f>HYPERLINK("http://141.218.60.56/~jnz1568/getInfo.php?workbook=06_02.xlsx&amp;sheet=A0&amp;row=871&amp;col=17&amp;number=&amp;sourceID=32","")</f>
        <v/>
      </c>
      <c r="R871" s="4" t="str">
        <f>HYPERLINK("http://141.218.60.56/~jnz1568/getInfo.php?workbook=06_02.xlsx&amp;sheet=A0&amp;row=871&amp;col=18&amp;number=&amp;sourceID=32","")</f>
        <v/>
      </c>
    </row>
    <row r="872" spans="1:18">
      <c r="A872" s="3">
        <v>6</v>
      </c>
      <c r="B872" s="3">
        <v>2</v>
      </c>
      <c r="C872" s="3">
        <v>48</v>
      </c>
      <c r="D872" s="3">
        <v>40</v>
      </c>
      <c r="E872" s="3">
        <f>((1/(INDEX(E0!J$4:J$52,C872,1)-INDEX(E0!J$4:J$52,D872,1))))*100000000</f>
        <v>0</v>
      </c>
      <c r="F872" s="4" t="str">
        <f>HYPERLINK("http://141.218.60.56/~jnz1568/getInfo.php?workbook=06_02.xlsx&amp;sheet=A0&amp;row=872&amp;col=6&amp;number=&amp;sourceID=27","")</f>
        <v/>
      </c>
      <c r="G872" s="4" t="str">
        <f>HYPERLINK("http://141.218.60.56/~jnz1568/getInfo.php?workbook=06_02.xlsx&amp;sheet=A0&amp;row=872&amp;col=7&amp;number=&amp;sourceID=34","")</f>
        <v/>
      </c>
      <c r="H872" s="4" t="str">
        <f>HYPERLINK("http://141.218.60.56/~jnz1568/getInfo.php?workbook=06_02.xlsx&amp;sheet=A0&amp;row=872&amp;col=8&amp;number=&amp;sourceID=34","")</f>
        <v/>
      </c>
      <c r="I872" s="4" t="str">
        <f>HYPERLINK("http://141.218.60.56/~jnz1568/getInfo.php?workbook=06_02.xlsx&amp;sheet=A0&amp;row=872&amp;col=9&amp;number=&amp;sourceID=34","")</f>
        <v/>
      </c>
      <c r="J872" s="4" t="str">
        <f>HYPERLINK("http://141.218.60.56/~jnz1568/getInfo.php?workbook=06_02.xlsx&amp;sheet=A0&amp;row=872&amp;col=10&amp;number=&amp;sourceID=34","")</f>
        <v/>
      </c>
      <c r="K872" s="4" t="str">
        <f>HYPERLINK("http://141.218.60.56/~jnz1568/getInfo.php?workbook=06_02.xlsx&amp;sheet=A0&amp;row=872&amp;col=11&amp;number=0.000136&amp;sourceID=30","0.000136")</f>
        <v>0.000136</v>
      </c>
      <c r="L872" s="4" t="str">
        <f>HYPERLINK("http://141.218.60.56/~jnz1568/getInfo.php?workbook=06_02.xlsx&amp;sheet=A0&amp;row=872&amp;col=12&amp;number=&amp;sourceID=30","")</f>
        <v/>
      </c>
      <c r="M872" s="4" t="str">
        <f>HYPERLINK("http://141.218.60.56/~jnz1568/getInfo.php?workbook=06_02.xlsx&amp;sheet=A0&amp;row=872&amp;col=13&amp;number=&amp;sourceID=30","")</f>
        <v/>
      </c>
      <c r="N872" s="4" t="str">
        <f>HYPERLINK("http://141.218.60.56/~jnz1568/getInfo.php?workbook=06_02.xlsx&amp;sheet=A0&amp;row=872&amp;col=14&amp;number=0&amp;sourceID=30","0")</f>
        <v>0</v>
      </c>
      <c r="O872" s="4" t="str">
        <f>HYPERLINK("http://141.218.60.56/~jnz1568/getInfo.php?workbook=06_02.xlsx&amp;sheet=A0&amp;row=872&amp;col=15&amp;number=&amp;sourceID=32","")</f>
        <v/>
      </c>
      <c r="P872" s="4" t="str">
        <f>HYPERLINK("http://141.218.60.56/~jnz1568/getInfo.php?workbook=06_02.xlsx&amp;sheet=A0&amp;row=872&amp;col=16&amp;number=&amp;sourceID=32","")</f>
        <v/>
      </c>
      <c r="Q872" s="4" t="str">
        <f>HYPERLINK("http://141.218.60.56/~jnz1568/getInfo.php?workbook=06_02.xlsx&amp;sheet=A0&amp;row=872&amp;col=17&amp;number=&amp;sourceID=32","")</f>
        <v/>
      </c>
      <c r="R872" s="4" t="str">
        <f>HYPERLINK("http://141.218.60.56/~jnz1568/getInfo.php?workbook=06_02.xlsx&amp;sheet=A0&amp;row=872&amp;col=18&amp;number=&amp;sourceID=32","")</f>
        <v/>
      </c>
    </row>
    <row r="873" spans="1:18">
      <c r="A873" s="3">
        <v>6</v>
      </c>
      <c r="B873" s="3">
        <v>2</v>
      </c>
      <c r="C873" s="3">
        <v>48</v>
      </c>
      <c r="D873" s="3">
        <v>41</v>
      </c>
      <c r="E873" s="3">
        <f>((1/(INDEX(E0!J$4:J$52,C873,1)-INDEX(E0!J$4:J$52,D873,1))))*100000000</f>
        <v>0</v>
      </c>
      <c r="F873" s="4" t="str">
        <f>HYPERLINK("http://141.218.60.56/~jnz1568/getInfo.php?workbook=06_02.xlsx&amp;sheet=A0&amp;row=873&amp;col=6&amp;number=&amp;sourceID=27","")</f>
        <v/>
      </c>
      <c r="G873" s="4" t="str">
        <f>HYPERLINK("http://141.218.60.56/~jnz1568/getInfo.php?workbook=06_02.xlsx&amp;sheet=A0&amp;row=873&amp;col=7&amp;number=&amp;sourceID=34","")</f>
        <v/>
      </c>
      <c r="H873" s="4" t="str">
        <f>HYPERLINK("http://141.218.60.56/~jnz1568/getInfo.php?workbook=06_02.xlsx&amp;sheet=A0&amp;row=873&amp;col=8&amp;number=&amp;sourceID=34","")</f>
        <v/>
      </c>
      <c r="I873" s="4" t="str">
        <f>HYPERLINK("http://141.218.60.56/~jnz1568/getInfo.php?workbook=06_02.xlsx&amp;sheet=A0&amp;row=873&amp;col=9&amp;number=&amp;sourceID=34","")</f>
        <v/>
      </c>
      <c r="J873" s="4" t="str">
        <f>HYPERLINK("http://141.218.60.56/~jnz1568/getInfo.php?workbook=06_02.xlsx&amp;sheet=A0&amp;row=873&amp;col=10&amp;number=&amp;sourceID=34","")</f>
        <v/>
      </c>
      <c r="K873" s="4" t="str">
        <f>HYPERLINK("http://141.218.60.56/~jnz1568/getInfo.php?workbook=06_02.xlsx&amp;sheet=A0&amp;row=873&amp;col=11&amp;number=0.2196&amp;sourceID=30","0.2196")</f>
        <v>0.2196</v>
      </c>
      <c r="L873" s="4" t="str">
        <f>HYPERLINK("http://141.218.60.56/~jnz1568/getInfo.php?workbook=06_02.xlsx&amp;sheet=A0&amp;row=873&amp;col=12&amp;number=&amp;sourceID=30","")</f>
        <v/>
      </c>
      <c r="M873" s="4" t="str">
        <f>HYPERLINK("http://141.218.60.56/~jnz1568/getInfo.php?workbook=06_02.xlsx&amp;sheet=A0&amp;row=873&amp;col=13&amp;number=&amp;sourceID=30","")</f>
        <v/>
      </c>
      <c r="N873" s="4" t="str">
        <f>HYPERLINK("http://141.218.60.56/~jnz1568/getInfo.php?workbook=06_02.xlsx&amp;sheet=A0&amp;row=873&amp;col=14&amp;number=0&amp;sourceID=30","0")</f>
        <v>0</v>
      </c>
      <c r="O873" s="4" t="str">
        <f>HYPERLINK("http://141.218.60.56/~jnz1568/getInfo.php?workbook=06_02.xlsx&amp;sheet=A0&amp;row=873&amp;col=15&amp;number=&amp;sourceID=32","")</f>
        <v/>
      </c>
      <c r="P873" s="4" t="str">
        <f>HYPERLINK("http://141.218.60.56/~jnz1568/getInfo.php?workbook=06_02.xlsx&amp;sheet=A0&amp;row=873&amp;col=16&amp;number=&amp;sourceID=32","")</f>
        <v/>
      </c>
      <c r="Q873" s="4" t="str">
        <f>HYPERLINK("http://141.218.60.56/~jnz1568/getInfo.php?workbook=06_02.xlsx&amp;sheet=A0&amp;row=873&amp;col=17&amp;number=&amp;sourceID=32","")</f>
        <v/>
      </c>
      <c r="R873" s="4" t="str">
        <f>HYPERLINK("http://141.218.60.56/~jnz1568/getInfo.php?workbook=06_02.xlsx&amp;sheet=A0&amp;row=873&amp;col=18&amp;number=&amp;sourceID=32","")</f>
        <v/>
      </c>
    </row>
    <row r="874" spans="1:18">
      <c r="A874" s="3">
        <v>6</v>
      </c>
      <c r="B874" s="3">
        <v>2</v>
      </c>
      <c r="C874" s="3">
        <v>48</v>
      </c>
      <c r="D874" s="3">
        <v>42</v>
      </c>
      <c r="E874" s="3">
        <f>((1/(INDEX(E0!J$4:J$52,C874,1)-INDEX(E0!J$4:J$52,D874,1))))*100000000</f>
        <v>0</v>
      </c>
      <c r="F874" s="4" t="str">
        <f>HYPERLINK("http://141.218.60.56/~jnz1568/getInfo.php?workbook=06_02.xlsx&amp;sheet=A0&amp;row=874&amp;col=6&amp;number=&amp;sourceID=27","")</f>
        <v/>
      </c>
      <c r="G874" s="4" t="str">
        <f>HYPERLINK("http://141.218.60.56/~jnz1568/getInfo.php?workbook=06_02.xlsx&amp;sheet=A0&amp;row=874&amp;col=7&amp;number=&amp;sourceID=34","")</f>
        <v/>
      </c>
      <c r="H874" s="4" t="str">
        <f>HYPERLINK("http://141.218.60.56/~jnz1568/getInfo.php?workbook=06_02.xlsx&amp;sheet=A0&amp;row=874&amp;col=8&amp;number=&amp;sourceID=34","")</f>
        <v/>
      </c>
      <c r="I874" s="4" t="str">
        <f>HYPERLINK("http://141.218.60.56/~jnz1568/getInfo.php?workbook=06_02.xlsx&amp;sheet=A0&amp;row=874&amp;col=9&amp;number=&amp;sourceID=34","")</f>
        <v/>
      </c>
      <c r="J874" s="4" t="str">
        <f>HYPERLINK("http://141.218.60.56/~jnz1568/getInfo.php?workbook=06_02.xlsx&amp;sheet=A0&amp;row=874&amp;col=10&amp;number=&amp;sourceID=34","")</f>
        <v/>
      </c>
      <c r="K874" s="4" t="str">
        <f>HYPERLINK("http://141.218.60.56/~jnz1568/getInfo.php?workbook=06_02.xlsx&amp;sheet=A0&amp;row=874&amp;col=11&amp;number=&amp;sourceID=30","")</f>
        <v/>
      </c>
      <c r="L874" s="4" t="str">
        <f>HYPERLINK("http://141.218.60.56/~jnz1568/getInfo.php?workbook=06_02.xlsx&amp;sheet=A0&amp;row=874&amp;col=12&amp;number=&amp;sourceID=30","")</f>
        <v/>
      </c>
      <c r="M874" s="4" t="str">
        <f>HYPERLINK("http://141.218.60.56/~jnz1568/getInfo.php?workbook=06_02.xlsx&amp;sheet=A0&amp;row=874&amp;col=13&amp;number=&amp;sourceID=30","")</f>
        <v/>
      </c>
      <c r="N874" s="4" t="str">
        <f>HYPERLINK("http://141.218.60.56/~jnz1568/getInfo.php?workbook=06_02.xlsx&amp;sheet=A0&amp;row=874&amp;col=14&amp;number=0&amp;sourceID=30","0")</f>
        <v>0</v>
      </c>
      <c r="O874" s="4" t="str">
        <f>HYPERLINK("http://141.218.60.56/~jnz1568/getInfo.php?workbook=06_02.xlsx&amp;sheet=A0&amp;row=874&amp;col=15&amp;number=&amp;sourceID=32","")</f>
        <v/>
      </c>
      <c r="P874" s="4" t="str">
        <f>HYPERLINK("http://141.218.60.56/~jnz1568/getInfo.php?workbook=06_02.xlsx&amp;sheet=A0&amp;row=874&amp;col=16&amp;number=&amp;sourceID=32","")</f>
        <v/>
      </c>
      <c r="Q874" s="4" t="str">
        <f>HYPERLINK("http://141.218.60.56/~jnz1568/getInfo.php?workbook=06_02.xlsx&amp;sheet=A0&amp;row=874&amp;col=17&amp;number=&amp;sourceID=32","")</f>
        <v/>
      </c>
      <c r="R874" s="4" t="str">
        <f>HYPERLINK("http://141.218.60.56/~jnz1568/getInfo.php?workbook=06_02.xlsx&amp;sheet=A0&amp;row=874&amp;col=18&amp;number=&amp;sourceID=32","")</f>
        <v/>
      </c>
    </row>
    <row r="875" spans="1:18">
      <c r="A875" s="3">
        <v>6</v>
      </c>
      <c r="B875" s="3">
        <v>2</v>
      </c>
      <c r="C875" s="3">
        <v>48</v>
      </c>
      <c r="D875" s="3">
        <v>43</v>
      </c>
      <c r="E875" s="3">
        <f>((1/(INDEX(E0!J$4:J$52,C875,1)-INDEX(E0!J$4:J$52,D875,1))))*100000000</f>
        <v>0</v>
      </c>
      <c r="F875" s="4" t="str">
        <f>HYPERLINK("http://141.218.60.56/~jnz1568/getInfo.php?workbook=06_02.xlsx&amp;sheet=A0&amp;row=875&amp;col=6&amp;number=&amp;sourceID=27","")</f>
        <v/>
      </c>
      <c r="G875" s="4" t="str">
        <f>HYPERLINK("http://141.218.60.56/~jnz1568/getInfo.php?workbook=06_02.xlsx&amp;sheet=A0&amp;row=875&amp;col=7&amp;number=&amp;sourceID=34","")</f>
        <v/>
      </c>
      <c r="H875" s="4" t="str">
        <f>HYPERLINK("http://141.218.60.56/~jnz1568/getInfo.php?workbook=06_02.xlsx&amp;sheet=A0&amp;row=875&amp;col=8&amp;number=&amp;sourceID=34","")</f>
        <v/>
      </c>
      <c r="I875" s="4" t="str">
        <f>HYPERLINK("http://141.218.60.56/~jnz1568/getInfo.php?workbook=06_02.xlsx&amp;sheet=A0&amp;row=875&amp;col=9&amp;number=&amp;sourceID=34","")</f>
        <v/>
      </c>
      <c r="J875" s="4" t="str">
        <f>HYPERLINK("http://141.218.60.56/~jnz1568/getInfo.php?workbook=06_02.xlsx&amp;sheet=A0&amp;row=875&amp;col=10&amp;number=&amp;sourceID=34","")</f>
        <v/>
      </c>
      <c r="K875" s="4" t="str">
        <f>HYPERLINK("http://141.218.60.56/~jnz1568/getInfo.php?workbook=06_02.xlsx&amp;sheet=A0&amp;row=875&amp;col=11&amp;number=0.4159&amp;sourceID=30","0.4159")</f>
        <v>0.4159</v>
      </c>
      <c r="L875" s="4" t="str">
        <f>HYPERLINK("http://141.218.60.56/~jnz1568/getInfo.php?workbook=06_02.xlsx&amp;sheet=A0&amp;row=875&amp;col=12&amp;number=&amp;sourceID=30","")</f>
        <v/>
      </c>
      <c r="M875" s="4" t="str">
        <f>HYPERLINK("http://141.218.60.56/~jnz1568/getInfo.php?workbook=06_02.xlsx&amp;sheet=A0&amp;row=875&amp;col=13&amp;number=&amp;sourceID=30","")</f>
        <v/>
      </c>
      <c r="N875" s="4" t="str">
        <f>HYPERLINK("http://141.218.60.56/~jnz1568/getInfo.php?workbook=06_02.xlsx&amp;sheet=A0&amp;row=875&amp;col=14&amp;number=0&amp;sourceID=30","0")</f>
        <v>0</v>
      </c>
      <c r="O875" s="4" t="str">
        <f>HYPERLINK("http://141.218.60.56/~jnz1568/getInfo.php?workbook=06_02.xlsx&amp;sheet=A0&amp;row=875&amp;col=15&amp;number=&amp;sourceID=32","")</f>
        <v/>
      </c>
      <c r="P875" s="4" t="str">
        <f>HYPERLINK("http://141.218.60.56/~jnz1568/getInfo.php?workbook=06_02.xlsx&amp;sheet=A0&amp;row=875&amp;col=16&amp;number=&amp;sourceID=32","")</f>
        <v/>
      </c>
      <c r="Q875" s="4" t="str">
        <f>HYPERLINK("http://141.218.60.56/~jnz1568/getInfo.php?workbook=06_02.xlsx&amp;sheet=A0&amp;row=875&amp;col=17&amp;number=&amp;sourceID=32","")</f>
        <v/>
      </c>
      <c r="R875" s="4" t="str">
        <f>HYPERLINK("http://141.218.60.56/~jnz1568/getInfo.php?workbook=06_02.xlsx&amp;sheet=A0&amp;row=875&amp;col=18&amp;number=&amp;sourceID=32","")</f>
        <v/>
      </c>
    </row>
    <row r="876" spans="1:18">
      <c r="A876" s="3">
        <v>6</v>
      </c>
      <c r="B876" s="3">
        <v>2</v>
      </c>
      <c r="C876" s="3">
        <v>48</v>
      </c>
      <c r="D876" s="3">
        <v>44</v>
      </c>
      <c r="E876" s="3">
        <f>((1/(INDEX(E0!J$4:J$52,C876,1)-INDEX(E0!J$4:J$52,D876,1))))*100000000</f>
        <v>0</v>
      </c>
      <c r="F876" s="4" t="str">
        <f>HYPERLINK("http://141.218.60.56/~jnz1568/getInfo.php?workbook=06_02.xlsx&amp;sheet=A0&amp;row=876&amp;col=6&amp;number=&amp;sourceID=27","")</f>
        <v/>
      </c>
      <c r="G876" s="4" t="str">
        <f>HYPERLINK("http://141.218.60.56/~jnz1568/getInfo.php?workbook=06_02.xlsx&amp;sheet=A0&amp;row=876&amp;col=7&amp;number=&amp;sourceID=34","")</f>
        <v/>
      </c>
      <c r="H876" s="4" t="str">
        <f>HYPERLINK("http://141.218.60.56/~jnz1568/getInfo.php?workbook=06_02.xlsx&amp;sheet=A0&amp;row=876&amp;col=8&amp;number=&amp;sourceID=34","")</f>
        <v/>
      </c>
      <c r="I876" s="4" t="str">
        <f>HYPERLINK("http://141.218.60.56/~jnz1568/getInfo.php?workbook=06_02.xlsx&amp;sheet=A0&amp;row=876&amp;col=9&amp;number=&amp;sourceID=34","")</f>
        <v/>
      </c>
      <c r="J876" s="4" t="str">
        <f>HYPERLINK("http://141.218.60.56/~jnz1568/getInfo.php?workbook=06_02.xlsx&amp;sheet=A0&amp;row=876&amp;col=10&amp;number=&amp;sourceID=34","")</f>
        <v/>
      </c>
      <c r="K876" s="4" t="str">
        <f>HYPERLINK("http://141.218.60.56/~jnz1568/getInfo.php?workbook=06_02.xlsx&amp;sheet=A0&amp;row=876&amp;col=11&amp;number=&amp;sourceID=30","")</f>
        <v/>
      </c>
      <c r="L876" s="4" t="str">
        <f>HYPERLINK("http://141.218.60.56/~jnz1568/getInfo.php?workbook=06_02.xlsx&amp;sheet=A0&amp;row=876&amp;col=12&amp;number=0&amp;sourceID=30","0")</f>
        <v>0</v>
      </c>
      <c r="M876" s="4" t="str">
        <f>HYPERLINK("http://141.218.60.56/~jnz1568/getInfo.php?workbook=06_02.xlsx&amp;sheet=A0&amp;row=876&amp;col=13&amp;number=0&amp;sourceID=30","0")</f>
        <v>0</v>
      </c>
      <c r="N876" s="4" t="str">
        <f>HYPERLINK("http://141.218.60.56/~jnz1568/getInfo.php?workbook=06_02.xlsx&amp;sheet=A0&amp;row=876&amp;col=14&amp;number=&amp;sourceID=30","")</f>
        <v/>
      </c>
      <c r="O876" s="4" t="str">
        <f>HYPERLINK("http://141.218.60.56/~jnz1568/getInfo.php?workbook=06_02.xlsx&amp;sheet=A0&amp;row=876&amp;col=15&amp;number=&amp;sourceID=32","")</f>
        <v/>
      </c>
      <c r="P876" s="4" t="str">
        <f>HYPERLINK("http://141.218.60.56/~jnz1568/getInfo.php?workbook=06_02.xlsx&amp;sheet=A0&amp;row=876&amp;col=16&amp;number=&amp;sourceID=32","")</f>
        <v/>
      </c>
      <c r="Q876" s="4" t="str">
        <f>HYPERLINK("http://141.218.60.56/~jnz1568/getInfo.php?workbook=06_02.xlsx&amp;sheet=A0&amp;row=876&amp;col=17&amp;number=&amp;sourceID=32","")</f>
        <v/>
      </c>
      <c r="R876" s="4" t="str">
        <f>HYPERLINK("http://141.218.60.56/~jnz1568/getInfo.php?workbook=06_02.xlsx&amp;sheet=A0&amp;row=876&amp;col=18&amp;number=&amp;sourceID=32","")</f>
        <v/>
      </c>
    </row>
    <row r="877" spans="1:18">
      <c r="A877" s="3">
        <v>6</v>
      </c>
      <c r="B877" s="3">
        <v>2</v>
      </c>
      <c r="C877" s="3">
        <v>48</v>
      </c>
      <c r="D877" s="3">
        <v>45</v>
      </c>
      <c r="E877" s="3">
        <f>((1/(INDEX(E0!J$4:J$52,C877,1)-INDEX(E0!J$4:J$52,D877,1))))*100000000</f>
        <v>0</v>
      </c>
      <c r="F877" s="4" t="str">
        <f>HYPERLINK("http://141.218.60.56/~jnz1568/getInfo.php?workbook=06_02.xlsx&amp;sheet=A0&amp;row=877&amp;col=6&amp;number=&amp;sourceID=27","")</f>
        <v/>
      </c>
      <c r="G877" s="4" t="str">
        <f>HYPERLINK("http://141.218.60.56/~jnz1568/getInfo.php?workbook=06_02.xlsx&amp;sheet=A0&amp;row=877&amp;col=7&amp;number=&amp;sourceID=34","")</f>
        <v/>
      </c>
      <c r="H877" s="4" t="str">
        <f>HYPERLINK("http://141.218.60.56/~jnz1568/getInfo.php?workbook=06_02.xlsx&amp;sheet=A0&amp;row=877&amp;col=8&amp;number=&amp;sourceID=34","")</f>
        <v/>
      </c>
      <c r="I877" s="4" t="str">
        <f>HYPERLINK("http://141.218.60.56/~jnz1568/getInfo.php?workbook=06_02.xlsx&amp;sheet=A0&amp;row=877&amp;col=9&amp;number=&amp;sourceID=34","")</f>
        <v/>
      </c>
      <c r="J877" s="4" t="str">
        <f>HYPERLINK("http://141.218.60.56/~jnz1568/getInfo.php?workbook=06_02.xlsx&amp;sheet=A0&amp;row=877&amp;col=10&amp;number=&amp;sourceID=34","")</f>
        <v/>
      </c>
      <c r="K877" s="4" t="str">
        <f>HYPERLINK("http://141.218.60.56/~jnz1568/getInfo.php?workbook=06_02.xlsx&amp;sheet=A0&amp;row=877&amp;col=11&amp;number=&amp;sourceID=30","")</f>
        <v/>
      </c>
      <c r="L877" s="4" t="str">
        <f>HYPERLINK("http://141.218.60.56/~jnz1568/getInfo.php?workbook=06_02.xlsx&amp;sheet=A0&amp;row=877&amp;col=12&amp;number=1.78e-13&amp;sourceID=30","1.78e-13")</f>
        <v>1.78e-13</v>
      </c>
      <c r="M877" s="4" t="str">
        <f>HYPERLINK("http://141.218.60.56/~jnz1568/getInfo.php?workbook=06_02.xlsx&amp;sheet=A0&amp;row=877&amp;col=13&amp;number=&amp;sourceID=30","")</f>
        <v/>
      </c>
      <c r="N877" s="4" t="str">
        <f>HYPERLINK("http://141.218.60.56/~jnz1568/getInfo.php?workbook=06_02.xlsx&amp;sheet=A0&amp;row=877&amp;col=14&amp;number=&amp;sourceID=30","")</f>
        <v/>
      </c>
      <c r="O877" s="4" t="str">
        <f>HYPERLINK("http://141.218.60.56/~jnz1568/getInfo.php?workbook=06_02.xlsx&amp;sheet=A0&amp;row=877&amp;col=15&amp;number=&amp;sourceID=32","")</f>
        <v/>
      </c>
      <c r="P877" s="4" t="str">
        <f>HYPERLINK("http://141.218.60.56/~jnz1568/getInfo.php?workbook=06_02.xlsx&amp;sheet=A0&amp;row=877&amp;col=16&amp;number=&amp;sourceID=32","")</f>
        <v/>
      </c>
      <c r="Q877" s="4" t="str">
        <f>HYPERLINK("http://141.218.60.56/~jnz1568/getInfo.php?workbook=06_02.xlsx&amp;sheet=A0&amp;row=877&amp;col=17&amp;number=&amp;sourceID=32","")</f>
        <v/>
      </c>
      <c r="R877" s="4" t="str">
        <f>HYPERLINK("http://141.218.60.56/~jnz1568/getInfo.php?workbook=06_02.xlsx&amp;sheet=A0&amp;row=877&amp;col=18&amp;number=&amp;sourceID=32","")</f>
        <v/>
      </c>
    </row>
    <row r="878" spans="1:18">
      <c r="A878" s="3">
        <v>6</v>
      </c>
      <c r="B878" s="3">
        <v>2</v>
      </c>
      <c r="C878" s="3">
        <v>48</v>
      </c>
      <c r="D878" s="3">
        <v>47</v>
      </c>
      <c r="E878" s="3">
        <f>((1/(INDEX(E0!J$4:J$52,C878,1)-INDEX(E0!J$4:J$52,D878,1))))*100000000</f>
        <v>0</v>
      </c>
      <c r="F878" s="4" t="str">
        <f>HYPERLINK("http://141.218.60.56/~jnz1568/getInfo.php?workbook=06_02.xlsx&amp;sheet=A0&amp;row=878&amp;col=6&amp;number=&amp;sourceID=27","")</f>
        <v/>
      </c>
      <c r="G878" s="4" t="str">
        <f>HYPERLINK("http://141.218.60.56/~jnz1568/getInfo.php?workbook=06_02.xlsx&amp;sheet=A0&amp;row=878&amp;col=7&amp;number=&amp;sourceID=34","")</f>
        <v/>
      </c>
      <c r="H878" s="4" t="str">
        <f>HYPERLINK("http://141.218.60.56/~jnz1568/getInfo.php?workbook=06_02.xlsx&amp;sheet=A0&amp;row=878&amp;col=8&amp;number=&amp;sourceID=34","")</f>
        <v/>
      </c>
      <c r="I878" s="4" t="str">
        <f>HYPERLINK("http://141.218.60.56/~jnz1568/getInfo.php?workbook=06_02.xlsx&amp;sheet=A0&amp;row=878&amp;col=9&amp;number=&amp;sourceID=34","")</f>
        <v/>
      </c>
      <c r="J878" s="4" t="str">
        <f>HYPERLINK("http://141.218.60.56/~jnz1568/getInfo.php?workbook=06_02.xlsx&amp;sheet=A0&amp;row=878&amp;col=10&amp;number=&amp;sourceID=34","")</f>
        <v/>
      </c>
      <c r="K878" s="4" t="str">
        <f>HYPERLINK("http://141.218.60.56/~jnz1568/getInfo.php?workbook=06_02.xlsx&amp;sheet=A0&amp;row=878&amp;col=11&amp;number=&amp;sourceID=30","")</f>
        <v/>
      </c>
      <c r="L878" s="4" t="str">
        <f>HYPERLINK("http://141.218.60.56/~jnz1568/getInfo.php?workbook=06_02.xlsx&amp;sheet=A0&amp;row=878&amp;col=12&amp;number=1.56e-13&amp;sourceID=30","1.56e-13")</f>
        <v>1.56e-13</v>
      </c>
      <c r="M878" s="4" t="str">
        <f>HYPERLINK("http://141.218.60.56/~jnz1568/getInfo.php?workbook=06_02.xlsx&amp;sheet=A0&amp;row=878&amp;col=13&amp;number=&amp;sourceID=30","")</f>
        <v/>
      </c>
      <c r="N878" s="4" t="str">
        <f>HYPERLINK("http://141.218.60.56/~jnz1568/getInfo.php?workbook=06_02.xlsx&amp;sheet=A0&amp;row=878&amp;col=14&amp;number=&amp;sourceID=30","")</f>
        <v/>
      </c>
      <c r="O878" s="4" t="str">
        <f>HYPERLINK("http://141.218.60.56/~jnz1568/getInfo.php?workbook=06_02.xlsx&amp;sheet=A0&amp;row=878&amp;col=15&amp;number=&amp;sourceID=32","")</f>
        <v/>
      </c>
      <c r="P878" s="4" t="str">
        <f>HYPERLINK("http://141.218.60.56/~jnz1568/getInfo.php?workbook=06_02.xlsx&amp;sheet=A0&amp;row=878&amp;col=16&amp;number=&amp;sourceID=32","")</f>
        <v/>
      </c>
      <c r="Q878" s="4" t="str">
        <f>HYPERLINK("http://141.218.60.56/~jnz1568/getInfo.php?workbook=06_02.xlsx&amp;sheet=A0&amp;row=878&amp;col=17&amp;number=&amp;sourceID=32","")</f>
        <v/>
      </c>
      <c r="R878" s="4" t="str">
        <f>HYPERLINK("http://141.218.60.56/~jnz1568/getInfo.php?workbook=06_02.xlsx&amp;sheet=A0&amp;row=878&amp;col=18&amp;number=&amp;sourceID=32","")</f>
        <v/>
      </c>
    </row>
    <row r="879" spans="1:18">
      <c r="A879" s="3">
        <v>6</v>
      </c>
      <c r="B879" s="3">
        <v>2</v>
      </c>
      <c r="C879" s="3">
        <v>49</v>
      </c>
      <c r="D879" s="3">
        <v>1</v>
      </c>
      <c r="E879" s="3">
        <f>((1/(INDEX(E0!J$4:J$52,C879,1)-INDEX(E0!J$4:J$52,D879,1))))*100000000</f>
        <v>0</v>
      </c>
      <c r="F879" s="4" t="str">
        <f>HYPERLINK("http://141.218.60.56/~jnz1568/getInfo.php?workbook=06_02.xlsx&amp;sheet=A0&amp;row=879&amp;col=6&amp;number=&amp;sourceID=27","")</f>
        <v/>
      </c>
      <c r="G879" s="4" t="str">
        <f>HYPERLINK("http://141.218.60.56/~jnz1568/getInfo.php?workbook=06_02.xlsx&amp;sheet=A0&amp;row=879&amp;col=7&amp;number=&amp;sourceID=34","")</f>
        <v/>
      </c>
      <c r="H879" s="4" t="str">
        <f>HYPERLINK("http://141.218.60.56/~jnz1568/getInfo.php?workbook=06_02.xlsx&amp;sheet=A0&amp;row=879&amp;col=8&amp;number=&amp;sourceID=34","")</f>
        <v/>
      </c>
      <c r="I879" s="4" t="str">
        <f>HYPERLINK("http://141.218.60.56/~jnz1568/getInfo.php?workbook=06_02.xlsx&amp;sheet=A0&amp;row=879&amp;col=9&amp;number=&amp;sourceID=34","")</f>
        <v/>
      </c>
      <c r="J879" s="4" t="str">
        <f>HYPERLINK("http://141.218.60.56/~jnz1568/getInfo.php?workbook=06_02.xlsx&amp;sheet=A0&amp;row=879&amp;col=10&amp;number=&amp;sourceID=34","")</f>
        <v/>
      </c>
      <c r="K879" s="4" t="str">
        <f>HYPERLINK("http://141.218.60.56/~jnz1568/getInfo.php?workbook=06_02.xlsx&amp;sheet=A0&amp;row=879&amp;col=11&amp;number=153600000000&amp;sourceID=30","153600000000")</f>
        <v>153600000000</v>
      </c>
      <c r="L879" s="4" t="str">
        <f>HYPERLINK("http://141.218.60.56/~jnz1568/getInfo.php?workbook=06_02.xlsx&amp;sheet=A0&amp;row=879&amp;col=12&amp;number=&amp;sourceID=30","")</f>
        <v/>
      </c>
      <c r="M879" s="4" t="str">
        <f>HYPERLINK("http://141.218.60.56/~jnz1568/getInfo.php?workbook=06_02.xlsx&amp;sheet=A0&amp;row=879&amp;col=13&amp;number=&amp;sourceID=30","")</f>
        <v/>
      </c>
      <c r="N879" s="4" t="str">
        <f>HYPERLINK("http://141.218.60.56/~jnz1568/getInfo.php?workbook=06_02.xlsx&amp;sheet=A0&amp;row=879&amp;col=14&amp;number=&amp;sourceID=30","")</f>
        <v/>
      </c>
      <c r="O879" s="4" t="str">
        <f>HYPERLINK("http://141.218.60.56/~jnz1568/getInfo.php?workbook=06_02.xlsx&amp;sheet=A0&amp;row=879&amp;col=15&amp;number=54200000000&amp;sourceID=32","54200000000")</f>
        <v>54200000000</v>
      </c>
      <c r="P879" s="4" t="str">
        <f>HYPERLINK("http://141.218.60.56/~jnz1568/getInfo.php?workbook=06_02.xlsx&amp;sheet=A0&amp;row=879&amp;col=16&amp;number=&amp;sourceID=32","")</f>
        <v/>
      </c>
      <c r="Q879" s="4" t="str">
        <f>HYPERLINK("http://141.218.60.56/~jnz1568/getInfo.php?workbook=06_02.xlsx&amp;sheet=A0&amp;row=879&amp;col=17&amp;number=&amp;sourceID=32","")</f>
        <v/>
      </c>
      <c r="R879" s="4" t="str">
        <f>HYPERLINK("http://141.218.60.56/~jnz1568/getInfo.php?workbook=06_02.xlsx&amp;sheet=A0&amp;row=879&amp;col=18&amp;number=&amp;sourceID=32","")</f>
        <v/>
      </c>
    </row>
    <row r="880" spans="1:18">
      <c r="A880" s="3">
        <v>6</v>
      </c>
      <c r="B880" s="3">
        <v>2</v>
      </c>
      <c r="C880" s="3">
        <v>49</v>
      </c>
      <c r="D880" s="3">
        <v>2</v>
      </c>
      <c r="E880" s="3">
        <f>((1/(INDEX(E0!J$4:J$52,C880,1)-INDEX(E0!J$4:J$52,D880,1))))*100000000</f>
        <v>0</v>
      </c>
      <c r="F880" s="4" t="str">
        <f>HYPERLINK("http://141.218.60.56/~jnz1568/getInfo.php?workbook=06_02.xlsx&amp;sheet=A0&amp;row=880&amp;col=6&amp;number=&amp;sourceID=27","")</f>
        <v/>
      </c>
      <c r="G880" s="4" t="str">
        <f>HYPERLINK("http://141.218.60.56/~jnz1568/getInfo.php?workbook=06_02.xlsx&amp;sheet=A0&amp;row=880&amp;col=7&amp;number=&amp;sourceID=34","")</f>
        <v/>
      </c>
      <c r="H880" s="4" t="str">
        <f>HYPERLINK("http://141.218.60.56/~jnz1568/getInfo.php?workbook=06_02.xlsx&amp;sheet=A0&amp;row=880&amp;col=8&amp;number=&amp;sourceID=34","")</f>
        <v/>
      </c>
      <c r="I880" s="4" t="str">
        <f>HYPERLINK("http://141.218.60.56/~jnz1568/getInfo.php?workbook=06_02.xlsx&amp;sheet=A0&amp;row=880&amp;col=9&amp;number=&amp;sourceID=34","")</f>
        <v/>
      </c>
      <c r="J880" s="4" t="str">
        <f>HYPERLINK("http://141.218.60.56/~jnz1568/getInfo.php?workbook=06_02.xlsx&amp;sheet=A0&amp;row=880&amp;col=10&amp;number=&amp;sourceID=34","")</f>
        <v/>
      </c>
      <c r="K880" s="4" t="str">
        <f>HYPERLINK("http://141.218.60.56/~jnz1568/getInfo.php?workbook=06_02.xlsx&amp;sheet=A0&amp;row=880&amp;col=11&amp;number=60400&amp;sourceID=30","60400")</f>
        <v>60400</v>
      </c>
      <c r="L880" s="4" t="str">
        <f>HYPERLINK("http://141.218.60.56/~jnz1568/getInfo.php?workbook=06_02.xlsx&amp;sheet=A0&amp;row=880&amp;col=12&amp;number=&amp;sourceID=30","")</f>
        <v/>
      </c>
      <c r="M880" s="4" t="str">
        <f>HYPERLINK("http://141.218.60.56/~jnz1568/getInfo.php?workbook=06_02.xlsx&amp;sheet=A0&amp;row=880&amp;col=13&amp;number=&amp;sourceID=30","")</f>
        <v/>
      </c>
      <c r="N880" s="4" t="str">
        <f>HYPERLINK("http://141.218.60.56/~jnz1568/getInfo.php?workbook=06_02.xlsx&amp;sheet=A0&amp;row=880&amp;col=14&amp;number=8.501&amp;sourceID=30","8.501")</f>
        <v>8.501</v>
      </c>
      <c r="O880" s="4" t="str">
        <f>HYPERLINK("http://141.218.60.56/~jnz1568/getInfo.php?workbook=06_02.xlsx&amp;sheet=A0&amp;row=880&amp;col=15&amp;number=91220&amp;sourceID=32","91220")</f>
        <v>91220</v>
      </c>
      <c r="P880" s="4" t="str">
        <f>HYPERLINK("http://141.218.60.56/~jnz1568/getInfo.php?workbook=06_02.xlsx&amp;sheet=A0&amp;row=880&amp;col=16&amp;number=&amp;sourceID=32","")</f>
        <v/>
      </c>
      <c r="Q880" s="4" t="str">
        <f>HYPERLINK("http://141.218.60.56/~jnz1568/getInfo.php?workbook=06_02.xlsx&amp;sheet=A0&amp;row=880&amp;col=17&amp;number=&amp;sourceID=32","")</f>
        <v/>
      </c>
      <c r="R880" s="4" t="str">
        <f>HYPERLINK("http://141.218.60.56/~jnz1568/getInfo.php?workbook=06_02.xlsx&amp;sheet=A0&amp;row=880&amp;col=18&amp;number=8.561&amp;sourceID=32","8.561")</f>
        <v>8.561</v>
      </c>
    </row>
    <row r="881" spans="1:18">
      <c r="A881" s="3">
        <v>6</v>
      </c>
      <c r="B881" s="3">
        <v>2</v>
      </c>
      <c r="C881" s="3">
        <v>49</v>
      </c>
      <c r="D881" s="3">
        <v>3</v>
      </c>
      <c r="E881" s="3">
        <f>((1/(INDEX(E0!J$4:J$52,C881,1)-INDEX(E0!J$4:J$52,D881,1))))*100000000</f>
        <v>0</v>
      </c>
      <c r="F881" s="4" t="str">
        <f>HYPERLINK("http://141.218.60.56/~jnz1568/getInfo.php?workbook=06_02.xlsx&amp;sheet=A0&amp;row=881&amp;col=6&amp;number=&amp;sourceID=27","")</f>
        <v/>
      </c>
      <c r="G881" s="4" t="str">
        <f>HYPERLINK("http://141.218.60.56/~jnz1568/getInfo.php?workbook=06_02.xlsx&amp;sheet=A0&amp;row=881&amp;col=7&amp;number=3001000000&amp;sourceID=34","3001000000")</f>
        <v>3001000000</v>
      </c>
      <c r="H881" s="4" t="str">
        <f>HYPERLINK("http://141.218.60.56/~jnz1568/getInfo.php?workbook=06_02.xlsx&amp;sheet=A0&amp;row=881&amp;col=8&amp;number=&amp;sourceID=34","")</f>
        <v/>
      </c>
      <c r="I881" s="4" t="str">
        <f>HYPERLINK("http://141.218.60.56/~jnz1568/getInfo.php?workbook=06_02.xlsx&amp;sheet=A0&amp;row=881&amp;col=9&amp;number=&amp;sourceID=34","")</f>
        <v/>
      </c>
      <c r="J881" s="4" t="str">
        <f>HYPERLINK("http://141.218.60.56/~jnz1568/getInfo.php?workbook=06_02.xlsx&amp;sheet=A0&amp;row=881&amp;col=10&amp;number=&amp;sourceID=34","")</f>
        <v/>
      </c>
      <c r="K881" s="4" t="str">
        <f>HYPERLINK("http://141.218.60.56/~jnz1568/getInfo.php?workbook=06_02.xlsx&amp;sheet=A0&amp;row=881&amp;col=11&amp;number=5668000000&amp;sourceID=30","5668000000")</f>
        <v>5668000000</v>
      </c>
      <c r="L881" s="4" t="str">
        <f>HYPERLINK("http://141.218.60.56/~jnz1568/getInfo.php?workbook=06_02.xlsx&amp;sheet=A0&amp;row=881&amp;col=12&amp;number=&amp;sourceID=30","")</f>
        <v/>
      </c>
      <c r="M881" s="4" t="str">
        <f>HYPERLINK("http://141.218.60.56/~jnz1568/getInfo.php?workbook=06_02.xlsx&amp;sheet=A0&amp;row=881&amp;col=13&amp;number=&amp;sourceID=30","")</f>
        <v/>
      </c>
      <c r="N881" s="4" t="str">
        <f>HYPERLINK("http://141.218.60.56/~jnz1568/getInfo.php?workbook=06_02.xlsx&amp;sheet=A0&amp;row=881&amp;col=14&amp;number=&amp;sourceID=30","")</f>
        <v/>
      </c>
      <c r="O881" s="4" t="str">
        <f>HYPERLINK("http://141.218.60.56/~jnz1568/getInfo.php?workbook=06_02.xlsx&amp;sheet=A0&amp;row=881&amp;col=15&amp;number=3000000000&amp;sourceID=32","3000000000")</f>
        <v>3000000000</v>
      </c>
      <c r="P881" s="4" t="str">
        <f>HYPERLINK("http://141.218.60.56/~jnz1568/getInfo.php?workbook=06_02.xlsx&amp;sheet=A0&amp;row=881&amp;col=16&amp;number=&amp;sourceID=32","")</f>
        <v/>
      </c>
      <c r="Q881" s="4" t="str">
        <f>HYPERLINK("http://141.218.60.56/~jnz1568/getInfo.php?workbook=06_02.xlsx&amp;sheet=A0&amp;row=881&amp;col=17&amp;number=&amp;sourceID=32","")</f>
        <v/>
      </c>
      <c r="R881" s="4" t="str">
        <f>HYPERLINK("http://141.218.60.56/~jnz1568/getInfo.php?workbook=06_02.xlsx&amp;sheet=A0&amp;row=881&amp;col=18&amp;number=&amp;sourceID=32","")</f>
        <v/>
      </c>
    </row>
    <row r="882" spans="1:18">
      <c r="A882" s="3">
        <v>6</v>
      </c>
      <c r="B882" s="3">
        <v>2</v>
      </c>
      <c r="C882" s="3">
        <v>49</v>
      </c>
      <c r="D882" s="3">
        <v>4</v>
      </c>
      <c r="E882" s="3">
        <f>((1/(INDEX(E0!J$4:J$52,C882,1)-INDEX(E0!J$4:J$52,D882,1))))*100000000</f>
        <v>0</v>
      </c>
      <c r="F882" s="4" t="str">
        <f>HYPERLINK("http://141.218.60.56/~jnz1568/getInfo.php?workbook=06_02.xlsx&amp;sheet=A0&amp;row=882&amp;col=6&amp;number=&amp;sourceID=27","")</f>
        <v/>
      </c>
      <c r="G882" s="4" t="str">
        <f>HYPERLINK("http://141.218.60.56/~jnz1568/getInfo.php?workbook=06_02.xlsx&amp;sheet=A0&amp;row=882&amp;col=7&amp;number=&amp;sourceID=34","")</f>
        <v/>
      </c>
      <c r="H882" s="4" t="str">
        <f>HYPERLINK("http://141.218.60.56/~jnz1568/getInfo.php?workbook=06_02.xlsx&amp;sheet=A0&amp;row=882&amp;col=8&amp;number=&amp;sourceID=34","")</f>
        <v/>
      </c>
      <c r="I882" s="4" t="str">
        <f>HYPERLINK("http://141.218.60.56/~jnz1568/getInfo.php?workbook=06_02.xlsx&amp;sheet=A0&amp;row=882&amp;col=9&amp;number=&amp;sourceID=34","")</f>
        <v/>
      </c>
      <c r="J882" s="4" t="str">
        <f>HYPERLINK("http://141.218.60.56/~jnz1568/getInfo.php?workbook=06_02.xlsx&amp;sheet=A0&amp;row=882&amp;col=10&amp;number=&amp;sourceID=34","")</f>
        <v/>
      </c>
      <c r="K882" s="4" t="str">
        <f>HYPERLINK("http://141.218.60.56/~jnz1568/getInfo.php?workbook=06_02.xlsx&amp;sheet=A0&amp;row=882&amp;col=11&amp;number=&amp;sourceID=30","")</f>
        <v/>
      </c>
      <c r="L882" s="4" t="str">
        <f>HYPERLINK("http://141.218.60.56/~jnz1568/getInfo.php?workbook=06_02.xlsx&amp;sheet=A0&amp;row=882&amp;col=12&amp;number=17.95&amp;sourceID=30","17.95")</f>
        <v>17.95</v>
      </c>
      <c r="M882" s="4" t="str">
        <f>HYPERLINK("http://141.218.60.56/~jnz1568/getInfo.php?workbook=06_02.xlsx&amp;sheet=A0&amp;row=882&amp;col=13&amp;number=0.004081&amp;sourceID=30","0.004081")</f>
        <v>0.004081</v>
      </c>
      <c r="N882" s="4" t="str">
        <f>HYPERLINK("http://141.218.60.56/~jnz1568/getInfo.php?workbook=06_02.xlsx&amp;sheet=A0&amp;row=882&amp;col=14&amp;number=&amp;sourceID=30","")</f>
        <v/>
      </c>
      <c r="O882" s="4" t="str">
        <f>HYPERLINK("http://141.218.60.56/~jnz1568/getInfo.php?workbook=06_02.xlsx&amp;sheet=A0&amp;row=882&amp;col=15&amp;number=&amp;sourceID=32","")</f>
        <v/>
      </c>
      <c r="P882" s="4" t="str">
        <f>HYPERLINK("http://141.218.60.56/~jnz1568/getInfo.php?workbook=06_02.xlsx&amp;sheet=A0&amp;row=882&amp;col=16&amp;number=6.148&amp;sourceID=32","6.148")</f>
        <v>6.148</v>
      </c>
      <c r="Q882" s="4" t="str">
        <f>HYPERLINK("http://141.218.60.56/~jnz1568/getInfo.php?workbook=06_02.xlsx&amp;sheet=A0&amp;row=882&amp;col=17&amp;number=0.005737&amp;sourceID=32","0.005737")</f>
        <v>0.005737</v>
      </c>
      <c r="R882" s="4" t="str">
        <f>HYPERLINK("http://141.218.60.56/~jnz1568/getInfo.php?workbook=06_02.xlsx&amp;sheet=A0&amp;row=882&amp;col=18&amp;number=&amp;sourceID=32","")</f>
        <v/>
      </c>
    </row>
    <row r="883" spans="1:18">
      <c r="A883" s="3">
        <v>6</v>
      </c>
      <c r="B883" s="3">
        <v>2</v>
      </c>
      <c r="C883" s="3">
        <v>49</v>
      </c>
      <c r="D883" s="3">
        <v>5</v>
      </c>
      <c r="E883" s="3">
        <f>((1/(INDEX(E0!J$4:J$52,C883,1)-INDEX(E0!J$4:J$52,D883,1))))*100000000</f>
        <v>0</v>
      </c>
      <c r="F883" s="4" t="str">
        <f>HYPERLINK("http://141.218.60.56/~jnz1568/getInfo.php?workbook=06_02.xlsx&amp;sheet=A0&amp;row=883&amp;col=6&amp;number=&amp;sourceID=27","")</f>
        <v/>
      </c>
      <c r="G883" s="4" t="str">
        <f>HYPERLINK("http://141.218.60.56/~jnz1568/getInfo.php?workbook=06_02.xlsx&amp;sheet=A0&amp;row=883&amp;col=7&amp;number=&amp;sourceID=34","")</f>
        <v/>
      </c>
      <c r="H883" s="4" t="str">
        <f>HYPERLINK("http://141.218.60.56/~jnz1568/getInfo.php?workbook=06_02.xlsx&amp;sheet=A0&amp;row=883&amp;col=8&amp;number=&amp;sourceID=34","")</f>
        <v/>
      </c>
      <c r="I883" s="4" t="str">
        <f>HYPERLINK("http://141.218.60.56/~jnz1568/getInfo.php?workbook=06_02.xlsx&amp;sheet=A0&amp;row=883&amp;col=9&amp;number=&amp;sourceID=34","")</f>
        <v/>
      </c>
      <c r="J883" s="4" t="str">
        <f>HYPERLINK("http://141.218.60.56/~jnz1568/getInfo.php?workbook=06_02.xlsx&amp;sheet=A0&amp;row=883&amp;col=10&amp;number=&amp;sourceID=34","")</f>
        <v/>
      </c>
      <c r="K883" s="4" t="str">
        <f>HYPERLINK("http://141.218.60.56/~jnz1568/getInfo.php?workbook=06_02.xlsx&amp;sheet=A0&amp;row=883&amp;col=11&amp;number=&amp;sourceID=30","")</f>
        <v/>
      </c>
      <c r="L883" s="4" t="str">
        <f>HYPERLINK("http://141.218.60.56/~jnz1568/getInfo.php?workbook=06_02.xlsx&amp;sheet=A0&amp;row=883&amp;col=12&amp;number=&amp;sourceID=30","")</f>
        <v/>
      </c>
      <c r="M883" s="4" t="str">
        <f>HYPERLINK("http://141.218.60.56/~jnz1568/getInfo.php?workbook=06_02.xlsx&amp;sheet=A0&amp;row=883&amp;col=13&amp;number=0.009976&amp;sourceID=30","0.009976")</f>
        <v>0.009976</v>
      </c>
      <c r="N883" s="4" t="str">
        <f>HYPERLINK("http://141.218.60.56/~jnz1568/getInfo.php?workbook=06_02.xlsx&amp;sheet=A0&amp;row=883&amp;col=14&amp;number=&amp;sourceID=30","")</f>
        <v/>
      </c>
      <c r="O883" s="4" t="str">
        <f>HYPERLINK("http://141.218.60.56/~jnz1568/getInfo.php?workbook=06_02.xlsx&amp;sheet=A0&amp;row=883&amp;col=15&amp;number=&amp;sourceID=32","")</f>
        <v/>
      </c>
      <c r="P883" s="4" t="str">
        <f>HYPERLINK("http://141.218.60.56/~jnz1568/getInfo.php?workbook=06_02.xlsx&amp;sheet=A0&amp;row=883&amp;col=16&amp;number=&amp;sourceID=32","")</f>
        <v/>
      </c>
      <c r="Q883" s="4" t="str">
        <f>HYPERLINK("http://141.218.60.56/~jnz1568/getInfo.php?workbook=06_02.xlsx&amp;sheet=A0&amp;row=883&amp;col=17&amp;number=0.007725&amp;sourceID=32","0.007725")</f>
        <v>0.007725</v>
      </c>
      <c r="R883" s="4" t="str">
        <f>HYPERLINK("http://141.218.60.56/~jnz1568/getInfo.php?workbook=06_02.xlsx&amp;sheet=A0&amp;row=883&amp;col=18&amp;number=&amp;sourceID=32","")</f>
        <v/>
      </c>
    </row>
    <row r="884" spans="1:18">
      <c r="A884" s="3">
        <v>6</v>
      </c>
      <c r="B884" s="3">
        <v>2</v>
      </c>
      <c r="C884" s="3">
        <v>49</v>
      </c>
      <c r="D884" s="3">
        <v>6</v>
      </c>
      <c r="E884" s="3">
        <f>((1/(INDEX(E0!J$4:J$52,C884,1)-INDEX(E0!J$4:J$52,D884,1))))*100000000</f>
        <v>0</v>
      </c>
      <c r="F884" s="4" t="str">
        <f>HYPERLINK("http://141.218.60.56/~jnz1568/getInfo.php?workbook=06_02.xlsx&amp;sheet=A0&amp;row=884&amp;col=6&amp;number=&amp;sourceID=27","")</f>
        <v/>
      </c>
      <c r="G884" s="4" t="str">
        <f>HYPERLINK("http://141.218.60.56/~jnz1568/getInfo.php?workbook=06_02.xlsx&amp;sheet=A0&amp;row=884&amp;col=7&amp;number=&amp;sourceID=34","")</f>
        <v/>
      </c>
      <c r="H884" s="4" t="str">
        <f>HYPERLINK("http://141.218.60.56/~jnz1568/getInfo.php?workbook=06_02.xlsx&amp;sheet=A0&amp;row=884&amp;col=8&amp;number=&amp;sourceID=34","")</f>
        <v/>
      </c>
      <c r="I884" s="4" t="str">
        <f>HYPERLINK("http://141.218.60.56/~jnz1568/getInfo.php?workbook=06_02.xlsx&amp;sheet=A0&amp;row=884&amp;col=9&amp;number=&amp;sourceID=34","")</f>
        <v/>
      </c>
      <c r="J884" s="4" t="str">
        <f>HYPERLINK("http://141.218.60.56/~jnz1568/getInfo.php?workbook=06_02.xlsx&amp;sheet=A0&amp;row=884&amp;col=10&amp;number=&amp;sourceID=34","")</f>
        <v/>
      </c>
      <c r="K884" s="4" t="str">
        <f>HYPERLINK("http://141.218.60.56/~jnz1568/getInfo.php?workbook=06_02.xlsx&amp;sheet=A0&amp;row=884&amp;col=11&amp;number=&amp;sourceID=30","")</f>
        <v/>
      </c>
      <c r="L884" s="4" t="str">
        <f>HYPERLINK("http://141.218.60.56/~jnz1568/getInfo.php?workbook=06_02.xlsx&amp;sheet=A0&amp;row=884&amp;col=12&amp;number=0.2283&amp;sourceID=30","0.2283")</f>
        <v>0.2283</v>
      </c>
      <c r="M884" s="4" t="str">
        <f>HYPERLINK("http://141.218.60.56/~jnz1568/getInfo.php?workbook=06_02.xlsx&amp;sheet=A0&amp;row=884&amp;col=13&amp;number=0.05144&amp;sourceID=30","0.05144")</f>
        <v>0.05144</v>
      </c>
      <c r="N884" s="4" t="str">
        <f>HYPERLINK("http://141.218.60.56/~jnz1568/getInfo.php?workbook=06_02.xlsx&amp;sheet=A0&amp;row=884&amp;col=14&amp;number=&amp;sourceID=30","")</f>
        <v/>
      </c>
      <c r="O884" s="4" t="str">
        <f>HYPERLINK("http://141.218.60.56/~jnz1568/getInfo.php?workbook=06_02.xlsx&amp;sheet=A0&amp;row=884&amp;col=15&amp;number=&amp;sourceID=32","")</f>
        <v/>
      </c>
      <c r="P884" s="4" t="str">
        <f>HYPERLINK("http://141.218.60.56/~jnz1568/getInfo.php?workbook=06_02.xlsx&amp;sheet=A0&amp;row=884&amp;col=16&amp;number=2.205&amp;sourceID=32","2.205")</f>
        <v>2.205</v>
      </c>
      <c r="Q884" s="4" t="str">
        <f>HYPERLINK("http://141.218.60.56/~jnz1568/getInfo.php?workbook=06_02.xlsx&amp;sheet=A0&amp;row=884&amp;col=17&amp;number=0.03213&amp;sourceID=32","0.03213")</f>
        <v>0.03213</v>
      </c>
      <c r="R884" s="4" t="str">
        <f>HYPERLINK("http://141.218.60.56/~jnz1568/getInfo.php?workbook=06_02.xlsx&amp;sheet=A0&amp;row=884&amp;col=18&amp;number=&amp;sourceID=32","")</f>
        <v/>
      </c>
    </row>
    <row r="885" spans="1:18">
      <c r="A885" s="3">
        <v>6</v>
      </c>
      <c r="B885" s="3">
        <v>2</v>
      </c>
      <c r="C885" s="3">
        <v>49</v>
      </c>
      <c r="D885" s="3">
        <v>7</v>
      </c>
      <c r="E885" s="3">
        <f>((1/(INDEX(E0!J$4:J$52,C885,1)-INDEX(E0!J$4:J$52,D885,1))))*100000000</f>
        <v>0</v>
      </c>
      <c r="F885" s="4" t="str">
        <f>HYPERLINK("http://141.218.60.56/~jnz1568/getInfo.php?workbook=06_02.xlsx&amp;sheet=A0&amp;row=885&amp;col=6&amp;number=&amp;sourceID=27","")</f>
        <v/>
      </c>
      <c r="G885" s="4" t="str">
        <f>HYPERLINK("http://141.218.60.56/~jnz1568/getInfo.php?workbook=06_02.xlsx&amp;sheet=A0&amp;row=885&amp;col=7&amp;number=&amp;sourceID=34","")</f>
        <v/>
      </c>
      <c r="H885" s="4" t="str">
        <f>HYPERLINK("http://141.218.60.56/~jnz1568/getInfo.php?workbook=06_02.xlsx&amp;sheet=A0&amp;row=885&amp;col=8&amp;number=&amp;sourceID=34","")</f>
        <v/>
      </c>
      <c r="I885" s="4" t="str">
        <f>HYPERLINK("http://141.218.60.56/~jnz1568/getInfo.php?workbook=06_02.xlsx&amp;sheet=A0&amp;row=885&amp;col=9&amp;number=&amp;sourceID=34","")</f>
        <v/>
      </c>
      <c r="J885" s="4" t="str">
        <f>HYPERLINK("http://141.218.60.56/~jnz1568/getInfo.php?workbook=06_02.xlsx&amp;sheet=A0&amp;row=885&amp;col=10&amp;number=&amp;sourceID=34","")</f>
        <v/>
      </c>
      <c r="K885" s="4" t="str">
        <f>HYPERLINK("http://141.218.60.56/~jnz1568/getInfo.php?workbook=06_02.xlsx&amp;sheet=A0&amp;row=885&amp;col=11&amp;number=&amp;sourceID=30","")</f>
        <v/>
      </c>
      <c r="L885" s="4" t="str">
        <f>HYPERLINK("http://141.218.60.56/~jnz1568/getInfo.php?workbook=06_02.xlsx&amp;sheet=A0&amp;row=885&amp;col=12&amp;number=651200&amp;sourceID=30","651200")</f>
        <v>651200</v>
      </c>
      <c r="M885" s="4" t="str">
        <f>HYPERLINK("http://141.218.60.56/~jnz1568/getInfo.php?workbook=06_02.xlsx&amp;sheet=A0&amp;row=885&amp;col=13&amp;number=0.003247&amp;sourceID=30","0.003247")</f>
        <v>0.003247</v>
      </c>
      <c r="N885" s="4" t="str">
        <f>HYPERLINK("http://141.218.60.56/~jnz1568/getInfo.php?workbook=06_02.xlsx&amp;sheet=A0&amp;row=885&amp;col=14&amp;number=&amp;sourceID=30","")</f>
        <v/>
      </c>
      <c r="O885" s="4" t="str">
        <f>HYPERLINK("http://141.218.60.56/~jnz1568/getInfo.php?workbook=06_02.xlsx&amp;sheet=A0&amp;row=885&amp;col=15&amp;number=&amp;sourceID=32","")</f>
        <v/>
      </c>
      <c r="P885" s="4" t="str">
        <f>HYPERLINK("http://141.218.60.56/~jnz1568/getInfo.php?workbook=06_02.xlsx&amp;sheet=A0&amp;row=885&amp;col=16&amp;number=80500&amp;sourceID=32","80500")</f>
        <v>80500</v>
      </c>
      <c r="Q885" s="4" t="str">
        <f>HYPERLINK("http://141.218.60.56/~jnz1568/getInfo.php?workbook=06_02.xlsx&amp;sheet=A0&amp;row=885&amp;col=17&amp;number=0.005984&amp;sourceID=32","0.005984")</f>
        <v>0.005984</v>
      </c>
      <c r="R885" s="4" t="str">
        <f>HYPERLINK("http://141.218.60.56/~jnz1568/getInfo.php?workbook=06_02.xlsx&amp;sheet=A0&amp;row=885&amp;col=18&amp;number=&amp;sourceID=32","")</f>
        <v/>
      </c>
    </row>
    <row r="886" spans="1:18">
      <c r="A886" s="3">
        <v>6</v>
      </c>
      <c r="B886" s="3">
        <v>2</v>
      </c>
      <c r="C886" s="3">
        <v>49</v>
      </c>
      <c r="D886" s="3">
        <v>8</v>
      </c>
      <c r="E886" s="3">
        <f>((1/(INDEX(E0!J$4:J$52,C886,1)-INDEX(E0!J$4:J$52,D886,1))))*100000000</f>
        <v>0</v>
      </c>
      <c r="F886" s="4" t="str">
        <f>HYPERLINK("http://141.218.60.56/~jnz1568/getInfo.php?workbook=06_02.xlsx&amp;sheet=A0&amp;row=886&amp;col=6&amp;number=&amp;sourceID=27","")</f>
        <v/>
      </c>
      <c r="G886" s="4" t="str">
        <f>HYPERLINK("http://141.218.60.56/~jnz1568/getInfo.php?workbook=06_02.xlsx&amp;sheet=A0&amp;row=886&amp;col=7&amp;number=&amp;sourceID=34","")</f>
        <v/>
      </c>
      <c r="H886" s="4" t="str">
        <f>HYPERLINK("http://141.218.60.56/~jnz1568/getInfo.php?workbook=06_02.xlsx&amp;sheet=A0&amp;row=886&amp;col=8&amp;number=&amp;sourceID=34","")</f>
        <v/>
      </c>
      <c r="I886" s="4" t="str">
        <f>HYPERLINK("http://141.218.60.56/~jnz1568/getInfo.php?workbook=06_02.xlsx&amp;sheet=A0&amp;row=886&amp;col=9&amp;number=&amp;sourceID=34","")</f>
        <v/>
      </c>
      <c r="J886" s="4" t="str">
        <f>HYPERLINK("http://141.218.60.56/~jnz1568/getInfo.php?workbook=06_02.xlsx&amp;sheet=A0&amp;row=886&amp;col=10&amp;number=&amp;sourceID=34","")</f>
        <v/>
      </c>
      <c r="K886" s="4" t="str">
        <f>HYPERLINK("http://141.218.60.56/~jnz1568/getInfo.php?workbook=06_02.xlsx&amp;sheet=A0&amp;row=886&amp;col=11&amp;number=18660&amp;sourceID=30","18660")</f>
        <v>18660</v>
      </c>
      <c r="L886" s="4" t="str">
        <f>HYPERLINK("http://141.218.60.56/~jnz1568/getInfo.php?workbook=06_02.xlsx&amp;sheet=A0&amp;row=886&amp;col=12&amp;number=&amp;sourceID=30","")</f>
        <v/>
      </c>
      <c r="M886" s="4" t="str">
        <f>HYPERLINK("http://141.218.60.56/~jnz1568/getInfo.php?workbook=06_02.xlsx&amp;sheet=A0&amp;row=886&amp;col=13&amp;number=&amp;sourceID=30","")</f>
        <v/>
      </c>
      <c r="N886" s="4" t="str">
        <f>HYPERLINK("http://141.218.60.56/~jnz1568/getInfo.php?workbook=06_02.xlsx&amp;sheet=A0&amp;row=886&amp;col=14&amp;number=0.2715&amp;sourceID=30","0.2715")</f>
        <v>0.2715</v>
      </c>
      <c r="O886" s="4" t="str">
        <f>HYPERLINK("http://141.218.60.56/~jnz1568/getInfo.php?workbook=06_02.xlsx&amp;sheet=A0&amp;row=886&amp;col=15&amp;number=25280&amp;sourceID=32","25280")</f>
        <v>25280</v>
      </c>
      <c r="P886" s="4" t="str">
        <f>HYPERLINK("http://141.218.60.56/~jnz1568/getInfo.php?workbook=06_02.xlsx&amp;sheet=A0&amp;row=886&amp;col=16&amp;number=&amp;sourceID=32","")</f>
        <v/>
      </c>
      <c r="Q886" s="4" t="str">
        <f>HYPERLINK("http://141.218.60.56/~jnz1568/getInfo.php?workbook=06_02.xlsx&amp;sheet=A0&amp;row=886&amp;col=17&amp;number=&amp;sourceID=32","")</f>
        <v/>
      </c>
      <c r="R886" s="4" t="str">
        <f>HYPERLINK("http://141.218.60.56/~jnz1568/getInfo.php?workbook=06_02.xlsx&amp;sheet=A0&amp;row=886&amp;col=18&amp;number=0.2648&amp;sourceID=32","0.2648")</f>
        <v>0.2648</v>
      </c>
    </row>
    <row r="887" spans="1:18">
      <c r="A887" s="3">
        <v>6</v>
      </c>
      <c r="B887" s="3">
        <v>2</v>
      </c>
      <c r="C887" s="3">
        <v>49</v>
      </c>
      <c r="D887" s="3">
        <v>9</v>
      </c>
      <c r="E887" s="3">
        <f>((1/(INDEX(E0!J$4:J$52,C887,1)-INDEX(E0!J$4:J$52,D887,1))))*100000000</f>
        <v>0</v>
      </c>
      <c r="F887" s="4" t="str">
        <f>HYPERLINK("http://141.218.60.56/~jnz1568/getInfo.php?workbook=06_02.xlsx&amp;sheet=A0&amp;row=887&amp;col=6&amp;number=&amp;sourceID=27","")</f>
        <v/>
      </c>
      <c r="G887" s="4" t="str">
        <f>HYPERLINK("http://141.218.60.56/~jnz1568/getInfo.php?workbook=06_02.xlsx&amp;sheet=A0&amp;row=887&amp;col=7&amp;number=932300000&amp;sourceID=34","932300000")</f>
        <v>932300000</v>
      </c>
      <c r="H887" s="4" t="str">
        <f>HYPERLINK("http://141.218.60.56/~jnz1568/getInfo.php?workbook=06_02.xlsx&amp;sheet=A0&amp;row=887&amp;col=8&amp;number=&amp;sourceID=34","")</f>
        <v/>
      </c>
      <c r="I887" s="4" t="str">
        <f>HYPERLINK("http://141.218.60.56/~jnz1568/getInfo.php?workbook=06_02.xlsx&amp;sheet=A0&amp;row=887&amp;col=9&amp;number=&amp;sourceID=34","")</f>
        <v/>
      </c>
      <c r="J887" s="4" t="str">
        <f>HYPERLINK("http://141.218.60.56/~jnz1568/getInfo.php?workbook=06_02.xlsx&amp;sheet=A0&amp;row=887&amp;col=10&amp;number=&amp;sourceID=34","")</f>
        <v/>
      </c>
      <c r="K887" s="4" t="str">
        <f>HYPERLINK("http://141.218.60.56/~jnz1568/getInfo.php?workbook=06_02.xlsx&amp;sheet=A0&amp;row=887&amp;col=11&amp;number=1333000000&amp;sourceID=30","1333000000")</f>
        <v>1333000000</v>
      </c>
      <c r="L887" s="4" t="str">
        <f>HYPERLINK("http://141.218.60.56/~jnz1568/getInfo.php?workbook=06_02.xlsx&amp;sheet=A0&amp;row=887&amp;col=12&amp;number=&amp;sourceID=30","")</f>
        <v/>
      </c>
      <c r="M887" s="4" t="str">
        <f>HYPERLINK("http://141.218.60.56/~jnz1568/getInfo.php?workbook=06_02.xlsx&amp;sheet=A0&amp;row=887&amp;col=13&amp;number=&amp;sourceID=30","")</f>
        <v/>
      </c>
      <c r="N887" s="4" t="str">
        <f>HYPERLINK("http://141.218.60.56/~jnz1568/getInfo.php?workbook=06_02.xlsx&amp;sheet=A0&amp;row=887&amp;col=14&amp;number=&amp;sourceID=30","")</f>
        <v/>
      </c>
      <c r="O887" s="4" t="str">
        <f>HYPERLINK("http://141.218.60.56/~jnz1568/getInfo.php?workbook=06_02.xlsx&amp;sheet=A0&amp;row=887&amp;col=15&amp;number=931600000&amp;sourceID=32","931600000")</f>
        <v>931600000</v>
      </c>
      <c r="P887" s="4" t="str">
        <f>HYPERLINK("http://141.218.60.56/~jnz1568/getInfo.php?workbook=06_02.xlsx&amp;sheet=A0&amp;row=887&amp;col=16&amp;number=&amp;sourceID=32","")</f>
        <v/>
      </c>
      <c r="Q887" s="4" t="str">
        <f>HYPERLINK("http://141.218.60.56/~jnz1568/getInfo.php?workbook=06_02.xlsx&amp;sheet=A0&amp;row=887&amp;col=17&amp;number=&amp;sourceID=32","")</f>
        <v/>
      </c>
      <c r="R887" s="4" t="str">
        <f>HYPERLINK("http://141.218.60.56/~jnz1568/getInfo.php?workbook=06_02.xlsx&amp;sheet=A0&amp;row=887&amp;col=18&amp;number=&amp;sourceID=32","")</f>
        <v/>
      </c>
    </row>
    <row r="888" spans="1:18">
      <c r="A888" s="3">
        <v>6</v>
      </c>
      <c r="B888" s="3">
        <v>2</v>
      </c>
      <c r="C888" s="3">
        <v>49</v>
      </c>
      <c r="D888" s="3">
        <v>10</v>
      </c>
      <c r="E888" s="3">
        <f>((1/(INDEX(E0!J$4:J$52,C888,1)-INDEX(E0!J$4:J$52,D888,1))))*100000000</f>
        <v>0</v>
      </c>
      <c r="F888" s="4" t="str">
        <f>HYPERLINK("http://141.218.60.56/~jnz1568/getInfo.php?workbook=06_02.xlsx&amp;sheet=A0&amp;row=888&amp;col=6&amp;number=&amp;sourceID=27","")</f>
        <v/>
      </c>
      <c r="G888" s="4" t="str">
        <f>HYPERLINK("http://141.218.60.56/~jnz1568/getInfo.php?workbook=06_02.xlsx&amp;sheet=A0&amp;row=888&amp;col=7&amp;number=&amp;sourceID=34","")</f>
        <v/>
      </c>
      <c r="H888" s="4" t="str">
        <f>HYPERLINK("http://141.218.60.56/~jnz1568/getInfo.php?workbook=06_02.xlsx&amp;sheet=A0&amp;row=888&amp;col=8&amp;number=&amp;sourceID=34","")</f>
        <v/>
      </c>
      <c r="I888" s="4" t="str">
        <f>HYPERLINK("http://141.218.60.56/~jnz1568/getInfo.php?workbook=06_02.xlsx&amp;sheet=A0&amp;row=888&amp;col=9&amp;number=&amp;sourceID=34","")</f>
        <v/>
      </c>
      <c r="J888" s="4" t="str">
        <f>HYPERLINK("http://141.218.60.56/~jnz1568/getInfo.php?workbook=06_02.xlsx&amp;sheet=A0&amp;row=888&amp;col=10&amp;number=&amp;sourceID=34","")</f>
        <v/>
      </c>
      <c r="K888" s="4" t="str">
        <f>HYPERLINK("http://141.218.60.56/~jnz1568/getInfo.php?workbook=06_02.xlsx&amp;sheet=A0&amp;row=888&amp;col=11&amp;number=&amp;sourceID=30","")</f>
        <v/>
      </c>
      <c r="L888" s="4" t="str">
        <f>HYPERLINK("http://141.218.60.56/~jnz1568/getInfo.php?workbook=06_02.xlsx&amp;sheet=A0&amp;row=888&amp;col=12&amp;number=2.038&amp;sourceID=30","2.038")</f>
        <v>2.038</v>
      </c>
      <c r="M888" s="4" t="str">
        <f>HYPERLINK("http://141.218.60.56/~jnz1568/getInfo.php?workbook=06_02.xlsx&amp;sheet=A0&amp;row=888&amp;col=13&amp;number=0.001136&amp;sourceID=30","0.001136")</f>
        <v>0.001136</v>
      </c>
      <c r="N888" s="4" t="str">
        <f>HYPERLINK("http://141.218.60.56/~jnz1568/getInfo.php?workbook=06_02.xlsx&amp;sheet=A0&amp;row=888&amp;col=14&amp;number=&amp;sourceID=30","")</f>
        <v/>
      </c>
      <c r="O888" s="4" t="str">
        <f>HYPERLINK("http://141.218.60.56/~jnz1568/getInfo.php?workbook=06_02.xlsx&amp;sheet=A0&amp;row=888&amp;col=15&amp;number=&amp;sourceID=32","")</f>
        <v/>
      </c>
      <c r="P888" s="4" t="str">
        <f>HYPERLINK("http://141.218.60.56/~jnz1568/getInfo.php?workbook=06_02.xlsx&amp;sheet=A0&amp;row=888&amp;col=16&amp;number=1.666&amp;sourceID=32","1.666")</f>
        <v>1.666</v>
      </c>
      <c r="Q888" s="4" t="str">
        <f>HYPERLINK("http://141.218.60.56/~jnz1568/getInfo.php?workbook=06_02.xlsx&amp;sheet=A0&amp;row=888&amp;col=17&amp;number=0.0009866&amp;sourceID=32","0.0009866")</f>
        <v>0.0009866</v>
      </c>
      <c r="R888" s="4" t="str">
        <f>HYPERLINK("http://141.218.60.56/~jnz1568/getInfo.php?workbook=06_02.xlsx&amp;sheet=A0&amp;row=888&amp;col=18&amp;number=&amp;sourceID=32","")</f>
        <v/>
      </c>
    </row>
    <row r="889" spans="1:18">
      <c r="A889" s="3">
        <v>6</v>
      </c>
      <c r="B889" s="3">
        <v>2</v>
      </c>
      <c r="C889" s="3">
        <v>49</v>
      </c>
      <c r="D889" s="3">
        <v>11</v>
      </c>
      <c r="E889" s="3">
        <f>((1/(INDEX(E0!J$4:J$52,C889,1)-INDEX(E0!J$4:J$52,D889,1))))*100000000</f>
        <v>0</v>
      </c>
      <c r="F889" s="4" t="str">
        <f>HYPERLINK("http://141.218.60.56/~jnz1568/getInfo.php?workbook=06_02.xlsx&amp;sheet=A0&amp;row=889&amp;col=6&amp;number=&amp;sourceID=27","")</f>
        <v/>
      </c>
      <c r="G889" s="4" t="str">
        <f>HYPERLINK("http://141.218.60.56/~jnz1568/getInfo.php?workbook=06_02.xlsx&amp;sheet=A0&amp;row=889&amp;col=7&amp;number=&amp;sourceID=34","")</f>
        <v/>
      </c>
      <c r="H889" s="4" t="str">
        <f>HYPERLINK("http://141.218.60.56/~jnz1568/getInfo.php?workbook=06_02.xlsx&amp;sheet=A0&amp;row=889&amp;col=8&amp;number=&amp;sourceID=34","")</f>
        <v/>
      </c>
      <c r="I889" s="4" t="str">
        <f>HYPERLINK("http://141.218.60.56/~jnz1568/getInfo.php?workbook=06_02.xlsx&amp;sheet=A0&amp;row=889&amp;col=9&amp;number=&amp;sourceID=34","")</f>
        <v/>
      </c>
      <c r="J889" s="4" t="str">
        <f>HYPERLINK("http://141.218.60.56/~jnz1568/getInfo.php?workbook=06_02.xlsx&amp;sheet=A0&amp;row=889&amp;col=10&amp;number=&amp;sourceID=34","")</f>
        <v/>
      </c>
      <c r="K889" s="4" t="str">
        <f>HYPERLINK("http://141.218.60.56/~jnz1568/getInfo.php?workbook=06_02.xlsx&amp;sheet=A0&amp;row=889&amp;col=11&amp;number=&amp;sourceID=30","")</f>
        <v/>
      </c>
      <c r="L889" s="4" t="str">
        <f>HYPERLINK("http://141.218.60.56/~jnz1568/getInfo.php?workbook=06_02.xlsx&amp;sheet=A0&amp;row=889&amp;col=12&amp;number=&amp;sourceID=30","")</f>
        <v/>
      </c>
      <c r="M889" s="4" t="str">
        <f>HYPERLINK("http://141.218.60.56/~jnz1568/getInfo.php?workbook=06_02.xlsx&amp;sheet=A0&amp;row=889&amp;col=13&amp;number=0.001553&amp;sourceID=30","0.001553")</f>
        <v>0.001553</v>
      </c>
      <c r="N889" s="4" t="str">
        <f>HYPERLINK("http://141.218.60.56/~jnz1568/getInfo.php?workbook=06_02.xlsx&amp;sheet=A0&amp;row=889&amp;col=14&amp;number=&amp;sourceID=30","")</f>
        <v/>
      </c>
      <c r="O889" s="4" t="str">
        <f>HYPERLINK("http://141.218.60.56/~jnz1568/getInfo.php?workbook=06_02.xlsx&amp;sheet=A0&amp;row=889&amp;col=15&amp;number=&amp;sourceID=32","")</f>
        <v/>
      </c>
      <c r="P889" s="4" t="str">
        <f>HYPERLINK("http://141.218.60.56/~jnz1568/getInfo.php?workbook=06_02.xlsx&amp;sheet=A0&amp;row=889&amp;col=16&amp;number=&amp;sourceID=32","")</f>
        <v/>
      </c>
      <c r="Q889" s="4" t="str">
        <f>HYPERLINK("http://141.218.60.56/~jnz1568/getInfo.php?workbook=06_02.xlsx&amp;sheet=A0&amp;row=889&amp;col=17&amp;number=0.001215&amp;sourceID=32","0.001215")</f>
        <v>0.001215</v>
      </c>
      <c r="R889" s="4" t="str">
        <f>HYPERLINK("http://141.218.60.56/~jnz1568/getInfo.php?workbook=06_02.xlsx&amp;sheet=A0&amp;row=889&amp;col=18&amp;number=&amp;sourceID=32","")</f>
        <v/>
      </c>
    </row>
    <row r="890" spans="1:18">
      <c r="A890" s="3">
        <v>6</v>
      </c>
      <c r="B890" s="3">
        <v>2</v>
      </c>
      <c r="C890" s="3">
        <v>49</v>
      </c>
      <c r="D890" s="3">
        <v>12</v>
      </c>
      <c r="E890" s="3">
        <f>((1/(INDEX(E0!J$4:J$52,C890,1)-INDEX(E0!J$4:J$52,D890,1))))*100000000</f>
        <v>0</v>
      </c>
      <c r="F890" s="4" t="str">
        <f>HYPERLINK("http://141.218.60.56/~jnz1568/getInfo.php?workbook=06_02.xlsx&amp;sheet=A0&amp;row=890&amp;col=6&amp;number=&amp;sourceID=27","")</f>
        <v/>
      </c>
      <c r="G890" s="4" t="str">
        <f>HYPERLINK("http://141.218.60.56/~jnz1568/getInfo.php?workbook=06_02.xlsx&amp;sheet=A0&amp;row=890&amp;col=7&amp;number=&amp;sourceID=34","")</f>
        <v/>
      </c>
      <c r="H890" s="4" t="str">
        <f>HYPERLINK("http://141.218.60.56/~jnz1568/getInfo.php?workbook=06_02.xlsx&amp;sheet=A0&amp;row=890&amp;col=8&amp;number=&amp;sourceID=34","")</f>
        <v/>
      </c>
      <c r="I890" s="4" t="str">
        <f>HYPERLINK("http://141.218.60.56/~jnz1568/getInfo.php?workbook=06_02.xlsx&amp;sheet=A0&amp;row=890&amp;col=9&amp;number=&amp;sourceID=34","")</f>
        <v/>
      </c>
      <c r="J890" s="4" t="str">
        <f>HYPERLINK("http://141.218.60.56/~jnz1568/getInfo.php?workbook=06_02.xlsx&amp;sheet=A0&amp;row=890&amp;col=10&amp;number=&amp;sourceID=34","")</f>
        <v/>
      </c>
      <c r="K890" s="4" t="str">
        <f>HYPERLINK("http://141.218.60.56/~jnz1568/getInfo.php?workbook=06_02.xlsx&amp;sheet=A0&amp;row=890&amp;col=11&amp;number=&amp;sourceID=30","")</f>
        <v/>
      </c>
      <c r="L890" s="4" t="str">
        <f>HYPERLINK("http://141.218.60.56/~jnz1568/getInfo.php?workbook=06_02.xlsx&amp;sheet=A0&amp;row=890&amp;col=12&amp;number=0.3811&amp;sourceID=30","0.3811")</f>
        <v>0.3811</v>
      </c>
      <c r="M890" s="4" t="str">
        <f>HYPERLINK("http://141.218.60.56/~jnz1568/getInfo.php?workbook=06_02.xlsx&amp;sheet=A0&amp;row=890&amp;col=13&amp;number=0.002947&amp;sourceID=30","0.002947")</f>
        <v>0.002947</v>
      </c>
      <c r="N890" s="4" t="str">
        <f>HYPERLINK("http://141.218.60.56/~jnz1568/getInfo.php?workbook=06_02.xlsx&amp;sheet=A0&amp;row=890&amp;col=14&amp;number=&amp;sourceID=30","")</f>
        <v/>
      </c>
      <c r="O890" s="4" t="str">
        <f>HYPERLINK("http://141.218.60.56/~jnz1568/getInfo.php?workbook=06_02.xlsx&amp;sheet=A0&amp;row=890&amp;col=15&amp;number=&amp;sourceID=32","")</f>
        <v/>
      </c>
      <c r="P890" s="4" t="str">
        <f>HYPERLINK("http://141.218.60.56/~jnz1568/getInfo.php?workbook=06_02.xlsx&amp;sheet=A0&amp;row=890&amp;col=16&amp;number=0.5747&amp;sourceID=32","0.5747")</f>
        <v>0.5747</v>
      </c>
      <c r="Q890" s="4" t="str">
        <f>HYPERLINK("http://141.218.60.56/~jnz1568/getInfo.php?workbook=06_02.xlsx&amp;sheet=A0&amp;row=890&amp;col=17&amp;number=0.002255&amp;sourceID=32","0.002255")</f>
        <v>0.002255</v>
      </c>
      <c r="R890" s="4" t="str">
        <f>HYPERLINK("http://141.218.60.56/~jnz1568/getInfo.php?workbook=06_02.xlsx&amp;sheet=A0&amp;row=890&amp;col=18&amp;number=&amp;sourceID=32","")</f>
        <v/>
      </c>
    </row>
    <row r="891" spans="1:18">
      <c r="A891" s="3">
        <v>6</v>
      </c>
      <c r="B891" s="3">
        <v>2</v>
      </c>
      <c r="C891" s="3">
        <v>49</v>
      </c>
      <c r="D891" s="3">
        <v>13</v>
      </c>
      <c r="E891" s="3">
        <f>((1/(INDEX(E0!J$4:J$52,C891,1)-INDEX(E0!J$4:J$52,D891,1))))*100000000</f>
        <v>0</v>
      </c>
      <c r="F891" s="4" t="str">
        <f>HYPERLINK("http://141.218.60.56/~jnz1568/getInfo.php?workbook=06_02.xlsx&amp;sheet=A0&amp;row=891&amp;col=6&amp;number=&amp;sourceID=27","")</f>
        <v/>
      </c>
      <c r="G891" s="4" t="str">
        <f>HYPERLINK("http://141.218.60.56/~jnz1568/getInfo.php?workbook=06_02.xlsx&amp;sheet=A0&amp;row=891&amp;col=7&amp;number=&amp;sourceID=34","")</f>
        <v/>
      </c>
      <c r="H891" s="4" t="str">
        <f>HYPERLINK("http://141.218.60.56/~jnz1568/getInfo.php?workbook=06_02.xlsx&amp;sheet=A0&amp;row=891&amp;col=8&amp;number=&amp;sourceID=34","")</f>
        <v/>
      </c>
      <c r="I891" s="4" t="str">
        <f>HYPERLINK("http://141.218.60.56/~jnz1568/getInfo.php?workbook=06_02.xlsx&amp;sheet=A0&amp;row=891&amp;col=9&amp;number=&amp;sourceID=34","")</f>
        <v/>
      </c>
      <c r="J891" s="4" t="str">
        <f>HYPERLINK("http://141.218.60.56/~jnz1568/getInfo.php?workbook=06_02.xlsx&amp;sheet=A0&amp;row=891&amp;col=10&amp;number=&amp;sourceID=34","")</f>
        <v/>
      </c>
      <c r="K891" s="4" t="str">
        <f>HYPERLINK("http://141.218.60.56/~jnz1568/getInfo.php?workbook=06_02.xlsx&amp;sheet=A0&amp;row=891&amp;col=11&amp;number=505.1&amp;sourceID=30","505.1")</f>
        <v>505.1</v>
      </c>
      <c r="L891" s="4" t="str">
        <f>HYPERLINK("http://141.218.60.56/~jnz1568/getInfo.php?workbook=06_02.xlsx&amp;sheet=A0&amp;row=891&amp;col=12&amp;number=&amp;sourceID=30","")</f>
        <v/>
      </c>
      <c r="M891" s="4" t="str">
        <f>HYPERLINK("http://141.218.60.56/~jnz1568/getInfo.php?workbook=06_02.xlsx&amp;sheet=A0&amp;row=891&amp;col=13&amp;number=&amp;sourceID=30","")</f>
        <v/>
      </c>
      <c r="N891" s="4" t="str">
        <f>HYPERLINK("http://141.218.60.56/~jnz1568/getInfo.php?workbook=06_02.xlsx&amp;sheet=A0&amp;row=891&amp;col=14&amp;number=0.0002378&amp;sourceID=30","0.0002378")</f>
        <v>0.0002378</v>
      </c>
      <c r="O891" s="4" t="str">
        <f>HYPERLINK("http://141.218.60.56/~jnz1568/getInfo.php?workbook=06_02.xlsx&amp;sheet=A0&amp;row=891&amp;col=15&amp;number=671.2&amp;sourceID=32","671.2")</f>
        <v>671.2</v>
      </c>
      <c r="P891" s="4" t="str">
        <f>HYPERLINK("http://141.218.60.56/~jnz1568/getInfo.php?workbook=06_02.xlsx&amp;sheet=A0&amp;row=891&amp;col=16&amp;number=&amp;sourceID=32","")</f>
        <v/>
      </c>
      <c r="Q891" s="4" t="str">
        <f>HYPERLINK("http://141.218.60.56/~jnz1568/getInfo.php?workbook=06_02.xlsx&amp;sheet=A0&amp;row=891&amp;col=17&amp;number=&amp;sourceID=32","")</f>
        <v/>
      </c>
      <c r="R891" s="4" t="str">
        <f>HYPERLINK("http://141.218.60.56/~jnz1568/getInfo.php?workbook=06_02.xlsx&amp;sheet=A0&amp;row=891&amp;col=18&amp;number=0.00023&amp;sourceID=32","0.00023")</f>
        <v>0.00023</v>
      </c>
    </row>
    <row r="892" spans="1:18">
      <c r="A892" s="3">
        <v>6</v>
      </c>
      <c r="B892" s="3">
        <v>2</v>
      </c>
      <c r="C892" s="3">
        <v>49</v>
      </c>
      <c r="D892" s="3">
        <v>14</v>
      </c>
      <c r="E892" s="3">
        <f>((1/(INDEX(E0!J$4:J$52,C892,1)-INDEX(E0!J$4:J$52,D892,1))))*100000000</f>
        <v>0</v>
      </c>
      <c r="F892" s="4" t="str">
        <f>HYPERLINK("http://141.218.60.56/~jnz1568/getInfo.php?workbook=06_02.xlsx&amp;sheet=A0&amp;row=892&amp;col=6&amp;number=&amp;sourceID=27","")</f>
        <v/>
      </c>
      <c r="G892" s="4" t="str">
        <f>HYPERLINK("http://141.218.60.56/~jnz1568/getInfo.php?workbook=06_02.xlsx&amp;sheet=A0&amp;row=892&amp;col=7&amp;number=&amp;sourceID=34","")</f>
        <v/>
      </c>
      <c r="H892" s="4" t="str">
        <f>HYPERLINK("http://141.218.60.56/~jnz1568/getInfo.php?workbook=06_02.xlsx&amp;sheet=A0&amp;row=892&amp;col=8&amp;number=&amp;sourceID=34","")</f>
        <v/>
      </c>
      <c r="I892" s="4" t="str">
        <f>HYPERLINK("http://141.218.60.56/~jnz1568/getInfo.php?workbook=06_02.xlsx&amp;sheet=A0&amp;row=892&amp;col=9&amp;number=&amp;sourceID=34","")</f>
        <v/>
      </c>
      <c r="J892" s="4" t="str">
        <f>HYPERLINK("http://141.218.60.56/~jnz1568/getInfo.php?workbook=06_02.xlsx&amp;sheet=A0&amp;row=892&amp;col=10&amp;number=&amp;sourceID=34","")</f>
        <v/>
      </c>
      <c r="K892" s="4" t="str">
        <f>HYPERLINK("http://141.218.60.56/~jnz1568/getInfo.php?workbook=06_02.xlsx&amp;sheet=A0&amp;row=892&amp;col=11&amp;number=246000&amp;sourceID=30","246000")</f>
        <v>246000</v>
      </c>
      <c r="L892" s="4" t="str">
        <f>HYPERLINK("http://141.218.60.56/~jnz1568/getInfo.php?workbook=06_02.xlsx&amp;sheet=A0&amp;row=892&amp;col=12&amp;number=&amp;sourceID=30","")</f>
        <v/>
      </c>
      <c r="M892" s="4" t="str">
        <f>HYPERLINK("http://141.218.60.56/~jnz1568/getInfo.php?workbook=06_02.xlsx&amp;sheet=A0&amp;row=892&amp;col=13&amp;number=&amp;sourceID=30","")</f>
        <v/>
      </c>
      <c r="N892" s="4" t="str">
        <f>HYPERLINK("http://141.218.60.56/~jnz1568/getInfo.php?workbook=06_02.xlsx&amp;sheet=A0&amp;row=892&amp;col=14&amp;number=0.003028&amp;sourceID=30","0.003028")</f>
        <v>0.003028</v>
      </c>
      <c r="O892" s="4" t="str">
        <f>HYPERLINK("http://141.218.60.56/~jnz1568/getInfo.php?workbook=06_02.xlsx&amp;sheet=A0&amp;row=892&amp;col=15&amp;number=304300&amp;sourceID=32","304300")</f>
        <v>304300</v>
      </c>
      <c r="P892" s="4" t="str">
        <f>HYPERLINK("http://141.218.60.56/~jnz1568/getInfo.php?workbook=06_02.xlsx&amp;sheet=A0&amp;row=892&amp;col=16&amp;number=&amp;sourceID=32","")</f>
        <v/>
      </c>
      <c r="Q892" s="4" t="str">
        <f>HYPERLINK("http://141.218.60.56/~jnz1568/getInfo.php?workbook=06_02.xlsx&amp;sheet=A0&amp;row=892&amp;col=17&amp;number=&amp;sourceID=32","")</f>
        <v/>
      </c>
      <c r="R892" s="4" t="str">
        <f>HYPERLINK("http://141.218.60.56/~jnz1568/getInfo.php?workbook=06_02.xlsx&amp;sheet=A0&amp;row=892&amp;col=18&amp;number=0.002861&amp;sourceID=32","0.002861")</f>
        <v>0.002861</v>
      </c>
    </row>
    <row r="893" spans="1:18">
      <c r="A893" s="3">
        <v>6</v>
      </c>
      <c r="B893" s="3">
        <v>2</v>
      </c>
      <c r="C893" s="3">
        <v>49</v>
      </c>
      <c r="D893" s="3">
        <v>15</v>
      </c>
      <c r="E893" s="3">
        <f>((1/(INDEX(E0!J$4:J$52,C893,1)-INDEX(E0!J$4:J$52,D893,1))))*100000000</f>
        <v>0</v>
      </c>
      <c r="F893" s="4" t="str">
        <f>HYPERLINK("http://141.218.60.56/~jnz1568/getInfo.php?workbook=06_02.xlsx&amp;sheet=A0&amp;row=893&amp;col=6&amp;number=&amp;sourceID=27","")</f>
        <v/>
      </c>
      <c r="G893" s="4" t="str">
        <f>HYPERLINK("http://141.218.60.56/~jnz1568/getInfo.php?workbook=06_02.xlsx&amp;sheet=A0&amp;row=893&amp;col=7&amp;number=&amp;sourceID=34","")</f>
        <v/>
      </c>
      <c r="H893" s="4" t="str">
        <f>HYPERLINK("http://141.218.60.56/~jnz1568/getInfo.php?workbook=06_02.xlsx&amp;sheet=A0&amp;row=893&amp;col=8&amp;number=&amp;sourceID=34","")</f>
        <v/>
      </c>
      <c r="I893" s="4" t="str">
        <f>HYPERLINK("http://141.218.60.56/~jnz1568/getInfo.php?workbook=06_02.xlsx&amp;sheet=A0&amp;row=893&amp;col=9&amp;number=&amp;sourceID=34","")</f>
        <v/>
      </c>
      <c r="J893" s="4" t="str">
        <f>HYPERLINK("http://141.218.60.56/~jnz1568/getInfo.php?workbook=06_02.xlsx&amp;sheet=A0&amp;row=893&amp;col=10&amp;number=&amp;sourceID=34","")</f>
        <v/>
      </c>
      <c r="K893" s="4" t="str">
        <f>HYPERLINK("http://141.218.60.56/~jnz1568/getInfo.php?workbook=06_02.xlsx&amp;sheet=A0&amp;row=893&amp;col=11&amp;number=&amp;sourceID=30","")</f>
        <v/>
      </c>
      <c r="L893" s="4" t="str">
        <f>HYPERLINK("http://141.218.60.56/~jnz1568/getInfo.php?workbook=06_02.xlsx&amp;sheet=A0&amp;row=893&amp;col=12&amp;number=&amp;sourceID=30","")</f>
        <v/>
      </c>
      <c r="M893" s="4" t="str">
        <f>HYPERLINK("http://141.218.60.56/~jnz1568/getInfo.php?workbook=06_02.xlsx&amp;sheet=A0&amp;row=893&amp;col=13&amp;number=&amp;sourceID=30","")</f>
        <v/>
      </c>
      <c r="N893" s="4" t="str">
        <f>HYPERLINK("http://141.218.60.56/~jnz1568/getInfo.php?workbook=06_02.xlsx&amp;sheet=A0&amp;row=893&amp;col=14&amp;number=0.02031&amp;sourceID=30","0.02031")</f>
        <v>0.02031</v>
      </c>
      <c r="O893" s="4" t="str">
        <f>HYPERLINK("http://141.218.60.56/~jnz1568/getInfo.php?workbook=06_02.xlsx&amp;sheet=A0&amp;row=893&amp;col=15&amp;number=&amp;sourceID=32","")</f>
        <v/>
      </c>
      <c r="P893" s="4" t="str">
        <f>HYPERLINK("http://141.218.60.56/~jnz1568/getInfo.php?workbook=06_02.xlsx&amp;sheet=A0&amp;row=893&amp;col=16&amp;number=&amp;sourceID=32","")</f>
        <v/>
      </c>
      <c r="Q893" s="4" t="str">
        <f>HYPERLINK("http://141.218.60.56/~jnz1568/getInfo.php?workbook=06_02.xlsx&amp;sheet=A0&amp;row=893&amp;col=17&amp;number=&amp;sourceID=32","")</f>
        <v/>
      </c>
      <c r="R893" s="4" t="str">
        <f>HYPERLINK("http://141.218.60.56/~jnz1568/getInfo.php?workbook=06_02.xlsx&amp;sheet=A0&amp;row=893&amp;col=18&amp;number=0.01969&amp;sourceID=32","0.01969")</f>
        <v>0.01969</v>
      </c>
    </row>
    <row r="894" spans="1:18">
      <c r="A894" s="3">
        <v>6</v>
      </c>
      <c r="B894" s="3">
        <v>2</v>
      </c>
      <c r="C894" s="3">
        <v>49</v>
      </c>
      <c r="D894" s="3">
        <v>16</v>
      </c>
      <c r="E894" s="3">
        <f>((1/(INDEX(E0!J$4:J$52,C894,1)-INDEX(E0!J$4:J$52,D894,1))))*100000000</f>
        <v>0</v>
      </c>
      <c r="F894" s="4" t="str">
        <f>HYPERLINK("http://141.218.60.56/~jnz1568/getInfo.php?workbook=06_02.xlsx&amp;sheet=A0&amp;row=894&amp;col=6&amp;number=&amp;sourceID=27","")</f>
        <v/>
      </c>
      <c r="G894" s="4" t="str">
        <f>HYPERLINK("http://141.218.60.56/~jnz1568/getInfo.php?workbook=06_02.xlsx&amp;sheet=A0&amp;row=894&amp;col=7&amp;number=84530000&amp;sourceID=34","84530000")</f>
        <v>84530000</v>
      </c>
      <c r="H894" s="4" t="str">
        <f>HYPERLINK("http://141.218.60.56/~jnz1568/getInfo.php?workbook=06_02.xlsx&amp;sheet=A0&amp;row=894&amp;col=8&amp;number=&amp;sourceID=34","")</f>
        <v/>
      </c>
      <c r="I894" s="4" t="str">
        <f>HYPERLINK("http://141.218.60.56/~jnz1568/getInfo.php?workbook=06_02.xlsx&amp;sheet=A0&amp;row=894&amp;col=9&amp;number=&amp;sourceID=34","")</f>
        <v/>
      </c>
      <c r="J894" s="4" t="str">
        <f>HYPERLINK("http://141.218.60.56/~jnz1568/getInfo.php?workbook=06_02.xlsx&amp;sheet=A0&amp;row=894&amp;col=10&amp;number=&amp;sourceID=34","")</f>
        <v/>
      </c>
      <c r="K894" s="4" t="str">
        <f>HYPERLINK("http://141.218.60.56/~jnz1568/getInfo.php?workbook=06_02.xlsx&amp;sheet=A0&amp;row=894&amp;col=11&amp;number=93560000&amp;sourceID=30","93560000")</f>
        <v>93560000</v>
      </c>
      <c r="L894" s="4" t="str">
        <f>HYPERLINK("http://141.218.60.56/~jnz1568/getInfo.php?workbook=06_02.xlsx&amp;sheet=A0&amp;row=894&amp;col=12&amp;number=&amp;sourceID=30","")</f>
        <v/>
      </c>
      <c r="M894" s="4" t="str">
        <f>HYPERLINK("http://141.218.60.56/~jnz1568/getInfo.php?workbook=06_02.xlsx&amp;sheet=A0&amp;row=894&amp;col=13&amp;number=&amp;sourceID=30","")</f>
        <v/>
      </c>
      <c r="N894" s="4" t="str">
        <f>HYPERLINK("http://141.218.60.56/~jnz1568/getInfo.php?workbook=06_02.xlsx&amp;sheet=A0&amp;row=894&amp;col=14&amp;number=0.01137&amp;sourceID=30","0.01137")</f>
        <v>0.01137</v>
      </c>
      <c r="O894" s="4" t="str">
        <f>HYPERLINK("http://141.218.60.56/~jnz1568/getInfo.php?workbook=06_02.xlsx&amp;sheet=A0&amp;row=894&amp;col=15&amp;number=84060000&amp;sourceID=32","84060000")</f>
        <v>84060000</v>
      </c>
      <c r="P894" s="4" t="str">
        <f>HYPERLINK("http://141.218.60.56/~jnz1568/getInfo.php?workbook=06_02.xlsx&amp;sheet=A0&amp;row=894&amp;col=16&amp;number=&amp;sourceID=32","")</f>
        <v/>
      </c>
      <c r="Q894" s="4" t="str">
        <f>HYPERLINK("http://141.218.60.56/~jnz1568/getInfo.php?workbook=06_02.xlsx&amp;sheet=A0&amp;row=894&amp;col=17&amp;number=&amp;sourceID=32","")</f>
        <v/>
      </c>
      <c r="R894" s="4" t="str">
        <f>HYPERLINK("http://141.218.60.56/~jnz1568/getInfo.php?workbook=06_02.xlsx&amp;sheet=A0&amp;row=894&amp;col=18&amp;number=0.01038&amp;sourceID=32","0.01038")</f>
        <v>0.01038</v>
      </c>
    </row>
    <row r="895" spans="1:18">
      <c r="A895" s="3">
        <v>6</v>
      </c>
      <c r="B895" s="3">
        <v>2</v>
      </c>
      <c r="C895" s="3">
        <v>49</v>
      </c>
      <c r="D895" s="3">
        <v>17</v>
      </c>
      <c r="E895" s="3">
        <f>((1/(INDEX(E0!J$4:J$52,C895,1)-INDEX(E0!J$4:J$52,D895,1))))*100000000</f>
        <v>0</v>
      </c>
      <c r="F895" s="4" t="str">
        <f>HYPERLINK("http://141.218.60.56/~jnz1568/getInfo.php?workbook=06_02.xlsx&amp;sheet=A0&amp;row=895&amp;col=6&amp;number=&amp;sourceID=27","")</f>
        <v/>
      </c>
      <c r="G895" s="4" t="str">
        <f>HYPERLINK("http://141.218.60.56/~jnz1568/getInfo.php?workbook=06_02.xlsx&amp;sheet=A0&amp;row=895&amp;col=7&amp;number=&amp;sourceID=34","")</f>
        <v/>
      </c>
      <c r="H895" s="4" t="str">
        <f>HYPERLINK("http://141.218.60.56/~jnz1568/getInfo.php?workbook=06_02.xlsx&amp;sheet=A0&amp;row=895&amp;col=8&amp;number=&amp;sourceID=34","")</f>
        <v/>
      </c>
      <c r="I895" s="4" t="str">
        <f>HYPERLINK("http://141.218.60.56/~jnz1568/getInfo.php?workbook=06_02.xlsx&amp;sheet=A0&amp;row=895&amp;col=9&amp;number=&amp;sourceID=34","")</f>
        <v/>
      </c>
      <c r="J895" s="4" t="str">
        <f>HYPERLINK("http://141.218.60.56/~jnz1568/getInfo.php?workbook=06_02.xlsx&amp;sheet=A0&amp;row=895&amp;col=10&amp;number=&amp;sourceID=34","")</f>
        <v/>
      </c>
      <c r="K895" s="4" t="str">
        <f>HYPERLINK("http://141.218.60.56/~jnz1568/getInfo.php?workbook=06_02.xlsx&amp;sheet=A0&amp;row=895&amp;col=11&amp;number=&amp;sourceID=30","")</f>
        <v/>
      </c>
      <c r="L895" s="4" t="str">
        <f>HYPERLINK("http://141.218.60.56/~jnz1568/getInfo.php?workbook=06_02.xlsx&amp;sheet=A0&amp;row=895&amp;col=12&amp;number=40960&amp;sourceID=30","40960")</f>
        <v>40960</v>
      </c>
      <c r="M895" s="4" t="str">
        <f>HYPERLINK("http://141.218.60.56/~jnz1568/getInfo.php?workbook=06_02.xlsx&amp;sheet=A0&amp;row=895&amp;col=13&amp;number=0.0002354&amp;sourceID=30","0.0002354")</f>
        <v>0.0002354</v>
      </c>
      <c r="N895" s="4" t="str">
        <f>HYPERLINK("http://141.218.60.56/~jnz1568/getInfo.php?workbook=06_02.xlsx&amp;sheet=A0&amp;row=895&amp;col=14&amp;number=&amp;sourceID=30","")</f>
        <v/>
      </c>
      <c r="O895" s="4" t="str">
        <f>HYPERLINK("http://141.218.60.56/~jnz1568/getInfo.php?workbook=06_02.xlsx&amp;sheet=A0&amp;row=895&amp;col=15&amp;number=&amp;sourceID=32","")</f>
        <v/>
      </c>
      <c r="P895" s="4" t="str">
        <f>HYPERLINK("http://141.218.60.56/~jnz1568/getInfo.php?workbook=06_02.xlsx&amp;sheet=A0&amp;row=895&amp;col=16&amp;number=21960&amp;sourceID=32","21960")</f>
        <v>21960</v>
      </c>
      <c r="Q895" s="4" t="str">
        <f>HYPERLINK("http://141.218.60.56/~jnz1568/getInfo.php?workbook=06_02.xlsx&amp;sheet=A0&amp;row=895&amp;col=17&amp;number=0.0001932&amp;sourceID=32","0.0001932")</f>
        <v>0.0001932</v>
      </c>
      <c r="R895" s="4" t="str">
        <f>HYPERLINK("http://141.218.60.56/~jnz1568/getInfo.php?workbook=06_02.xlsx&amp;sheet=A0&amp;row=895&amp;col=18&amp;number=&amp;sourceID=32","")</f>
        <v/>
      </c>
    </row>
    <row r="896" spans="1:18">
      <c r="A896" s="3">
        <v>6</v>
      </c>
      <c r="B896" s="3">
        <v>2</v>
      </c>
      <c r="C896" s="3">
        <v>49</v>
      </c>
      <c r="D896" s="3">
        <v>18</v>
      </c>
      <c r="E896" s="3">
        <f>((1/(INDEX(E0!J$4:J$52,C896,1)-INDEX(E0!J$4:J$52,D896,1))))*100000000</f>
        <v>0</v>
      </c>
      <c r="F896" s="4" t="str">
        <f>HYPERLINK("http://141.218.60.56/~jnz1568/getInfo.php?workbook=06_02.xlsx&amp;sheet=A0&amp;row=896&amp;col=6&amp;number=&amp;sourceID=27","")</f>
        <v/>
      </c>
      <c r="G896" s="4" t="str">
        <f>HYPERLINK("http://141.218.60.56/~jnz1568/getInfo.php?workbook=06_02.xlsx&amp;sheet=A0&amp;row=896&amp;col=7&amp;number=&amp;sourceID=34","")</f>
        <v/>
      </c>
      <c r="H896" s="4" t="str">
        <f>HYPERLINK("http://141.218.60.56/~jnz1568/getInfo.php?workbook=06_02.xlsx&amp;sheet=A0&amp;row=896&amp;col=8&amp;number=&amp;sourceID=34","")</f>
        <v/>
      </c>
      <c r="I896" s="4" t="str">
        <f>HYPERLINK("http://141.218.60.56/~jnz1568/getInfo.php?workbook=06_02.xlsx&amp;sheet=A0&amp;row=896&amp;col=9&amp;number=&amp;sourceID=34","")</f>
        <v/>
      </c>
      <c r="J896" s="4" t="str">
        <f>HYPERLINK("http://141.218.60.56/~jnz1568/getInfo.php?workbook=06_02.xlsx&amp;sheet=A0&amp;row=896&amp;col=10&amp;number=&amp;sourceID=34","")</f>
        <v/>
      </c>
      <c r="K896" s="4" t="str">
        <f>HYPERLINK("http://141.218.60.56/~jnz1568/getInfo.php?workbook=06_02.xlsx&amp;sheet=A0&amp;row=896&amp;col=11&amp;number=7324&amp;sourceID=30","7324")</f>
        <v>7324</v>
      </c>
      <c r="L896" s="4" t="str">
        <f>HYPERLINK("http://141.218.60.56/~jnz1568/getInfo.php?workbook=06_02.xlsx&amp;sheet=A0&amp;row=896&amp;col=12&amp;number=&amp;sourceID=30","")</f>
        <v/>
      </c>
      <c r="M896" s="4" t="str">
        <f>HYPERLINK("http://141.218.60.56/~jnz1568/getInfo.php?workbook=06_02.xlsx&amp;sheet=A0&amp;row=896&amp;col=13&amp;number=&amp;sourceID=30","")</f>
        <v/>
      </c>
      <c r="N896" s="4" t="str">
        <f>HYPERLINK("http://141.218.60.56/~jnz1568/getInfo.php?workbook=06_02.xlsx&amp;sheet=A0&amp;row=896&amp;col=14&amp;number=0.01063&amp;sourceID=30","0.01063")</f>
        <v>0.01063</v>
      </c>
      <c r="O896" s="4" t="str">
        <f>HYPERLINK("http://141.218.60.56/~jnz1568/getInfo.php?workbook=06_02.xlsx&amp;sheet=A0&amp;row=896&amp;col=15&amp;number=9439&amp;sourceID=32","9439")</f>
        <v>9439</v>
      </c>
      <c r="P896" s="4" t="str">
        <f>HYPERLINK("http://141.218.60.56/~jnz1568/getInfo.php?workbook=06_02.xlsx&amp;sheet=A0&amp;row=896&amp;col=16&amp;number=&amp;sourceID=32","")</f>
        <v/>
      </c>
      <c r="Q896" s="4" t="str">
        <f>HYPERLINK("http://141.218.60.56/~jnz1568/getInfo.php?workbook=06_02.xlsx&amp;sheet=A0&amp;row=896&amp;col=17&amp;number=&amp;sourceID=32","")</f>
        <v/>
      </c>
      <c r="R896" s="4" t="str">
        <f>HYPERLINK("http://141.218.60.56/~jnz1568/getInfo.php?workbook=06_02.xlsx&amp;sheet=A0&amp;row=896&amp;col=18&amp;number=0.01053&amp;sourceID=32","0.01053")</f>
        <v>0.01053</v>
      </c>
    </row>
    <row r="897" spans="1:18">
      <c r="A897" s="3">
        <v>6</v>
      </c>
      <c r="B897" s="3">
        <v>2</v>
      </c>
      <c r="C897" s="3">
        <v>49</v>
      </c>
      <c r="D897" s="3">
        <v>19</v>
      </c>
      <c r="E897" s="3">
        <f>((1/(INDEX(E0!J$4:J$52,C897,1)-INDEX(E0!J$4:J$52,D897,1))))*100000000</f>
        <v>0</v>
      </c>
      <c r="F897" s="4" t="str">
        <f>HYPERLINK("http://141.218.60.56/~jnz1568/getInfo.php?workbook=06_02.xlsx&amp;sheet=A0&amp;row=897&amp;col=6&amp;number=&amp;sourceID=27","")</f>
        <v/>
      </c>
      <c r="G897" s="4" t="str">
        <f>HYPERLINK("http://141.218.60.56/~jnz1568/getInfo.php?workbook=06_02.xlsx&amp;sheet=A0&amp;row=897&amp;col=7&amp;number=&amp;sourceID=34","")</f>
        <v/>
      </c>
      <c r="H897" s="4" t="str">
        <f>HYPERLINK("http://141.218.60.56/~jnz1568/getInfo.php?workbook=06_02.xlsx&amp;sheet=A0&amp;row=897&amp;col=8&amp;number=&amp;sourceID=34","")</f>
        <v/>
      </c>
      <c r="I897" s="4" t="str">
        <f>HYPERLINK("http://141.218.60.56/~jnz1568/getInfo.php?workbook=06_02.xlsx&amp;sheet=A0&amp;row=897&amp;col=9&amp;number=&amp;sourceID=34","")</f>
        <v/>
      </c>
      <c r="J897" s="4" t="str">
        <f>HYPERLINK("http://141.218.60.56/~jnz1568/getInfo.php?workbook=06_02.xlsx&amp;sheet=A0&amp;row=897&amp;col=10&amp;number=&amp;sourceID=34","")</f>
        <v/>
      </c>
      <c r="K897" s="4" t="str">
        <f>HYPERLINK("http://141.218.60.56/~jnz1568/getInfo.php?workbook=06_02.xlsx&amp;sheet=A0&amp;row=897&amp;col=11&amp;number=466400000&amp;sourceID=30","466400000")</f>
        <v>466400000</v>
      </c>
      <c r="L897" s="4" t="str">
        <f>HYPERLINK("http://141.218.60.56/~jnz1568/getInfo.php?workbook=06_02.xlsx&amp;sheet=A0&amp;row=897&amp;col=12&amp;number=&amp;sourceID=30","")</f>
        <v/>
      </c>
      <c r="M897" s="4" t="str">
        <f>HYPERLINK("http://141.218.60.56/~jnz1568/getInfo.php?workbook=06_02.xlsx&amp;sheet=A0&amp;row=897&amp;col=13&amp;number=&amp;sourceID=30","")</f>
        <v/>
      </c>
      <c r="N897" s="4" t="str">
        <f>HYPERLINK("http://141.218.60.56/~jnz1568/getInfo.php?workbook=06_02.xlsx&amp;sheet=A0&amp;row=897&amp;col=14&amp;number=&amp;sourceID=30","")</f>
        <v/>
      </c>
      <c r="O897" s="4" t="str">
        <f>HYPERLINK("http://141.218.60.56/~jnz1568/getInfo.php?workbook=06_02.xlsx&amp;sheet=A0&amp;row=897&amp;col=15&amp;number=389600000&amp;sourceID=32","389600000")</f>
        <v>389600000</v>
      </c>
      <c r="P897" s="4" t="str">
        <f>HYPERLINK("http://141.218.60.56/~jnz1568/getInfo.php?workbook=06_02.xlsx&amp;sheet=A0&amp;row=897&amp;col=16&amp;number=&amp;sourceID=32","")</f>
        <v/>
      </c>
      <c r="Q897" s="4" t="str">
        <f>HYPERLINK("http://141.218.60.56/~jnz1568/getInfo.php?workbook=06_02.xlsx&amp;sheet=A0&amp;row=897&amp;col=17&amp;number=&amp;sourceID=32","")</f>
        <v/>
      </c>
      <c r="R897" s="4" t="str">
        <f>HYPERLINK("http://141.218.60.56/~jnz1568/getInfo.php?workbook=06_02.xlsx&amp;sheet=A0&amp;row=897&amp;col=18&amp;number=&amp;sourceID=32","")</f>
        <v/>
      </c>
    </row>
    <row r="898" spans="1:18">
      <c r="A898" s="3">
        <v>6</v>
      </c>
      <c r="B898" s="3">
        <v>2</v>
      </c>
      <c r="C898" s="3">
        <v>49</v>
      </c>
      <c r="D898" s="3">
        <v>20</v>
      </c>
      <c r="E898" s="3">
        <f>((1/(INDEX(E0!J$4:J$52,C898,1)-INDEX(E0!J$4:J$52,D898,1))))*100000000</f>
        <v>0</v>
      </c>
      <c r="F898" s="4" t="str">
        <f>HYPERLINK("http://141.218.60.56/~jnz1568/getInfo.php?workbook=06_02.xlsx&amp;sheet=A0&amp;row=898&amp;col=6&amp;number=&amp;sourceID=27","")</f>
        <v/>
      </c>
      <c r="G898" s="4" t="str">
        <f>HYPERLINK("http://141.218.60.56/~jnz1568/getInfo.php?workbook=06_02.xlsx&amp;sheet=A0&amp;row=898&amp;col=7&amp;number=&amp;sourceID=34","")</f>
        <v/>
      </c>
      <c r="H898" s="4" t="str">
        <f>HYPERLINK("http://141.218.60.56/~jnz1568/getInfo.php?workbook=06_02.xlsx&amp;sheet=A0&amp;row=898&amp;col=8&amp;number=&amp;sourceID=34","")</f>
        <v/>
      </c>
      <c r="I898" s="4" t="str">
        <f>HYPERLINK("http://141.218.60.56/~jnz1568/getInfo.php?workbook=06_02.xlsx&amp;sheet=A0&amp;row=898&amp;col=9&amp;number=&amp;sourceID=34","")</f>
        <v/>
      </c>
      <c r="J898" s="4" t="str">
        <f>HYPERLINK("http://141.218.60.56/~jnz1568/getInfo.php?workbook=06_02.xlsx&amp;sheet=A0&amp;row=898&amp;col=10&amp;number=&amp;sourceID=34","")</f>
        <v/>
      </c>
      <c r="K898" s="4" t="str">
        <f>HYPERLINK("http://141.218.60.56/~jnz1568/getInfo.php?workbook=06_02.xlsx&amp;sheet=A0&amp;row=898&amp;col=11&amp;number=&amp;sourceID=30","")</f>
        <v/>
      </c>
      <c r="L898" s="4" t="str">
        <f>HYPERLINK("http://141.218.60.56/~jnz1568/getInfo.php?workbook=06_02.xlsx&amp;sheet=A0&amp;row=898&amp;col=12&amp;number=&amp;sourceID=30","")</f>
        <v/>
      </c>
      <c r="M898" s="4" t="str">
        <f>HYPERLINK("http://141.218.60.56/~jnz1568/getInfo.php?workbook=06_02.xlsx&amp;sheet=A0&amp;row=898&amp;col=13&amp;number=0.0002411&amp;sourceID=30","0.0002411")</f>
        <v>0.0002411</v>
      </c>
      <c r="N898" s="4" t="str">
        <f>HYPERLINK("http://141.218.60.56/~jnz1568/getInfo.php?workbook=06_02.xlsx&amp;sheet=A0&amp;row=898&amp;col=14&amp;number=&amp;sourceID=30","")</f>
        <v/>
      </c>
      <c r="O898" s="4" t="str">
        <f>HYPERLINK("http://141.218.60.56/~jnz1568/getInfo.php?workbook=06_02.xlsx&amp;sheet=A0&amp;row=898&amp;col=15&amp;number=&amp;sourceID=32","")</f>
        <v/>
      </c>
      <c r="P898" s="4" t="str">
        <f>HYPERLINK("http://141.218.60.56/~jnz1568/getInfo.php?workbook=06_02.xlsx&amp;sheet=A0&amp;row=898&amp;col=16&amp;number=&amp;sourceID=32","")</f>
        <v/>
      </c>
      <c r="Q898" s="4" t="str">
        <f>HYPERLINK("http://141.218.60.56/~jnz1568/getInfo.php?workbook=06_02.xlsx&amp;sheet=A0&amp;row=898&amp;col=17&amp;number=0.0002018&amp;sourceID=32","0.0002018")</f>
        <v>0.0002018</v>
      </c>
      <c r="R898" s="4" t="str">
        <f>HYPERLINK("http://141.218.60.56/~jnz1568/getInfo.php?workbook=06_02.xlsx&amp;sheet=A0&amp;row=898&amp;col=18&amp;number=&amp;sourceID=32","")</f>
        <v/>
      </c>
    </row>
    <row r="899" spans="1:18">
      <c r="A899" s="3">
        <v>6</v>
      </c>
      <c r="B899" s="3">
        <v>2</v>
      </c>
      <c r="C899" s="3">
        <v>49</v>
      </c>
      <c r="D899" s="3">
        <v>21</v>
      </c>
      <c r="E899" s="3">
        <f>((1/(INDEX(E0!J$4:J$52,C899,1)-INDEX(E0!J$4:J$52,D899,1))))*100000000</f>
        <v>0</v>
      </c>
      <c r="F899" s="4" t="str">
        <f>HYPERLINK("http://141.218.60.56/~jnz1568/getInfo.php?workbook=06_02.xlsx&amp;sheet=A0&amp;row=899&amp;col=6&amp;number=&amp;sourceID=27","")</f>
        <v/>
      </c>
      <c r="G899" s="4" t="str">
        <f>HYPERLINK("http://141.218.60.56/~jnz1568/getInfo.php?workbook=06_02.xlsx&amp;sheet=A0&amp;row=899&amp;col=7&amp;number=&amp;sourceID=34","")</f>
        <v/>
      </c>
      <c r="H899" s="4" t="str">
        <f>HYPERLINK("http://141.218.60.56/~jnz1568/getInfo.php?workbook=06_02.xlsx&amp;sheet=A0&amp;row=899&amp;col=8&amp;number=&amp;sourceID=34","")</f>
        <v/>
      </c>
      <c r="I899" s="4" t="str">
        <f>HYPERLINK("http://141.218.60.56/~jnz1568/getInfo.php?workbook=06_02.xlsx&amp;sheet=A0&amp;row=899&amp;col=9&amp;number=&amp;sourceID=34","")</f>
        <v/>
      </c>
      <c r="J899" s="4" t="str">
        <f>HYPERLINK("http://141.218.60.56/~jnz1568/getInfo.php?workbook=06_02.xlsx&amp;sheet=A0&amp;row=899&amp;col=10&amp;number=&amp;sourceID=34","")</f>
        <v/>
      </c>
      <c r="K899" s="4" t="str">
        <f>HYPERLINK("http://141.218.60.56/~jnz1568/getInfo.php?workbook=06_02.xlsx&amp;sheet=A0&amp;row=899&amp;col=11&amp;number=&amp;sourceID=30","")</f>
        <v/>
      </c>
      <c r="L899" s="4" t="str">
        <f>HYPERLINK("http://141.218.60.56/~jnz1568/getInfo.php?workbook=06_02.xlsx&amp;sheet=A0&amp;row=899&amp;col=12&amp;number=0.4772&amp;sourceID=30","0.4772")</f>
        <v>0.4772</v>
      </c>
      <c r="M899" s="4" t="str">
        <f>HYPERLINK("http://141.218.60.56/~jnz1568/getInfo.php?workbook=06_02.xlsx&amp;sheet=A0&amp;row=899&amp;col=13&amp;number=0.0001967&amp;sourceID=30","0.0001967")</f>
        <v>0.0001967</v>
      </c>
      <c r="N899" s="4" t="str">
        <f>HYPERLINK("http://141.218.60.56/~jnz1568/getInfo.php?workbook=06_02.xlsx&amp;sheet=A0&amp;row=899&amp;col=14&amp;number=&amp;sourceID=30","")</f>
        <v/>
      </c>
      <c r="O899" s="4" t="str">
        <f>HYPERLINK("http://141.218.60.56/~jnz1568/getInfo.php?workbook=06_02.xlsx&amp;sheet=A0&amp;row=899&amp;col=15&amp;number=&amp;sourceID=32","")</f>
        <v/>
      </c>
      <c r="P899" s="4" t="str">
        <f>HYPERLINK("http://141.218.60.56/~jnz1568/getInfo.php?workbook=06_02.xlsx&amp;sheet=A0&amp;row=899&amp;col=16&amp;number=0.508&amp;sourceID=32","0.508")</f>
        <v>0.508</v>
      </c>
      <c r="Q899" s="4" t="str">
        <f>HYPERLINK("http://141.218.60.56/~jnz1568/getInfo.php?workbook=06_02.xlsx&amp;sheet=A0&amp;row=899&amp;col=17&amp;number=0.000166&amp;sourceID=32","0.000166")</f>
        <v>0.000166</v>
      </c>
      <c r="R899" s="4" t="str">
        <f>HYPERLINK("http://141.218.60.56/~jnz1568/getInfo.php?workbook=06_02.xlsx&amp;sheet=A0&amp;row=899&amp;col=18&amp;number=&amp;sourceID=32","")</f>
        <v/>
      </c>
    </row>
    <row r="900" spans="1:18">
      <c r="A900" s="3">
        <v>6</v>
      </c>
      <c r="B900" s="3">
        <v>2</v>
      </c>
      <c r="C900" s="3">
        <v>49</v>
      </c>
      <c r="D900" s="3">
        <v>22</v>
      </c>
      <c r="E900" s="3">
        <f>((1/(INDEX(E0!J$4:J$52,C900,1)-INDEX(E0!J$4:J$52,D900,1))))*100000000</f>
        <v>0</v>
      </c>
      <c r="F900" s="4" t="str">
        <f>HYPERLINK("http://141.218.60.56/~jnz1568/getInfo.php?workbook=06_02.xlsx&amp;sheet=A0&amp;row=900&amp;col=6&amp;number=&amp;sourceID=27","")</f>
        <v/>
      </c>
      <c r="G900" s="4" t="str">
        <f>HYPERLINK("http://141.218.60.56/~jnz1568/getInfo.php?workbook=06_02.xlsx&amp;sheet=A0&amp;row=900&amp;col=7&amp;number=&amp;sourceID=34","")</f>
        <v/>
      </c>
      <c r="H900" s="4" t="str">
        <f>HYPERLINK("http://141.218.60.56/~jnz1568/getInfo.php?workbook=06_02.xlsx&amp;sheet=A0&amp;row=900&amp;col=8&amp;number=&amp;sourceID=34","")</f>
        <v/>
      </c>
      <c r="I900" s="4" t="str">
        <f>HYPERLINK("http://141.218.60.56/~jnz1568/getInfo.php?workbook=06_02.xlsx&amp;sheet=A0&amp;row=900&amp;col=9&amp;number=&amp;sourceID=34","")</f>
        <v/>
      </c>
      <c r="J900" s="4" t="str">
        <f>HYPERLINK("http://141.218.60.56/~jnz1568/getInfo.php?workbook=06_02.xlsx&amp;sheet=A0&amp;row=900&amp;col=10&amp;number=&amp;sourceID=34","")</f>
        <v/>
      </c>
      <c r="K900" s="4" t="str">
        <f>HYPERLINK("http://141.218.60.56/~jnz1568/getInfo.php?workbook=06_02.xlsx&amp;sheet=A0&amp;row=900&amp;col=11&amp;number=&amp;sourceID=30","")</f>
        <v/>
      </c>
      <c r="L900" s="4" t="str">
        <f>HYPERLINK("http://141.218.60.56/~jnz1568/getInfo.php?workbook=06_02.xlsx&amp;sheet=A0&amp;row=900&amp;col=12&amp;number=0.1399&amp;sourceID=30","0.1399")</f>
        <v>0.1399</v>
      </c>
      <c r="M900" s="4" t="str">
        <f>HYPERLINK("http://141.218.60.56/~jnz1568/getInfo.php?workbook=06_02.xlsx&amp;sheet=A0&amp;row=900&amp;col=13&amp;number=0.0002801&amp;sourceID=30","0.0002801")</f>
        <v>0.0002801</v>
      </c>
      <c r="N900" s="4" t="str">
        <f>HYPERLINK("http://141.218.60.56/~jnz1568/getInfo.php?workbook=06_02.xlsx&amp;sheet=A0&amp;row=900&amp;col=14&amp;number=&amp;sourceID=30","")</f>
        <v/>
      </c>
      <c r="O900" s="4" t="str">
        <f>HYPERLINK("http://141.218.60.56/~jnz1568/getInfo.php?workbook=06_02.xlsx&amp;sheet=A0&amp;row=900&amp;col=15&amp;number=&amp;sourceID=32","")</f>
        <v/>
      </c>
      <c r="P900" s="4" t="str">
        <f>HYPERLINK("http://141.218.60.56/~jnz1568/getInfo.php?workbook=06_02.xlsx&amp;sheet=A0&amp;row=900&amp;col=16&amp;number=0.1722&amp;sourceID=32","0.1722")</f>
        <v>0.1722</v>
      </c>
      <c r="Q900" s="4" t="str">
        <f>HYPERLINK("http://141.218.60.56/~jnz1568/getInfo.php?workbook=06_02.xlsx&amp;sheet=A0&amp;row=900&amp;col=17&amp;number=0.0002378&amp;sourceID=32","0.0002378")</f>
        <v>0.0002378</v>
      </c>
      <c r="R900" s="4" t="str">
        <f>HYPERLINK("http://141.218.60.56/~jnz1568/getInfo.php?workbook=06_02.xlsx&amp;sheet=A0&amp;row=900&amp;col=18&amp;number=&amp;sourceID=32","")</f>
        <v/>
      </c>
    </row>
    <row r="901" spans="1:18">
      <c r="A901" s="3">
        <v>6</v>
      </c>
      <c r="B901" s="3">
        <v>2</v>
      </c>
      <c r="C901" s="3">
        <v>49</v>
      </c>
      <c r="D901" s="3">
        <v>23</v>
      </c>
      <c r="E901" s="3">
        <f>((1/(INDEX(E0!J$4:J$52,C901,1)-INDEX(E0!J$4:J$52,D901,1))))*100000000</f>
        <v>0</v>
      </c>
      <c r="F901" s="4" t="str">
        <f>HYPERLINK("http://141.218.60.56/~jnz1568/getInfo.php?workbook=06_02.xlsx&amp;sheet=A0&amp;row=901&amp;col=6&amp;number=&amp;sourceID=27","")</f>
        <v/>
      </c>
      <c r="G901" s="4" t="str">
        <f>HYPERLINK("http://141.218.60.56/~jnz1568/getInfo.php?workbook=06_02.xlsx&amp;sheet=A0&amp;row=901&amp;col=7&amp;number=&amp;sourceID=34","")</f>
        <v/>
      </c>
      <c r="H901" s="4" t="str">
        <f>HYPERLINK("http://141.218.60.56/~jnz1568/getInfo.php?workbook=06_02.xlsx&amp;sheet=A0&amp;row=901&amp;col=8&amp;number=&amp;sourceID=34","")</f>
        <v/>
      </c>
      <c r="I901" s="4" t="str">
        <f>HYPERLINK("http://141.218.60.56/~jnz1568/getInfo.php?workbook=06_02.xlsx&amp;sheet=A0&amp;row=901&amp;col=9&amp;number=&amp;sourceID=34","")</f>
        <v/>
      </c>
      <c r="J901" s="4" t="str">
        <f>HYPERLINK("http://141.218.60.56/~jnz1568/getInfo.php?workbook=06_02.xlsx&amp;sheet=A0&amp;row=901&amp;col=10&amp;number=&amp;sourceID=34","")</f>
        <v/>
      </c>
      <c r="K901" s="4" t="str">
        <f>HYPERLINK("http://141.218.60.56/~jnz1568/getInfo.php?workbook=06_02.xlsx&amp;sheet=A0&amp;row=901&amp;col=11&amp;number=665.4&amp;sourceID=30","665.4")</f>
        <v>665.4</v>
      </c>
      <c r="L901" s="4" t="str">
        <f>HYPERLINK("http://141.218.60.56/~jnz1568/getInfo.php?workbook=06_02.xlsx&amp;sheet=A0&amp;row=901&amp;col=12&amp;number=&amp;sourceID=30","")</f>
        <v/>
      </c>
      <c r="M901" s="4" t="str">
        <f>HYPERLINK("http://141.218.60.56/~jnz1568/getInfo.php?workbook=06_02.xlsx&amp;sheet=A0&amp;row=901&amp;col=13&amp;number=&amp;sourceID=30","")</f>
        <v/>
      </c>
      <c r="N901" s="4" t="str">
        <f>HYPERLINK("http://141.218.60.56/~jnz1568/getInfo.php?workbook=06_02.xlsx&amp;sheet=A0&amp;row=901&amp;col=14&amp;number=2.965e-05&amp;sourceID=30","2.965e-05")</f>
        <v>2.965e-05</v>
      </c>
      <c r="O901" s="4" t="str">
        <f>HYPERLINK("http://141.218.60.56/~jnz1568/getInfo.php?workbook=06_02.xlsx&amp;sheet=A0&amp;row=901&amp;col=15&amp;number=850.6&amp;sourceID=32","850.6")</f>
        <v>850.6</v>
      </c>
      <c r="P901" s="4" t="str">
        <f>HYPERLINK("http://141.218.60.56/~jnz1568/getInfo.php?workbook=06_02.xlsx&amp;sheet=A0&amp;row=901&amp;col=16&amp;number=&amp;sourceID=32","")</f>
        <v/>
      </c>
      <c r="Q901" s="4" t="str">
        <f>HYPERLINK("http://141.218.60.56/~jnz1568/getInfo.php?workbook=06_02.xlsx&amp;sheet=A0&amp;row=901&amp;col=17&amp;number=&amp;sourceID=32","")</f>
        <v/>
      </c>
      <c r="R901" s="4" t="str">
        <f>HYPERLINK("http://141.218.60.56/~jnz1568/getInfo.php?workbook=06_02.xlsx&amp;sheet=A0&amp;row=901&amp;col=18&amp;number=2.96e-05&amp;sourceID=32","2.96e-05")</f>
        <v>2.96e-05</v>
      </c>
    </row>
    <row r="902" spans="1:18">
      <c r="A902" s="3">
        <v>6</v>
      </c>
      <c r="B902" s="3">
        <v>2</v>
      </c>
      <c r="C902" s="3">
        <v>49</v>
      </c>
      <c r="D902" s="3">
        <v>24</v>
      </c>
      <c r="E902" s="3">
        <f>((1/(INDEX(E0!J$4:J$52,C902,1)-INDEX(E0!J$4:J$52,D902,1))))*100000000</f>
        <v>0</v>
      </c>
      <c r="F902" s="4" t="str">
        <f>HYPERLINK("http://141.218.60.56/~jnz1568/getInfo.php?workbook=06_02.xlsx&amp;sheet=A0&amp;row=902&amp;col=6&amp;number=&amp;sourceID=27","")</f>
        <v/>
      </c>
      <c r="G902" s="4" t="str">
        <f>HYPERLINK("http://141.218.60.56/~jnz1568/getInfo.php?workbook=06_02.xlsx&amp;sheet=A0&amp;row=902&amp;col=7&amp;number=&amp;sourceID=34","")</f>
        <v/>
      </c>
      <c r="H902" s="4" t="str">
        <f>HYPERLINK("http://141.218.60.56/~jnz1568/getInfo.php?workbook=06_02.xlsx&amp;sheet=A0&amp;row=902&amp;col=8&amp;number=&amp;sourceID=34","")</f>
        <v/>
      </c>
      <c r="I902" s="4" t="str">
        <f>HYPERLINK("http://141.218.60.56/~jnz1568/getInfo.php?workbook=06_02.xlsx&amp;sheet=A0&amp;row=902&amp;col=9&amp;number=&amp;sourceID=34","")</f>
        <v/>
      </c>
      <c r="J902" s="4" t="str">
        <f>HYPERLINK("http://141.218.60.56/~jnz1568/getInfo.php?workbook=06_02.xlsx&amp;sheet=A0&amp;row=902&amp;col=10&amp;number=&amp;sourceID=34","")</f>
        <v/>
      </c>
      <c r="K902" s="4" t="str">
        <f>HYPERLINK("http://141.218.60.56/~jnz1568/getInfo.php?workbook=06_02.xlsx&amp;sheet=A0&amp;row=902&amp;col=11&amp;number=159800&amp;sourceID=30","159800")</f>
        <v>159800</v>
      </c>
      <c r="L902" s="4" t="str">
        <f>HYPERLINK("http://141.218.60.56/~jnz1568/getInfo.php?workbook=06_02.xlsx&amp;sheet=A0&amp;row=902&amp;col=12&amp;number=&amp;sourceID=30","")</f>
        <v/>
      </c>
      <c r="M902" s="4" t="str">
        <f>HYPERLINK("http://141.218.60.56/~jnz1568/getInfo.php?workbook=06_02.xlsx&amp;sheet=A0&amp;row=902&amp;col=13&amp;number=&amp;sourceID=30","")</f>
        <v/>
      </c>
      <c r="N902" s="4" t="str">
        <f>HYPERLINK("http://141.218.60.56/~jnz1568/getInfo.php?workbook=06_02.xlsx&amp;sheet=A0&amp;row=902&amp;col=14&amp;number=0.0003979&amp;sourceID=30","0.0003979")</f>
        <v>0.0003979</v>
      </c>
      <c r="O902" s="4" t="str">
        <f>HYPERLINK("http://141.218.60.56/~jnz1568/getInfo.php?workbook=06_02.xlsx&amp;sheet=A0&amp;row=902&amp;col=15&amp;number=218500&amp;sourceID=32","218500")</f>
        <v>218500</v>
      </c>
      <c r="P902" s="4" t="str">
        <f>HYPERLINK("http://141.218.60.56/~jnz1568/getInfo.php?workbook=06_02.xlsx&amp;sheet=A0&amp;row=902&amp;col=16&amp;number=&amp;sourceID=32","")</f>
        <v/>
      </c>
      <c r="Q902" s="4" t="str">
        <f>HYPERLINK("http://141.218.60.56/~jnz1568/getInfo.php?workbook=06_02.xlsx&amp;sheet=A0&amp;row=902&amp;col=17&amp;number=&amp;sourceID=32","")</f>
        <v/>
      </c>
      <c r="R902" s="4" t="str">
        <f>HYPERLINK("http://141.218.60.56/~jnz1568/getInfo.php?workbook=06_02.xlsx&amp;sheet=A0&amp;row=902&amp;col=18&amp;number=0.000389&amp;sourceID=32","0.000389")</f>
        <v>0.000389</v>
      </c>
    </row>
    <row r="903" spans="1:18">
      <c r="A903" s="3">
        <v>6</v>
      </c>
      <c r="B903" s="3">
        <v>2</v>
      </c>
      <c r="C903" s="3">
        <v>49</v>
      </c>
      <c r="D903" s="3">
        <v>25</v>
      </c>
      <c r="E903" s="3">
        <f>((1/(INDEX(E0!J$4:J$52,C903,1)-INDEX(E0!J$4:J$52,D903,1))))*100000000</f>
        <v>0</v>
      </c>
      <c r="F903" s="4" t="str">
        <f>HYPERLINK("http://141.218.60.56/~jnz1568/getInfo.php?workbook=06_02.xlsx&amp;sheet=A0&amp;row=903&amp;col=6&amp;number=&amp;sourceID=27","")</f>
        <v/>
      </c>
      <c r="G903" s="4" t="str">
        <f>HYPERLINK("http://141.218.60.56/~jnz1568/getInfo.php?workbook=06_02.xlsx&amp;sheet=A0&amp;row=903&amp;col=7&amp;number=&amp;sourceID=34","")</f>
        <v/>
      </c>
      <c r="H903" s="4" t="str">
        <f>HYPERLINK("http://141.218.60.56/~jnz1568/getInfo.php?workbook=06_02.xlsx&amp;sheet=A0&amp;row=903&amp;col=8&amp;number=&amp;sourceID=34","")</f>
        <v/>
      </c>
      <c r="I903" s="4" t="str">
        <f>HYPERLINK("http://141.218.60.56/~jnz1568/getInfo.php?workbook=06_02.xlsx&amp;sheet=A0&amp;row=903&amp;col=9&amp;number=&amp;sourceID=34","")</f>
        <v/>
      </c>
      <c r="J903" s="4" t="str">
        <f>HYPERLINK("http://141.218.60.56/~jnz1568/getInfo.php?workbook=06_02.xlsx&amp;sheet=A0&amp;row=903&amp;col=10&amp;number=&amp;sourceID=34","")</f>
        <v/>
      </c>
      <c r="K903" s="4" t="str">
        <f>HYPERLINK("http://141.218.60.56/~jnz1568/getInfo.php?workbook=06_02.xlsx&amp;sheet=A0&amp;row=903&amp;col=11&amp;number=&amp;sourceID=30","")</f>
        <v/>
      </c>
      <c r="L903" s="4" t="str">
        <f>HYPERLINK("http://141.218.60.56/~jnz1568/getInfo.php?workbook=06_02.xlsx&amp;sheet=A0&amp;row=903&amp;col=12&amp;number=&amp;sourceID=30","")</f>
        <v/>
      </c>
      <c r="M903" s="4" t="str">
        <f>HYPERLINK("http://141.218.60.56/~jnz1568/getInfo.php?workbook=06_02.xlsx&amp;sheet=A0&amp;row=903&amp;col=13&amp;number=&amp;sourceID=30","")</f>
        <v/>
      </c>
      <c r="N903" s="4" t="str">
        <f>HYPERLINK("http://141.218.60.56/~jnz1568/getInfo.php?workbook=06_02.xlsx&amp;sheet=A0&amp;row=903&amp;col=14&amp;number=0.00253&amp;sourceID=30","0.00253")</f>
        <v>0.00253</v>
      </c>
      <c r="O903" s="4" t="str">
        <f>HYPERLINK("http://141.218.60.56/~jnz1568/getInfo.php?workbook=06_02.xlsx&amp;sheet=A0&amp;row=903&amp;col=15&amp;number=&amp;sourceID=32","")</f>
        <v/>
      </c>
      <c r="P903" s="4" t="str">
        <f>HYPERLINK("http://141.218.60.56/~jnz1568/getInfo.php?workbook=06_02.xlsx&amp;sheet=A0&amp;row=903&amp;col=16&amp;number=&amp;sourceID=32","")</f>
        <v/>
      </c>
      <c r="Q903" s="4" t="str">
        <f>HYPERLINK("http://141.218.60.56/~jnz1568/getInfo.php?workbook=06_02.xlsx&amp;sheet=A0&amp;row=903&amp;col=17&amp;number=&amp;sourceID=32","")</f>
        <v/>
      </c>
      <c r="R903" s="4" t="str">
        <f>HYPERLINK("http://141.218.60.56/~jnz1568/getInfo.php?workbook=06_02.xlsx&amp;sheet=A0&amp;row=903&amp;col=18&amp;number=0.002531&amp;sourceID=32","0.002531")</f>
        <v>0.002531</v>
      </c>
    </row>
    <row r="904" spans="1:18">
      <c r="A904" s="3">
        <v>6</v>
      </c>
      <c r="B904" s="3">
        <v>2</v>
      </c>
      <c r="C904" s="3">
        <v>49</v>
      </c>
      <c r="D904" s="3">
        <v>26</v>
      </c>
      <c r="E904" s="3">
        <f>((1/(INDEX(E0!J$4:J$52,C904,1)-INDEX(E0!J$4:J$52,D904,1))))*100000000</f>
        <v>0</v>
      </c>
      <c r="F904" s="4" t="str">
        <f>HYPERLINK("http://141.218.60.56/~jnz1568/getInfo.php?workbook=06_02.xlsx&amp;sheet=A0&amp;row=904&amp;col=6&amp;number=&amp;sourceID=27","")</f>
        <v/>
      </c>
      <c r="G904" s="4" t="str">
        <f>HYPERLINK("http://141.218.60.56/~jnz1568/getInfo.php?workbook=06_02.xlsx&amp;sheet=A0&amp;row=904&amp;col=7&amp;number=&amp;sourceID=34","")</f>
        <v/>
      </c>
      <c r="H904" s="4" t="str">
        <f>HYPERLINK("http://141.218.60.56/~jnz1568/getInfo.php?workbook=06_02.xlsx&amp;sheet=A0&amp;row=904&amp;col=8&amp;number=&amp;sourceID=34","")</f>
        <v/>
      </c>
      <c r="I904" s="4" t="str">
        <f>HYPERLINK("http://141.218.60.56/~jnz1568/getInfo.php?workbook=06_02.xlsx&amp;sheet=A0&amp;row=904&amp;col=9&amp;number=&amp;sourceID=34","")</f>
        <v/>
      </c>
      <c r="J904" s="4" t="str">
        <f>HYPERLINK("http://141.218.60.56/~jnz1568/getInfo.php?workbook=06_02.xlsx&amp;sheet=A0&amp;row=904&amp;col=10&amp;number=&amp;sourceID=34","")</f>
        <v/>
      </c>
      <c r="K904" s="4" t="str">
        <f>HYPERLINK("http://141.218.60.56/~jnz1568/getInfo.php?workbook=06_02.xlsx&amp;sheet=A0&amp;row=904&amp;col=11&amp;number=&amp;sourceID=30","")</f>
        <v/>
      </c>
      <c r="L904" s="4" t="str">
        <f>HYPERLINK("http://141.218.60.56/~jnz1568/getInfo.php?workbook=06_02.xlsx&amp;sheet=A0&amp;row=904&amp;col=12&amp;number=479.7&amp;sourceID=30","479.7")</f>
        <v>479.7</v>
      </c>
      <c r="M904" s="4" t="str">
        <f>HYPERLINK("http://141.218.60.56/~jnz1568/getInfo.php?workbook=06_02.xlsx&amp;sheet=A0&amp;row=904&amp;col=13&amp;number=&amp;sourceID=30","")</f>
        <v/>
      </c>
      <c r="N904" s="4" t="str">
        <f>HYPERLINK("http://141.218.60.56/~jnz1568/getInfo.php?workbook=06_02.xlsx&amp;sheet=A0&amp;row=904&amp;col=14&amp;number=&amp;sourceID=30","")</f>
        <v/>
      </c>
      <c r="O904" s="4" t="str">
        <f>HYPERLINK("http://141.218.60.56/~jnz1568/getInfo.php?workbook=06_02.xlsx&amp;sheet=A0&amp;row=904&amp;col=15&amp;number=&amp;sourceID=32","")</f>
        <v/>
      </c>
      <c r="P904" s="4" t="str">
        <f>HYPERLINK("http://141.218.60.56/~jnz1568/getInfo.php?workbook=06_02.xlsx&amp;sheet=A0&amp;row=904&amp;col=16&amp;number=253.8&amp;sourceID=32","253.8")</f>
        <v>253.8</v>
      </c>
      <c r="Q904" s="4" t="str">
        <f>HYPERLINK("http://141.218.60.56/~jnz1568/getInfo.php?workbook=06_02.xlsx&amp;sheet=A0&amp;row=904&amp;col=17&amp;number=&amp;sourceID=32","")</f>
        <v/>
      </c>
      <c r="R904" s="4" t="str">
        <f>HYPERLINK("http://141.218.60.56/~jnz1568/getInfo.php?workbook=06_02.xlsx&amp;sheet=A0&amp;row=904&amp;col=18&amp;number=&amp;sourceID=32","")</f>
        <v/>
      </c>
    </row>
    <row r="905" spans="1:18">
      <c r="A905" s="3">
        <v>6</v>
      </c>
      <c r="B905" s="3">
        <v>2</v>
      </c>
      <c r="C905" s="3">
        <v>49</v>
      </c>
      <c r="D905" s="3">
        <v>27</v>
      </c>
      <c r="E905" s="3">
        <f>((1/(INDEX(E0!J$4:J$52,C905,1)-INDEX(E0!J$4:J$52,D905,1))))*100000000</f>
        <v>0</v>
      </c>
      <c r="F905" s="4" t="str">
        <f>HYPERLINK("http://141.218.60.56/~jnz1568/getInfo.php?workbook=06_02.xlsx&amp;sheet=A0&amp;row=905&amp;col=6&amp;number=&amp;sourceID=27","")</f>
        <v/>
      </c>
      <c r="G905" s="4" t="str">
        <f>HYPERLINK("http://141.218.60.56/~jnz1568/getInfo.php?workbook=06_02.xlsx&amp;sheet=A0&amp;row=905&amp;col=7&amp;number=&amp;sourceID=34","")</f>
        <v/>
      </c>
      <c r="H905" s="4" t="str">
        <f>HYPERLINK("http://141.218.60.56/~jnz1568/getInfo.php?workbook=06_02.xlsx&amp;sheet=A0&amp;row=905&amp;col=8&amp;number=&amp;sourceID=34","")</f>
        <v/>
      </c>
      <c r="I905" s="4" t="str">
        <f>HYPERLINK("http://141.218.60.56/~jnz1568/getInfo.php?workbook=06_02.xlsx&amp;sheet=A0&amp;row=905&amp;col=9&amp;number=&amp;sourceID=34","")</f>
        <v/>
      </c>
      <c r="J905" s="4" t="str">
        <f>HYPERLINK("http://141.218.60.56/~jnz1568/getInfo.php?workbook=06_02.xlsx&amp;sheet=A0&amp;row=905&amp;col=10&amp;number=&amp;sourceID=34","")</f>
        <v/>
      </c>
      <c r="K905" s="4" t="str">
        <f>HYPERLINK("http://141.218.60.56/~jnz1568/getInfo.php?workbook=06_02.xlsx&amp;sheet=A0&amp;row=905&amp;col=11&amp;number=&amp;sourceID=30","")</f>
        <v/>
      </c>
      <c r="L905" s="4" t="str">
        <f>HYPERLINK("http://141.218.60.56/~jnz1568/getInfo.php?workbook=06_02.xlsx&amp;sheet=A0&amp;row=905&amp;col=12&amp;number=0.006296&amp;sourceID=30","0.006296")</f>
        <v>0.006296</v>
      </c>
      <c r="M905" s="4" t="str">
        <f>HYPERLINK("http://141.218.60.56/~jnz1568/getInfo.php?workbook=06_02.xlsx&amp;sheet=A0&amp;row=905&amp;col=13&amp;number=1.339e-10&amp;sourceID=30","1.339e-10")</f>
        <v>1.339e-10</v>
      </c>
      <c r="N905" s="4" t="str">
        <f>HYPERLINK("http://141.218.60.56/~jnz1568/getInfo.php?workbook=06_02.xlsx&amp;sheet=A0&amp;row=905&amp;col=14&amp;number=&amp;sourceID=30","")</f>
        <v/>
      </c>
      <c r="O905" s="4" t="str">
        <f>HYPERLINK("http://141.218.60.56/~jnz1568/getInfo.php?workbook=06_02.xlsx&amp;sheet=A0&amp;row=905&amp;col=15&amp;number=&amp;sourceID=32","")</f>
        <v/>
      </c>
      <c r="P905" s="4" t="str">
        <f>HYPERLINK("http://141.218.60.56/~jnz1568/getInfo.php?workbook=06_02.xlsx&amp;sheet=A0&amp;row=905&amp;col=16&amp;number=0.00761&amp;sourceID=32","0.00761")</f>
        <v>0.00761</v>
      </c>
      <c r="Q905" s="4" t="str">
        <f>HYPERLINK("http://141.218.60.56/~jnz1568/getInfo.php?workbook=06_02.xlsx&amp;sheet=A0&amp;row=905&amp;col=17&amp;number=3.008e-10&amp;sourceID=32","3.008e-10")</f>
        <v>3.008e-10</v>
      </c>
      <c r="R905" s="4" t="str">
        <f>HYPERLINK("http://141.218.60.56/~jnz1568/getInfo.php?workbook=06_02.xlsx&amp;sheet=A0&amp;row=905&amp;col=18&amp;number=&amp;sourceID=32","")</f>
        <v/>
      </c>
    </row>
    <row r="906" spans="1:18">
      <c r="A906" s="3">
        <v>6</v>
      </c>
      <c r="B906" s="3">
        <v>2</v>
      </c>
      <c r="C906" s="3">
        <v>49</v>
      </c>
      <c r="D906" s="3">
        <v>28</v>
      </c>
      <c r="E906" s="3">
        <f>((1/(INDEX(E0!J$4:J$52,C906,1)-INDEX(E0!J$4:J$52,D906,1))))*100000000</f>
        <v>0</v>
      </c>
      <c r="F906" s="4" t="str">
        <f>HYPERLINK("http://141.218.60.56/~jnz1568/getInfo.php?workbook=06_02.xlsx&amp;sheet=A0&amp;row=906&amp;col=6&amp;number=&amp;sourceID=27","")</f>
        <v/>
      </c>
      <c r="G906" s="4" t="str">
        <f>HYPERLINK("http://141.218.60.56/~jnz1568/getInfo.php?workbook=06_02.xlsx&amp;sheet=A0&amp;row=906&amp;col=7&amp;number=&amp;sourceID=34","")</f>
        <v/>
      </c>
      <c r="H906" s="4" t="str">
        <f>HYPERLINK("http://141.218.60.56/~jnz1568/getInfo.php?workbook=06_02.xlsx&amp;sheet=A0&amp;row=906&amp;col=8&amp;number=&amp;sourceID=34","")</f>
        <v/>
      </c>
      <c r="I906" s="4" t="str">
        <f>HYPERLINK("http://141.218.60.56/~jnz1568/getInfo.php?workbook=06_02.xlsx&amp;sheet=A0&amp;row=906&amp;col=9&amp;number=&amp;sourceID=34","")</f>
        <v/>
      </c>
      <c r="J906" s="4" t="str">
        <f>HYPERLINK("http://141.218.60.56/~jnz1568/getInfo.php?workbook=06_02.xlsx&amp;sheet=A0&amp;row=906&amp;col=10&amp;number=&amp;sourceID=34","")</f>
        <v/>
      </c>
      <c r="K906" s="4" t="str">
        <f>HYPERLINK("http://141.218.60.56/~jnz1568/getInfo.php?workbook=06_02.xlsx&amp;sheet=A0&amp;row=906&amp;col=11&amp;number=&amp;sourceID=30","")</f>
        <v/>
      </c>
      <c r="L906" s="4" t="str">
        <f>HYPERLINK("http://141.218.60.56/~jnz1568/getInfo.php?workbook=06_02.xlsx&amp;sheet=A0&amp;row=906&amp;col=12&amp;number=243.7&amp;sourceID=30","243.7")</f>
        <v>243.7</v>
      </c>
      <c r="M906" s="4" t="str">
        <f>HYPERLINK("http://141.218.60.56/~jnz1568/getInfo.php?workbook=06_02.xlsx&amp;sheet=A0&amp;row=906&amp;col=13&amp;number=&amp;sourceID=30","")</f>
        <v/>
      </c>
      <c r="N906" s="4" t="str">
        <f>HYPERLINK("http://141.218.60.56/~jnz1568/getInfo.php?workbook=06_02.xlsx&amp;sheet=A0&amp;row=906&amp;col=14&amp;number=&amp;sourceID=30","")</f>
        <v/>
      </c>
      <c r="O906" s="4" t="str">
        <f>HYPERLINK("http://141.218.60.56/~jnz1568/getInfo.php?workbook=06_02.xlsx&amp;sheet=A0&amp;row=906&amp;col=15&amp;number=&amp;sourceID=32","")</f>
        <v/>
      </c>
      <c r="P906" s="4" t="str">
        <f>HYPERLINK("http://141.218.60.56/~jnz1568/getInfo.php?workbook=06_02.xlsx&amp;sheet=A0&amp;row=906&amp;col=16&amp;number=459&amp;sourceID=32","459")</f>
        <v>459</v>
      </c>
      <c r="Q906" s="4" t="str">
        <f>HYPERLINK("http://141.218.60.56/~jnz1568/getInfo.php?workbook=06_02.xlsx&amp;sheet=A0&amp;row=906&amp;col=17&amp;number=&amp;sourceID=32","")</f>
        <v/>
      </c>
      <c r="R906" s="4" t="str">
        <f>HYPERLINK("http://141.218.60.56/~jnz1568/getInfo.php?workbook=06_02.xlsx&amp;sheet=A0&amp;row=906&amp;col=18&amp;number=&amp;sourceID=32","")</f>
        <v/>
      </c>
    </row>
    <row r="907" spans="1:18">
      <c r="A907" s="3">
        <v>6</v>
      </c>
      <c r="B907" s="3">
        <v>2</v>
      </c>
      <c r="C907" s="3">
        <v>49</v>
      </c>
      <c r="D907" s="3">
        <v>30</v>
      </c>
      <c r="E907" s="3">
        <f>((1/(INDEX(E0!J$4:J$52,C907,1)-INDEX(E0!J$4:J$52,D907,1))))*100000000</f>
        <v>0</v>
      </c>
      <c r="F907" s="4" t="str">
        <f>HYPERLINK("http://141.218.60.56/~jnz1568/getInfo.php?workbook=06_02.xlsx&amp;sheet=A0&amp;row=907&amp;col=6&amp;number=&amp;sourceID=27","")</f>
        <v/>
      </c>
      <c r="G907" s="4" t="str">
        <f>HYPERLINK("http://141.218.60.56/~jnz1568/getInfo.php?workbook=06_02.xlsx&amp;sheet=A0&amp;row=907&amp;col=7&amp;number=107800000&amp;sourceID=34","107800000")</f>
        <v>107800000</v>
      </c>
      <c r="H907" s="4" t="str">
        <f>HYPERLINK("http://141.218.60.56/~jnz1568/getInfo.php?workbook=06_02.xlsx&amp;sheet=A0&amp;row=907&amp;col=8&amp;number=&amp;sourceID=34","")</f>
        <v/>
      </c>
      <c r="I907" s="4" t="str">
        <f>HYPERLINK("http://141.218.60.56/~jnz1568/getInfo.php?workbook=06_02.xlsx&amp;sheet=A0&amp;row=907&amp;col=9&amp;number=&amp;sourceID=34","")</f>
        <v/>
      </c>
      <c r="J907" s="4" t="str">
        <f>HYPERLINK("http://141.218.60.56/~jnz1568/getInfo.php?workbook=06_02.xlsx&amp;sheet=A0&amp;row=907&amp;col=10&amp;number=&amp;sourceID=34","")</f>
        <v/>
      </c>
      <c r="K907" s="4" t="str">
        <f>HYPERLINK("http://141.218.60.56/~jnz1568/getInfo.php?workbook=06_02.xlsx&amp;sheet=A0&amp;row=907&amp;col=11&amp;number=108800000&amp;sourceID=30","108800000")</f>
        <v>108800000</v>
      </c>
      <c r="L907" s="4" t="str">
        <f>HYPERLINK("http://141.218.60.56/~jnz1568/getInfo.php?workbook=06_02.xlsx&amp;sheet=A0&amp;row=907&amp;col=12&amp;number=&amp;sourceID=30","")</f>
        <v/>
      </c>
      <c r="M907" s="4" t="str">
        <f>HYPERLINK("http://141.218.60.56/~jnz1568/getInfo.php?workbook=06_02.xlsx&amp;sheet=A0&amp;row=907&amp;col=13&amp;number=&amp;sourceID=30","")</f>
        <v/>
      </c>
      <c r="N907" s="4" t="str">
        <f>HYPERLINK("http://141.218.60.56/~jnz1568/getInfo.php?workbook=06_02.xlsx&amp;sheet=A0&amp;row=907&amp;col=14&amp;number=0.001325&amp;sourceID=30","0.001325")</f>
        <v>0.001325</v>
      </c>
      <c r="O907" s="4" t="str">
        <f>HYPERLINK("http://141.218.60.56/~jnz1568/getInfo.php?workbook=06_02.xlsx&amp;sheet=A0&amp;row=907&amp;col=15&amp;number=107300000&amp;sourceID=32","107300000")</f>
        <v>107300000</v>
      </c>
      <c r="P907" s="4" t="str">
        <f>HYPERLINK("http://141.218.60.56/~jnz1568/getInfo.php?workbook=06_02.xlsx&amp;sheet=A0&amp;row=907&amp;col=16&amp;number=&amp;sourceID=32","")</f>
        <v/>
      </c>
      <c r="Q907" s="4" t="str">
        <f>HYPERLINK("http://141.218.60.56/~jnz1568/getInfo.php?workbook=06_02.xlsx&amp;sheet=A0&amp;row=907&amp;col=17&amp;number=&amp;sourceID=32","")</f>
        <v/>
      </c>
      <c r="R907" s="4" t="str">
        <f>HYPERLINK("http://141.218.60.56/~jnz1568/getInfo.php?workbook=06_02.xlsx&amp;sheet=A0&amp;row=907&amp;col=18&amp;number=0.001311&amp;sourceID=32","0.001311")</f>
        <v>0.001311</v>
      </c>
    </row>
    <row r="908" spans="1:18">
      <c r="A908" s="3">
        <v>6</v>
      </c>
      <c r="B908" s="3">
        <v>2</v>
      </c>
      <c r="C908" s="3">
        <v>49</v>
      </c>
      <c r="D908" s="3">
        <v>31</v>
      </c>
      <c r="E908" s="3">
        <f>((1/(INDEX(E0!J$4:J$52,C908,1)-INDEX(E0!J$4:J$52,D908,1))))*100000000</f>
        <v>0</v>
      </c>
      <c r="F908" s="4" t="str">
        <f>HYPERLINK("http://141.218.60.56/~jnz1568/getInfo.php?workbook=06_02.xlsx&amp;sheet=A0&amp;row=908&amp;col=6&amp;number=&amp;sourceID=27","")</f>
        <v/>
      </c>
      <c r="G908" s="4" t="str">
        <f>HYPERLINK("http://141.218.60.56/~jnz1568/getInfo.php?workbook=06_02.xlsx&amp;sheet=A0&amp;row=908&amp;col=7&amp;number=&amp;sourceID=34","")</f>
        <v/>
      </c>
      <c r="H908" s="4" t="str">
        <f>HYPERLINK("http://141.218.60.56/~jnz1568/getInfo.php?workbook=06_02.xlsx&amp;sheet=A0&amp;row=908&amp;col=8&amp;number=&amp;sourceID=34","")</f>
        <v/>
      </c>
      <c r="I908" s="4" t="str">
        <f>HYPERLINK("http://141.218.60.56/~jnz1568/getInfo.php?workbook=06_02.xlsx&amp;sheet=A0&amp;row=908&amp;col=9&amp;number=&amp;sourceID=34","")</f>
        <v/>
      </c>
      <c r="J908" s="4" t="str">
        <f>HYPERLINK("http://141.218.60.56/~jnz1568/getInfo.php?workbook=06_02.xlsx&amp;sheet=A0&amp;row=908&amp;col=10&amp;number=&amp;sourceID=34","")</f>
        <v/>
      </c>
      <c r="K908" s="4" t="str">
        <f>HYPERLINK("http://141.218.60.56/~jnz1568/getInfo.php?workbook=06_02.xlsx&amp;sheet=A0&amp;row=908&amp;col=11&amp;number=&amp;sourceID=30","")</f>
        <v/>
      </c>
      <c r="L908" s="4" t="str">
        <f>HYPERLINK("http://141.218.60.56/~jnz1568/getInfo.php?workbook=06_02.xlsx&amp;sheet=A0&amp;row=908&amp;col=12&amp;number=7909&amp;sourceID=30","7909")</f>
        <v>7909</v>
      </c>
      <c r="M908" s="4" t="str">
        <f>HYPERLINK("http://141.218.60.56/~jnz1568/getInfo.php?workbook=06_02.xlsx&amp;sheet=A0&amp;row=908&amp;col=13&amp;number=8.379e-06&amp;sourceID=30","8.379e-06")</f>
        <v>8.379e-06</v>
      </c>
      <c r="N908" s="4" t="str">
        <f>HYPERLINK("http://141.218.60.56/~jnz1568/getInfo.php?workbook=06_02.xlsx&amp;sheet=A0&amp;row=908&amp;col=14&amp;number=&amp;sourceID=30","")</f>
        <v/>
      </c>
      <c r="O908" s="4" t="str">
        <f>HYPERLINK("http://141.218.60.56/~jnz1568/getInfo.php?workbook=06_02.xlsx&amp;sheet=A0&amp;row=908&amp;col=15&amp;number=&amp;sourceID=32","")</f>
        <v/>
      </c>
      <c r="P908" s="4" t="str">
        <f>HYPERLINK("http://141.218.60.56/~jnz1568/getInfo.php?workbook=06_02.xlsx&amp;sheet=A0&amp;row=908&amp;col=16&amp;number=7010&amp;sourceID=32","7010")</f>
        <v>7010</v>
      </c>
      <c r="Q908" s="4" t="str">
        <f>HYPERLINK("http://141.218.60.56/~jnz1568/getInfo.php?workbook=06_02.xlsx&amp;sheet=A0&amp;row=908&amp;col=17&amp;number=6.109e-06&amp;sourceID=32","6.109e-06")</f>
        <v>6.109e-06</v>
      </c>
      <c r="R908" s="4" t="str">
        <f>HYPERLINK("http://141.218.60.56/~jnz1568/getInfo.php?workbook=06_02.xlsx&amp;sheet=A0&amp;row=908&amp;col=18&amp;number=&amp;sourceID=32","")</f>
        <v/>
      </c>
    </row>
    <row r="909" spans="1:18">
      <c r="A909" s="3">
        <v>6</v>
      </c>
      <c r="B909" s="3">
        <v>2</v>
      </c>
      <c r="C909" s="3">
        <v>49</v>
      </c>
      <c r="D909" s="3">
        <v>32</v>
      </c>
      <c r="E909" s="3">
        <f>((1/(INDEX(E0!J$4:J$52,C909,1)-INDEX(E0!J$4:J$52,D909,1))))*100000000</f>
        <v>0</v>
      </c>
      <c r="F909" s="4" t="str">
        <f>HYPERLINK("http://141.218.60.56/~jnz1568/getInfo.php?workbook=06_02.xlsx&amp;sheet=A0&amp;row=909&amp;col=6&amp;number=&amp;sourceID=27","")</f>
        <v/>
      </c>
      <c r="G909" s="4" t="str">
        <f>HYPERLINK("http://141.218.60.56/~jnz1568/getInfo.php?workbook=06_02.xlsx&amp;sheet=A0&amp;row=909&amp;col=7&amp;number=&amp;sourceID=34","")</f>
        <v/>
      </c>
      <c r="H909" s="4" t="str">
        <f>HYPERLINK("http://141.218.60.56/~jnz1568/getInfo.php?workbook=06_02.xlsx&amp;sheet=A0&amp;row=909&amp;col=8&amp;number=&amp;sourceID=34","")</f>
        <v/>
      </c>
      <c r="I909" s="4" t="str">
        <f>HYPERLINK("http://141.218.60.56/~jnz1568/getInfo.php?workbook=06_02.xlsx&amp;sheet=A0&amp;row=909&amp;col=9&amp;number=&amp;sourceID=34","")</f>
        <v/>
      </c>
      <c r="J909" s="4" t="str">
        <f>HYPERLINK("http://141.218.60.56/~jnz1568/getInfo.php?workbook=06_02.xlsx&amp;sheet=A0&amp;row=909&amp;col=10&amp;number=&amp;sourceID=34","")</f>
        <v/>
      </c>
      <c r="K909" s="4" t="str">
        <f>HYPERLINK("http://141.218.60.56/~jnz1568/getInfo.php?workbook=06_02.xlsx&amp;sheet=A0&amp;row=909&amp;col=11&amp;number=80.7&amp;sourceID=30","80.7")</f>
        <v>80.7</v>
      </c>
      <c r="L909" s="4" t="str">
        <f>HYPERLINK("http://141.218.60.56/~jnz1568/getInfo.php?workbook=06_02.xlsx&amp;sheet=A0&amp;row=909&amp;col=12&amp;number=&amp;sourceID=30","")</f>
        <v/>
      </c>
      <c r="M909" s="4" t="str">
        <f>HYPERLINK("http://141.218.60.56/~jnz1568/getInfo.php?workbook=06_02.xlsx&amp;sheet=A0&amp;row=909&amp;col=13&amp;number=&amp;sourceID=30","")</f>
        <v/>
      </c>
      <c r="N909" s="4" t="str">
        <f>HYPERLINK("http://141.218.60.56/~jnz1568/getInfo.php?workbook=06_02.xlsx&amp;sheet=A0&amp;row=909&amp;col=14&amp;number=4.011e-07&amp;sourceID=30","4.011e-07")</f>
        <v>4.011e-07</v>
      </c>
      <c r="O909" s="4" t="str">
        <f>HYPERLINK("http://141.218.60.56/~jnz1568/getInfo.php?workbook=06_02.xlsx&amp;sheet=A0&amp;row=909&amp;col=15&amp;number=79.1&amp;sourceID=32","79.1")</f>
        <v>79.1</v>
      </c>
      <c r="P909" s="4" t="str">
        <f>HYPERLINK("http://141.218.60.56/~jnz1568/getInfo.php?workbook=06_02.xlsx&amp;sheet=A0&amp;row=909&amp;col=16&amp;number=&amp;sourceID=32","")</f>
        <v/>
      </c>
      <c r="Q909" s="4" t="str">
        <f>HYPERLINK("http://141.218.60.56/~jnz1568/getInfo.php?workbook=06_02.xlsx&amp;sheet=A0&amp;row=909&amp;col=17&amp;number=&amp;sourceID=32","")</f>
        <v/>
      </c>
      <c r="R909" s="4" t="str">
        <f>HYPERLINK("http://141.218.60.56/~jnz1568/getInfo.php?workbook=06_02.xlsx&amp;sheet=A0&amp;row=909&amp;col=18&amp;number=3.089e-07&amp;sourceID=32","3.089e-07")</f>
        <v>3.089e-07</v>
      </c>
    </row>
    <row r="910" spans="1:18">
      <c r="A910" s="3">
        <v>6</v>
      </c>
      <c r="B910" s="3">
        <v>2</v>
      </c>
      <c r="C910" s="3">
        <v>49</v>
      </c>
      <c r="D910" s="3">
        <v>33</v>
      </c>
      <c r="E910" s="3">
        <f>((1/(INDEX(E0!J$4:J$52,C910,1)-INDEX(E0!J$4:J$52,D910,1))))*100000000</f>
        <v>0</v>
      </c>
      <c r="F910" s="4" t="str">
        <f>HYPERLINK("http://141.218.60.56/~jnz1568/getInfo.php?workbook=06_02.xlsx&amp;sheet=A0&amp;row=910&amp;col=6&amp;number=&amp;sourceID=27","")</f>
        <v/>
      </c>
      <c r="G910" s="4" t="str">
        <f>HYPERLINK("http://141.218.60.56/~jnz1568/getInfo.php?workbook=06_02.xlsx&amp;sheet=A0&amp;row=910&amp;col=7&amp;number=&amp;sourceID=34","")</f>
        <v/>
      </c>
      <c r="H910" s="4" t="str">
        <f>HYPERLINK("http://141.218.60.56/~jnz1568/getInfo.php?workbook=06_02.xlsx&amp;sheet=A0&amp;row=910&amp;col=8&amp;number=&amp;sourceID=34","")</f>
        <v/>
      </c>
      <c r="I910" s="4" t="str">
        <f>HYPERLINK("http://141.218.60.56/~jnz1568/getInfo.php?workbook=06_02.xlsx&amp;sheet=A0&amp;row=910&amp;col=9&amp;number=&amp;sourceID=34","")</f>
        <v/>
      </c>
      <c r="J910" s="4" t="str">
        <f>HYPERLINK("http://141.218.60.56/~jnz1568/getInfo.php?workbook=06_02.xlsx&amp;sheet=A0&amp;row=910&amp;col=10&amp;number=&amp;sourceID=34","")</f>
        <v/>
      </c>
      <c r="K910" s="4" t="str">
        <f>HYPERLINK("http://141.218.60.56/~jnz1568/getInfo.php?workbook=06_02.xlsx&amp;sheet=A0&amp;row=910&amp;col=11&amp;number=101600&amp;sourceID=30","101600")</f>
        <v>101600</v>
      </c>
      <c r="L910" s="4" t="str">
        <f>HYPERLINK("http://141.218.60.56/~jnz1568/getInfo.php?workbook=06_02.xlsx&amp;sheet=A0&amp;row=910&amp;col=12&amp;number=&amp;sourceID=30","")</f>
        <v/>
      </c>
      <c r="M910" s="4" t="str">
        <f>HYPERLINK("http://141.218.60.56/~jnz1568/getInfo.php?workbook=06_02.xlsx&amp;sheet=A0&amp;row=910&amp;col=13&amp;number=&amp;sourceID=30","")</f>
        <v/>
      </c>
      <c r="N910" s="4" t="str">
        <f>HYPERLINK("http://141.218.60.56/~jnz1568/getInfo.php?workbook=06_02.xlsx&amp;sheet=A0&amp;row=910&amp;col=14&amp;number=&amp;sourceID=30","")</f>
        <v/>
      </c>
      <c r="O910" s="4" t="str">
        <f>HYPERLINK("http://141.218.60.56/~jnz1568/getInfo.php?workbook=06_02.xlsx&amp;sheet=A0&amp;row=910&amp;col=15&amp;number=195900&amp;sourceID=32","195900")</f>
        <v>195900</v>
      </c>
      <c r="P910" s="4" t="str">
        <f>HYPERLINK("http://141.218.60.56/~jnz1568/getInfo.php?workbook=06_02.xlsx&amp;sheet=A0&amp;row=910&amp;col=16&amp;number=&amp;sourceID=32","")</f>
        <v/>
      </c>
      <c r="Q910" s="4" t="str">
        <f>HYPERLINK("http://141.218.60.56/~jnz1568/getInfo.php?workbook=06_02.xlsx&amp;sheet=A0&amp;row=910&amp;col=17&amp;number=&amp;sourceID=32","")</f>
        <v/>
      </c>
      <c r="R910" s="4" t="str">
        <f>HYPERLINK("http://141.218.60.56/~jnz1568/getInfo.php?workbook=06_02.xlsx&amp;sheet=A0&amp;row=910&amp;col=18&amp;number=&amp;sourceID=32","")</f>
        <v/>
      </c>
    </row>
    <row r="911" spans="1:18">
      <c r="A911" s="3">
        <v>6</v>
      </c>
      <c r="B911" s="3">
        <v>2</v>
      </c>
      <c r="C911" s="3">
        <v>49</v>
      </c>
      <c r="D911" s="3">
        <v>34</v>
      </c>
      <c r="E911" s="3">
        <f>((1/(INDEX(E0!J$4:J$52,C911,1)-INDEX(E0!J$4:J$52,D911,1))))*100000000</f>
        <v>0</v>
      </c>
      <c r="F911" s="4" t="str">
        <f>HYPERLINK("http://141.218.60.56/~jnz1568/getInfo.php?workbook=06_02.xlsx&amp;sheet=A0&amp;row=911&amp;col=6&amp;number=&amp;sourceID=27","")</f>
        <v/>
      </c>
      <c r="G911" s="4" t="str">
        <f>HYPERLINK("http://141.218.60.56/~jnz1568/getInfo.php?workbook=06_02.xlsx&amp;sheet=A0&amp;row=911&amp;col=7&amp;number=&amp;sourceID=34","")</f>
        <v/>
      </c>
      <c r="H911" s="4" t="str">
        <f>HYPERLINK("http://141.218.60.56/~jnz1568/getInfo.php?workbook=06_02.xlsx&amp;sheet=A0&amp;row=911&amp;col=8&amp;number=&amp;sourceID=34","")</f>
        <v/>
      </c>
      <c r="I911" s="4" t="str">
        <f>HYPERLINK("http://141.218.60.56/~jnz1568/getInfo.php?workbook=06_02.xlsx&amp;sheet=A0&amp;row=911&amp;col=9&amp;number=&amp;sourceID=34","")</f>
        <v/>
      </c>
      <c r="J911" s="4" t="str">
        <f>HYPERLINK("http://141.218.60.56/~jnz1568/getInfo.php?workbook=06_02.xlsx&amp;sheet=A0&amp;row=911&amp;col=10&amp;number=&amp;sourceID=34","")</f>
        <v/>
      </c>
      <c r="K911" s="4" t="str">
        <f>HYPERLINK("http://141.218.60.56/~jnz1568/getInfo.php?workbook=06_02.xlsx&amp;sheet=A0&amp;row=911&amp;col=11&amp;number=&amp;sourceID=30","")</f>
        <v/>
      </c>
      <c r="L911" s="4" t="str">
        <f>HYPERLINK("http://141.218.60.56/~jnz1568/getInfo.php?workbook=06_02.xlsx&amp;sheet=A0&amp;row=911&amp;col=12&amp;number=&amp;sourceID=30","")</f>
        <v/>
      </c>
      <c r="M911" s="4" t="str">
        <f>HYPERLINK("http://141.218.60.56/~jnz1568/getInfo.php?workbook=06_02.xlsx&amp;sheet=A0&amp;row=911&amp;col=13&amp;number=3.831e-06&amp;sourceID=30","3.831e-06")</f>
        <v>3.831e-06</v>
      </c>
      <c r="N911" s="4" t="str">
        <f>HYPERLINK("http://141.218.60.56/~jnz1568/getInfo.php?workbook=06_02.xlsx&amp;sheet=A0&amp;row=911&amp;col=14&amp;number=&amp;sourceID=30","")</f>
        <v/>
      </c>
      <c r="O911" s="4" t="str">
        <f>HYPERLINK("http://141.218.60.56/~jnz1568/getInfo.php?workbook=06_02.xlsx&amp;sheet=A0&amp;row=911&amp;col=15&amp;number=&amp;sourceID=32","")</f>
        <v/>
      </c>
      <c r="P911" s="4" t="str">
        <f>HYPERLINK("http://141.218.60.56/~jnz1568/getInfo.php?workbook=06_02.xlsx&amp;sheet=A0&amp;row=911&amp;col=16&amp;number=&amp;sourceID=32","")</f>
        <v/>
      </c>
      <c r="Q911" s="4" t="str">
        <f>HYPERLINK("http://141.218.60.56/~jnz1568/getInfo.php?workbook=06_02.xlsx&amp;sheet=A0&amp;row=911&amp;col=17&amp;number=3.126e-06&amp;sourceID=32","3.126e-06")</f>
        <v>3.126e-06</v>
      </c>
      <c r="R911" s="4" t="str">
        <f>HYPERLINK("http://141.218.60.56/~jnz1568/getInfo.php?workbook=06_02.xlsx&amp;sheet=A0&amp;row=911&amp;col=18&amp;number=&amp;sourceID=32","")</f>
        <v/>
      </c>
    </row>
    <row r="912" spans="1:18">
      <c r="A912" s="3">
        <v>6</v>
      </c>
      <c r="B912" s="3">
        <v>2</v>
      </c>
      <c r="C912" s="3">
        <v>49</v>
      </c>
      <c r="D912" s="3">
        <v>35</v>
      </c>
      <c r="E912" s="3">
        <f>((1/(INDEX(E0!J$4:J$52,C912,1)-INDEX(E0!J$4:J$52,D912,1))))*100000000</f>
        <v>0</v>
      </c>
      <c r="F912" s="4" t="str">
        <f>HYPERLINK("http://141.218.60.56/~jnz1568/getInfo.php?workbook=06_02.xlsx&amp;sheet=A0&amp;row=912&amp;col=6&amp;number=&amp;sourceID=27","")</f>
        <v/>
      </c>
      <c r="G912" s="4" t="str">
        <f>HYPERLINK("http://141.218.60.56/~jnz1568/getInfo.php?workbook=06_02.xlsx&amp;sheet=A0&amp;row=912&amp;col=7&amp;number=&amp;sourceID=34","")</f>
        <v/>
      </c>
      <c r="H912" s="4" t="str">
        <f>HYPERLINK("http://141.218.60.56/~jnz1568/getInfo.php?workbook=06_02.xlsx&amp;sheet=A0&amp;row=912&amp;col=8&amp;number=&amp;sourceID=34","")</f>
        <v/>
      </c>
      <c r="I912" s="4" t="str">
        <f>HYPERLINK("http://141.218.60.56/~jnz1568/getInfo.php?workbook=06_02.xlsx&amp;sheet=A0&amp;row=912&amp;col=9&amp;number=&amp;sourceID=34","")</f>
        <v/>
      </c>
      <c r="J912" s="4" t="str">
        <f>HYPERLINK("http://141.218.60.56/~jnz1568/getInfo.php?workbook=06_02.xlsx&amp;sheet=A0&amp;row=912&amp;col=10&amp;number=&amp;sourceID=34","")</f>
        <v/>
      </c>
      <c r="K912" s="4" t="str">
        <f>HYPERLINK("http://141.218.60.56/~jnz1568/getInfo.php?workbook=06_02.xlsx&amp;sheet=A0&amp;row=912&amp;col=11&amp;number=&amp;sourceID=30","")</f>
        <v/>
      </c>
      <c r="L912" s="4" t="str">
        <f>HYPERLINK("http://141.218.60.56/~jnz1568/getInfo.php?workbook=06_02.xlsx&amp;sheet=A0&amp;row=912&amp;col=12&amp;number=2.218e-07&amp;sourceID=30","2.218e-07")</f>
        <v>2.218e-07</v>
      </c>
      <c r="M912" s="4" t="str">
        <f>HYPERLINK("http://141.218.60.56/~jnz1568/getInfo.php?workbook=06_02.xlsx&amp;sheet=A0&amp;row=912&amp;col=13&amp;number=3.349e-06&amp;sourceID=30","3.349e-06")</f>
        <v>3.349e-06</v>
      </c>
      <c r="N912" s="4" t="str">
        <f>HYPERLINK("http://141.218.60.56/~jnz1568/getInfo.php?workbook=06_02.xlsx&amp;sheet=A0&amp;row=912&amp;col=14&amp;number=&amp;sourceID=30","")</f>
        <v/>
      </c>
      <c r="O912" s="4" t="str">
        <f>HYPERLINK("http://141.218.60.56/~jnz1568/getInfo.php?workbook=06_02.xlsx&amp;sheet=A0&amp;row=912&amp;col=15&amp;number=&amp;sourceID=32","")</f>
        <v/>
      </c>
      <c r="P912" s="4" t="str">
        <f>HYPERLINK("http://141.218.60.56/~jnz1568/getInfo.php?workbook=06_02.xlsx&amp;sheet=A0&amp;row=912&amp;col=16&amp;number=1.499e-07&amp;sourceID=32","1.499e-07")</f>
        <v>1.499e-07</v>
      </c>
      <c r="Q912" s="4" t="str">
        <f>HYPERLINK("http://141.218.60.56/~jnz1568/getInfo.php?workbook=06_02.xlsx&amp;sheet=A0&amp;row=912&amp;col=17&amp;number=2.694e-06&amp;sourceID=32","2.694e-06")</f>
        <v>2.694e-06</v>
      </c>
      <c r="R912" s="4" t="str">
        <f>HYPERLINK("http://141.218.60.56/~jnz1568/getInfo.php?workbook=06_02.xlsx&amp;sheet=A0&amp;row=912&amp;col=18&amp;number=&amp;sourceID=32","")</f>
        <v/>
      </c>
    </row>
    <row r="913" spans="1:18">
      <c r="A913" s="3">
        <v>6</v>
      </c>
      <c r="B913" s="3">
        <v>2</v>
      </c>
      <c r="C913" s="3">
        <v>49</v>
      </c>
      <c r="D913" s="3">
        <v>36</v>
      </c>
      <c r="E913" s="3">
        <f>((1/(INDEX(E0!J$4:J$52,C913,1)-INDEX(E0!J$4:J$52,D913,1))))*100000000</f>
        <v>0</v>
      </c>
      <c r="F913" s="4" t="str">
        <f>HYPERLINK("http://141.218.60.56/~jnz1568/getInfo.php?workbook=06_02.xlsx&amp;sheet=A0&amp;row=913&amp;col=6&amp;number=&amp;sourceID=27","")</f>
        <v/>
      </c>
      <c r="G913" s="4" t="str">
        <f>HYPERLINK("http://141.218.60.56/~jnz1568/getInfo.php?workbook=06_02.xlsx&amp;sheet=A0&amp;row=913&amp;col=7&amp;number=&amp;sourceID=34","")</f>
        <v/>
      </c>
      <c r="H913" s="4" t="str">
        <f>HYPERLINK("http://141.218.60.56/~jnz1568/getInfo.php?workbook=06_02.xlsx&amp;sheet=A0&amp;row=913&amp;col=8&amp;number=&amp;sourceID=34","")</f>
        <v/>
      </c>
      <c r="I913" s="4" t="str">
        <f>HYPERLINK("http://141.218.60.56/~jnz1568/getInfo.php?workbook=06_02.xlsx&amp;sheet=A0&amp;row=913&amp;col=9&amp;number=&amp;sourceID=34","")</f>
        <v/>
      </c>
      <c r="J913" s="4" t="str">
        <f>HYPERLINK("http://141.218.60.56/~jnz1568/getInfo.php?workbook=06_02.xlsx&amp;sheet=A0&amp;row=913&amp;col=10&amp;number=&amp;sourceID=34","")</f>
        <v/>
      </c>
      <c r="K913" s="4" t="str">
        <f>HYPERLINK("http://141.218.60.56/~jnz1568/getInfo.php?workbook=06_02.xlsx&amp;sheet=A0&amp;row=913&amp;col=11&amp;number=&amp;sourceID=30","")</f>
        <v/>
      </c>
      <c r="L913" s="4" t="str">
        <f>HYPERLINK("http://141.218.60.56/~jnz1568/getInfo.php?workbook=06_02.xlsx&amp;sheet=A0&amp;row=913&amp;col=12&amp;number=7.67e-08&amp;sourceID=30","7.67e-08")</f>
        <v>7.67e-08</v>
      </c>
      <c r="M913" s="4" t="str">
        <f>HYPERLINK("http://141.218.60.56/~jnz1568/getInfo.php?workbook=06_02.xlsx&amp;sheet=A0&amp;row=913&amp;col=13&amp;number=2.791e-06&amp;sourceID=30","2.791e-06")</f>
        <v>2.791e-06</v>
      </c>
      <c r="N913" s="4" t="str">
        <f>HYPERLINK("http://141.218.60.56/~jnz1568/getInfo.php?workbook=06_02.xlsx&amp;sheet=A0&amp;row=913&amp;col=14&amp;number=&amp;sourceID=30","")</f>
        <v/>
      </c>
      <c r="O913" s="4" t="str">
        <f>HYPERLINK("http://141.218.60.56/~jnz1568/getInfo.php?workbook=06_02.xlsx&amp;sheet=A0&amp;row=913&amp;col=15&amp;number=&amp;sourceID=32","")</f>
        <v/>
      </c>
      <c r="P913" s="4" t="str">
        <f>HYPERLINK("http://141.218.60.56/~jnz1568/getInfo.php?workbook=06_02.xlsx&amp;sheet=A0&amp;row=913&amp;col=16&amp;number=4.826e-08&amp;sourceID=32","4.826e-08")</f>
        <v>4.826e-08</v>
      </c>
      <c r="Q913" s="4" t="str">
        <f>HYPERLINK("http://141.218.60.56/~jnz1568/getInfo.php?workbook=06_02.xlsx&amp;sheet=A0&amp;row=913&amp;col=17&amp;number=2.346e-06&amp;sourceID=32","2.346e-06")</f>
        <v>2.346e-06</v>
      </c>
      <c r="R913" s="4" t="str">
        <f>HYPERLINK("http://141.218.60.56/~jnz1568/getInfo.php?workbook=06_02.xlsx&amp;sheet=A0&amp;row=913&amp;col=18&amp;number=&amp;sourceID=32","")</f>
        <v/>
      </c>
    </row>
    <row r="914" spans="1:18">
      <c r="A914" s="3">
        <v>6</v>
      </c>
      <c r="B914" s="3">
        <v>2</v>
      </c>
      <c r="C914" s="3">
        <v>49</v>
      </c>
      <c r="D914" s="3">
        <v>37</v>
      </c>
      <c r="E914" s="3">
        <f>((1/(INDEX(E0!J$4:J$52,C914,1)-INDEX(E0!J$4:J$52,D914,1))))*100000000</f>
        <v>0</v>
      </c>
      <c r="F914" s="4" t="str">
        <f>HYPERLINK("http://141.218.60.56/~jnz1568/getInfo.php?workbook=06_02.xlsx&amp;sheet=A0&amp;row=914&amp;col=6&amp;number=&amp;sourceID=27","")</f>
        <v/>
      </c>
      <c r="G914" s="4" t="str">
        <f>HYPERLINK("http://141.218.60.56/~jnz1568/getInfo.php?workbook=06_02.xlsx&amp;sheet=A0&amp;row=914&amp;col=7&amp;number=&amp;sourceID=34","")</f>
        <v/>
      </c>
      <c r="H914" s="4" t="str">
        <f>HYPERLINK("http://141.218.60.56/~jnz1568/getInfo.php?workbook=06_02.xlsx&amp;sheet=A0&amp;row=914&amp;col=8&amp;number=&amp;sourceID=34","")</f>
        <v/>
      </c>
      <c r="I914" s="4" t="str">
        <f>HYPERLINK("http://141.218.60.56/~jnz1568/getInfo.php?workbook=06_02.xlsx&amp;sheet=A0&amp;row=914&amp;col=9&amp;number=&amp;sourceID=34","")</f>
        <v/>
      </c>
      <c r="J914" s="4" t="str">
        <f>HYPERLINK("http://141.218.60.56/~jnz1568/getInfo.php?workbook=06_02.xlsx&amp;sheet=A0&amp;row=914&amp;col=10&amp;number=&amp;sourceID=34","")</f>
        <v/>
      </c>
      <c r="K914" s="4" t="str">
        <f>HYPERLINK("http://141.218.60.56/~jnz1568/getInfo.php?workbook=06_02.xlsx&amp;sheet=A0&amp;row=914&amp;col=11&amp;number=0.1529&amp;sourceID=30","0.1529")</f>
        <v>0.1529</v>
      </c>
      <c r="L914" s="4" t="str">
        <f>HYPERLINK("http://141.218.60.56/~jnz1568/getInfo.php?workbook=06_02.xlsx&amp;sheet=A0&amp;row=914&amp;col=12&amp;number=&amp;sourceID=30","")</f>
        <v/>
      </c>
      <c r="M914" s="4" t="str">
        <f>HYPERLINK("http://141.218.60.56/~jnz1568/getInfo.php?workbook=06_02.xlsx&amp;sheet=A0&amp;row=914&amp;col=13&amp;number=&amp;sourceID=30","")</f>
        <v/>
      </c>
      <c r="N914" s="4" t="str">
        <f>HYPERLINK("http://141.218.60.56/~jnz1568/getInfo.php?workbook=06_02.xlsx&amp;sheet=A0&amp;row=914&amp;col=14&amp;number=7.98e-13&amp;sourceID=30","7.98e-13")</f>
        <v>7.98e-13</v>
      </c>
      <c r="O914" s="4" t="str">
        <f>HYPERLINK("http://141.218.60.56/~jnz1568/getInfo.php?workbook=06_02.xlsx&amp;sheet=A0&amp;row=914&amp;col=15&amp;number=0.04415&amp;sourceID=32","0.04415")</f>
        <v>0.04415</v>
      </c>
      <c r="P914" s="4" t="str">
        <f>HYPERLINK("http://141.218.60.56/~jnz1568/getInfo.php?workbook=06_02.xlsx&amp;sheet=A0&amp;row=914&amp;col=16&amp;number=&amp;sourceID=32","")</f>
        <v/>
      </c>
      <c r="Q914" s="4" t="str">
        <f>HYPERLINK("http://141.218.60.56/~jnz1568/getInfo.php?workbook=06_02.xlsx&amp;sheet=A0&amp;row=914&amp;col=17&amp;number=&amp;sourceID=32","")</f>
        <v/>
      </c>
      <c r="R914" s="4" t="str">
        <f>HYPERLINK("http://141.218.60.56/~jnz1568/getInfo.php?workbook=06_02.xlsx&amp;sheet=A0&amp;row=914&amp;col=18&amp;number=7.8e-14&amp;sourceID=32","7.8e-14")</f>
        <v>7.8e-14</v>
      </c>
    </row>
    <row r="915" spans="1:18">
      <c r="A915" s="3">
        <v>6</v>
      </c>
      <c r="B915" s="3">
        <v>2</v>
      </c>
      <c r="C915" s="3">
        <v>49</v>
      </c>
      <c r="D915" s="3">
        <v>38</v>
      </c>
      <c r="E915" s="3">
        <f>((1/(INDEX(E0!J$4:J$52,C915,1)-INDEX(E0!J$4:J$52,D915,1))))*100000000</f>
        <v>0</v>
      </c>
      <c r="F915" s="4" t="str">
        <f>HYPERLINK("http://141.218.60.56/~jnz1568/getInfo.php?workbook=06_02.xlsx&amp;sheet=A0&amp;row=915&amp;col=6&amp;number=&amp;sourceID=27","")</f>
        <v/>
      </c>
      <c r="G915" s="4" t="str">
        <f>HYPERLINK("http://141.218.60.56/~jnz1568/getInfo.php?workbook=06_02.xlsx&amp;sheet=A0&amp;row=915&amp;col=7&amp;number=&amp;sourceID=34","")</f>
        <v/>
      </c>
      <c r="H915" s="4" t="str">
        <f>HYPERLINK("http://141.218.60.56/~jnz1568/getInfo.php?workbook=06_02.xlsx&amp;sheet=A0&amp;row=915&amp;col=8&amp;number=&amp;sourceID=34","")</f>
        <v/>
      </c>
      <c r="I915" s="4" t="str">
        <f>HYPERLINK("http://141.218.60.56/~jnz1568/getInfo.php?workbook=06_02.xlsx&amp;sheet=A0&amp;row=915&amp;col=9&amp;number=&amp;sourceID=34","")</f>
        <v/>
      </c>
      <c r="J915" s="4" t="str">
        <f>HYPERLINK("http://141.218.60.56/~jnz1568/getInfo.php?workbook=06_02.xlsx&amp;sheet=A0&amp;row=915&amp;col=10&amp;number=&amp;sourceID=34","")</f>
        <v/>
      </c>
      <c r="K915" s="4" t="str">
        <f>HYPERLINK("http://141.218.60.56/~jnz1568/getInfo.php?workbook=06_02.xlsx&amp;sheet=A0&amp;row=915&amp;col=11&amp;number=26.13&amp;sourceID=30","26.13")</f>
        <v>26.13</v>
      </c>
      <c r="L915" s="4" t="str">
        <f>HYPERLINK("http://141.218.60.56/~jnz1568/getInfo.php?workbook=06_02.xlsx&amp;sheet=A0&amp;row=915&amp;col=12&amp;number=&amp;sourceID=30","")</f>
        <v/>
      </c>
      <c r="M915" s="4" t="str">
        <f>HYPERLINK("http://141.218.60.56/~jnz1568/getInfo.php?workbook=06_02.xlsx&amp;sheet=A0&amp;row=915&amp;col=13&amp;number=&amp;sourceID=30","")</f>
        <v/>
      </c>
      <c r="N915" s="4" t="str">
        <f>HYPERLINK("http://141.218.60.56/~jnz1568/getInfo.php?workbook=06_02.xlsx&amp;sheet=A0&amp;row=915&amp;col=14&amp;number=1.086e-11&amp;sourceID=30","1.086e-11")</f>
        <v>1.086e-11</v>
      </c>
      <c r="O915" s="4" t="str">
        <f>HYPERLINK("http://141.218.60.56/~jnz1568/getInfo.php?workbook=06_02.xlsx&amp;sheet=A0&amp;row=915&amp;col=15&amp;number=9.16&amp;sourceID=32","9.16")</f>
        <v>9.16</v>
      </c>
      <c r="P915" s="4" t="str">
        <f>HYPERLINK("http://141.218.60.56/~jnz1568/getInfo.php?workbook=06_02.xlsx&amp;sheet=A0&amp;row=915&amp;col=16&amp;number=&amp;sourceID=32","")</f>
        <v/>
      </c>
      <c r="Q915" s="4" t="str">
        <f>HYPERLINK("http://141.218.60.56/~jnz1568/getInfo.php?workbook=06_02.xlsx&amp;sheet=A0&amp;row=915&amp;col=17&amp;number=&amp;sourceID=32","")</f>
        <v/>
      </c>
      <c r="R915" s="4" t="str">
        <f>HYPERLINK("http://141.218.60.56/~jnz1568/getInfo.php?workbook=06_02.xlsx&amp;sheet=A0&amp;row=915&amp;col=18&amp;number=1.041e-12&amp;sourceID=32","1.041e-12")</f>
        <v>1.041e-12</v>
      </c>
    </row>
    <row r="916" spans="1:18">
      <c r="A916" s="3">
        <v>6</v>
      </c>
      <c r="B916" s="3">
        <v>2</v>
      </c>
      <c r="C916" s="3">
        <v>49</v>
      </c>
      <c r="D916" s="3">
        <v>39</v>
      </c>
      <c r="E916" s="3">
        <f>((1/(INDEX(E0!J$4:J$52,C916,1)-INDEX(E0!J$4:J$52,D916,1))))*100000000</f>
        <v>0</v>
      </c>
      <c r="F916" s="4" t="str">
        <f>HYPERLINK("http://141.218.60.56/~jnz1568/getInfo.php?workbook=06_02.xlsx&amp;sheet=A0&amp;row=916&amp;col=6&amp;number=&amp;sourceID=27","")</f>
        <v/>
      </c>
      <c r="G916" s="4" t="str">
        <f>HYPERLINK("http://141.218.60.56/~jnz1568/getInfo.php?workbook=06_02.xlsx&amp;sheet=A0&amp;row=916&amp;col=7&amp;number=&amp;sourceID=34","")</f>
        <v/>
      </c>
      <c r="H916" s="4" t="str">
        <f>HYPERLINK("http://141.218.60.56/~jnz1568/getInfo.php?workbook=06_02.xlsx&amp;sheet=A0&amp;row=916&amp;col=8&amp;number=&amp;sourceID=34","")</f>
        <v/>
      </c>
      <c r="I916" s="4" t="str">
        <f>HYPERLINK("http://141.218.60.56/~jnz1568/getInfo.php?workbook=06_02.xlsx&amp;sheet=A0&amp;row=916&amp;col=9&amp;number=&amp;sourceID=34","")</f>
        <v/>
      </c>
      <c r="J916" s="4" t="str">
        <f>HYPERLINK("http://141.218.60.56/~jnz1568/getInfo.php?workbook=06_02.xlsx&amp;sheet=A0&amp;row=916&amp;col=10&amp;number=&amp;sourceID=34","")</f>
        <v/>
      </c>
      <c r="K916" s="4" t="str">
        <f>HYPERLINK("http://141.218.60.56/~jnz1568/getInfo.php?workbook=06_02.xlsx&amp;sheet=A0&amp;row=916&amp;col=11&amp;number=&amp;sourceID=30","")</f>
        <v/>
      </c>
      <c r="L916" s="4" t="str">
        <f>HYPERLINK("http://141.218.60.56/~jnz1568/getInfo.php?workbook=06_02.xlsx&amp;sheet=A0&amp;row=916&amp;col=12&amp;number=&amp;sourceID=30","")</f>
        <v/>
      </c>
      <c r="M916" s="4" t="str">
        <f>HYPERLINK("http://141.218.60.56/~jnz1568/getInfo.php?workbook=06_02.xlsx&amp;sheet=A0&amp;row=916&amp;col=13&amp;number=&amp;sourceID=30","")</f>
        <v/>
      </c>
      <c r="N916" s="4" t="str">
        <f>HYPERLINK("http://141.218.60.56/~jnz1568/getInfo.php?workbook=06_02.xlsx&amp;sheet=A0&amp;row=916&amp;col=14&amp;number=6.678e-11&amp;sourceID=30","6.678e-11")</f>
        <v>6.678e-11</v>
      </c>
      <c r="O916" s="4" t="str">
        <f>HYPERLINK("http://141.218.60.56/~jnz1568/getInfo.php?workbook=06_02.xlsx&amp;sheet=A0&amp;row=916&amp;col=15&amp;number=&amp;sourceID=32","")</f>
        <v/>
      </c>
      <c r="P916" s="4" t="str">
        <f>HYPERLINK("http://141.218.60.56/~jnz1568/getInfo.php?workbook=06_02.xlsx&amp;sheet=A0&amp;row=916&amp;col=16&amp;number=&amp;sourceID=32","")</f>
        <v/>
      </c>
      <c r="Q916" s="4" t="str">
        <f>HYPERLINK("http://141.218.60.56/~jnz1568/getInfo.php?workbook=06_02.xlsx&amp;sheet=A0&amp;row=916&amp;col=17&amp;number=&amp;sourceID=32","")</f>
        <v/>
      </c>
      <c r="R916" s="4" t="str">
        <f>HYPERLINK("http://141.218.60.56/~jnz1568/getInfo.php?workbook=06_02.xlsx&amp;sheet=A0&amp;row=916&amp;col=18&amp;number=6.476e-12&amp;sourceID=32","6.476e-12")</f>
        <v>6.476e-12</v>
      </c>
    </row>
    <row r="917" spans="1:18">
      <c r="A917" s="3">
        <v>6</v>
      </c>
      <c r="B917" s="3">
        <v>2</v>
      </c>
      <c r="C917" s="3">
        <v>49</v>
      </c>
      <c r="D917" s="3">
        <v>40</v>
      </c>
      <c r="E917" s="3">
        <f>((1/(INDEX(E0!J$4:J$52,C917,1)-INDEX(E0!J$4:J$52,D917,1))))*100000000</f>
        <v>0</v>
      </c>
      <c r="F917" s="4" t="str">
        <f>HYPERLINK("http://141.218.60.56/~jnz1568/getInfo.php?workbook=06_02.xlsx&amp;sheet=A0&amp;row=917&amp;col=6&amp;number=&amp;sourceID=27","")</f>
        <v/>
      </c>
      <c r="G917" s="4" t="str">
        <f>HYPERLINK("http://141.218.60.56/~jnz1568/getInfo.php?workbook=06_02.xlsx&amp;sheet=A0&amp;row=917&amp;col=7&amp;number=&amp;sourceID=34","")</f>
        <v/>
      </c>
      <c r="H917" s="4" t="str">
        <f>HYPERLINK("http://141.218.60.56/~jnz1568/getInfo.php?workbook=06_02.xlsx&amp;sheet=A0&amp;row=917&amp;col=8&amp;number=&amp;sourceID=34","")</f>
        <v/>
      </c>
      <c r="I917" s="4" t="str">
        <f>HYPERLINK("http://141.218.60.56/~jnz1568/getInfo.php?workbook=06_02.xlsx&amp;sheet=A0&amp;row=917&amp;col=9&amp;number=&amp;sourceID=34","")</f>
        <v/>
      </c>
      <c r="J917" s="4" t="str">
        <f>HYPERLINK("http://141.218.60.56/~jnz1568/getInfo.php?workbook=06_02.xlsx&amp;sheet=A0&amp;row=917&amp;col=10&amp;number=&amp;sourceID=34","")</f>
        <v/>
      </c>
      <c r="K917" s="4" t="str">
        <f>HYPERLINK("http://141.218.60.56/~jnz1568/getInfo.php?workbook=06_02.xlsx&amp;sheet=A0&amp;row=917&amp;col=11&amp;number=&amp;sourceID=30","")</f>
        <v/>
      </c>
      <c r="L917" s="4" t="str">
        <f>HYPERLINK("http://141.218.60.56/~jnz1568/getInfo.php?workbook=06_02.xlsx&amp;sheet=A0&amp;row=917&amp;col=12&amp;number=1.449e-10&amp;sourceID=30","1.449e-10")</f>
        <v>1.449e-10</v>
      </c>
      <c r="M917" s="4" t="str">
        <f>HYPERLINK("http://141.218.60.56/~jnz1568/getInfo.php?workbook=06_02.xlsx&amp;sheet=A0&amp;row=917&amp;col=13&amp;number=4.5e-14&amp;sourceID=30","4.5e-14")</f>
        <v>4.5e-14</v>
      </c>
      <c r="N917" s="4" t="str">
        <f>HYPERLINK("http://141.218.60.56/~jnz1568/getInfo.php?workbook=06_02.xlsx&amp;sheet=A0&amp;row=917&amp;col=14&amp;number=&amp;sourceID=30","")</f>
        <v/>
      </c>
      <c r="O917" s="4" t="str">
        <f>HYPERLINK("http://141.218.60.56/~jnz1568/getInfo.php?workbook=06_02.xlsx&amp;sheet=A0&amp;row=917&amp;col=15&amp;number=&amp;sourceID=32","")</f>
        <v/>
      </c>
      <c r="P917" s="4" t="str">
        <f>HYPERLINK("http://141.218.60.56/~jnz1568/getInfo.php?workbook=06_02.xlsx&amp;sheet=A0&amp;row=917&amp;col=16&amp;number=1.037e-11&amp;sourceID=32","1.037e-11")</f>
        <v>1.037e-11</v>
      </c>
      <c r="Q917" s="4" t="str">
        <f>HYPERLINK("http://141.218.60.56/~jnz1568/getInfo.php?workbook=06_02.xlsx&amp;sheet=A0&amp;row=917&amp;col=17&amp;number=9e-15&amp;sourceID=32","9e-15")</f>
        <v>9e-15</v>
      </c>
      <c r="R917" s="4" t="str">
        <f>HYPERLINK("http://141.218.60.56/~jnz1568/getInfo.php?workbook=06_02.xlsx&amp;sheet=A0&amp;row=917&amp;col=18&amp;number=&amp;sourceID=32","")</f>
        <v/>
      </c>
    </row>
    <row r="918" spans="1:18">
      <c r="A918" s="3">
        <v>6</v>
      </c>
      <c r="B918" s="3">
        <v>2</v>
      </c>
      <c r="C918" s="3">
        <v>49</v>
      </c>
      <c r="D918" s="3">
        <v>41</v>
      </c>
      <c r="E918" s="3">
        <f>((1/(INDEX(E0!J$4:J$52,C918,1)-INDEX(E0!J$4:J$52,D918,1))))*100000000</f>
        <v>0</v>
      </c>
      <c r="F918" s="4" t="str">
        <f>HYPERLINK("http://141.218.60.56/~jnz1568/getInfo.php?workbook=06_02.xlsx&amp;sheet=A0&amp;row=918&amp;col=6&amp;number=&amp;sourceID=27","")</f>
        <v/>
      </c>
      <c r="G918" s="4" t="str">
        <f>HYPERLINK("http://141.218.60.56/~jnz1568/getInfo.php?workbook=06_02.xlsx&amp;sheet=A0&amp;row=918&amp;col=7&amp;number=&amp;sourceID=34","")</f>
        <v/>
      </c>
      <c r="H918" s="4" t="str">
        <f>HYPERLINK("http://141.218.60.56/~jnz1568/getInfo.php?workbook=06_02.xlsx&amp;sheet=A0&amp;row=918&amp;col=8&amp;number=&amp;sourceID=34","")</f>
        <v/>
      </c>
      <c r="I918" s="4" t="str">
        <f>HYPERLINK("http://141.218.60.56/~jnz1568/getInfo.php?workbook=06_02.xlsx&amp;sheet=A0&amp;row=918&amp;col=9&amp;number=&amp;sourceID=34","")</f>
        <v/>
      </c>
      <c r="J918" s="4" t="str">
        <f>HYPERLINK("http://141.218.60.56/~jnz1568/getInfo.php?workbook=06_02.xlsx&amp;sheet=A0&amp;row=918&amp;col=10&amp;number=&amp;sourceID=34","")</f>
        <v/>
      </c>
      <c r="K918" s="4" t="str">
        <f>HYPERLINK("http://141.218.60.56/~jnz1568/getInfo.php?workbook=06_02.xlsx&amp;sheet=A0&amp;row=918&amp;col=11&amp;number=&amp;sourceID=30","")</f>
        <v/>
      </c>
      <c r="L918" s="4" t="str">
        <f>HYPERLINK("http://141.218.60.56/~jnz1568/getInfo.php?workbook=06_02.xlsx&amp;sheet=A0&amp;row=918&amp;col=12&amp;number=4.416e-06&amp;sourceID=30","4.416e-06")</f>
        <v>4.416e-06</v>
      </c>
      <c r="M918" s="4" t="str">
        <f>HYPERLINK("http://141.218.60.56/~jnz1568/getInfo.php?workbook=06_02.xlsx&amp;sheet=A0&amp;row=918&amp;col=13&amp;number=&amp;sourceID=30","")</f>
        <v/>
      </c>
      <c r="N918" s="4" t="str">
        <f>HYPERLINK("http://141.218.60.56/~jnz1568/getInfo.php?workbook=06_02.xlsx&amp;sheet=A0&amp;row=918&amp;col=14&amp;number=&amp;sourceID=30","")</f>
        <v/>
      </c>
      <c r="O918" s="4" t="str">
        <f>HYPERLINK("http://141.218.60.56/~jnz1568/getInfo.php?workbook=06_02.xlsx&amp;sheet=A0&amp;row=918&amp;col=15&amp;number=&amp;sourceID=32","")</f>
        <v/>
      </c>
      <c r="P918" s="4" t="str">
        <f>HYPERLINK("http://141.218.60.56/~jnz1568/getInfo.php?workbook=06_02.xlsx&amp;sheet=A0&amp;row=918&amp;col=16&amp;number=6.465e-07&amp;sourceID=32","6.465e-07")</f>
        <v>6.465e-07</v>
      </c>
      <c r="Q918" s="4" t="str">
        <f>HYPERLINK("http://141.218.60.56/~jnz1568/getInfo.php?workbook=06_02.xlsx&amp;sheet=A0&amp;row=918&amp;col=17&amp;number=&amp;sourceID=32","")</f>
        <v/>
      </c>
      <c r="R918" s="4" t="str">
        <f>HYPERLINK("http://141.218.60.56/~jnz1568/getInfo.php?workbook=06_02.xlsx&amp;sheet=A0&amp;row=918&amp;col=18&amp;number=&amp;sourceID=32","")</f>
        <v/>
      </c>
    </row>
    <row r="919" spans="1:18">
      <c r="A919" s="3">
        <v>6</v>
      </c>
      <c r="B919" s="3">
        <v>2</v>
      </c>
      <c r="C919" s="3">
        <v>49</v>
      </c>
      <c r="D919" s="3">
        <v>43</v>
      </c>
      <c r="E919" s="3">
        <f>((1/(INDEX(E0!J$4:J$52,C919,1)-INDEX(E0!J$4:J$52,D919,1))))*100000000</f>
        <v>0</v>
      </c>
      <c r="F919" s="4" t="str">
        <f>HYPERLINK("http://141.218.60.56/~jnz1568/getInfo.php?workbook=06_02.xlsx&amp;sheet=A0&amp;row=919&amp;col=6&amp;number=&amp;sourceID=27","")</f>
        <v/>
      </c>
      <c r="G919" s="4" t="str">
        <f>HYPERLINK("http://141.218.60.56/~jnz1568/getInfo.php?workbook=06_02.xlsx&amp;sheet=A0&amp;row=919&amp;col=7&amp;number=&amp;sourceID=34","")</f>
        <v/>
      </c>
      <c r="H919" s="4" t="str">
        <f>HYPERLINK("http://141.218.60.56/~jnz1568/getInfo.php?workbook=06_02.xlsx&amp;sheet=A0&amp;row=919&amp;col=8&amp;number=&amp;sourceID=34","")</f>
        <v/>
      </c>
      <c r="I919" s="4" t="str">
        <f>HYPERLINK("http://141.218.60.56/~jnz1568/getInfo.php?workbook=06_02.xlsx&amp;sheet=A0&amp;row=919&amp;col=9&amp;number=&amp;sourceID=34","")</f>
        <v/>
      </c>
      <c r="J919" s="4" t="str">
        <f>HYPERLINK("http://141.218.60.56/~jnz1568/getInfo.php?workbook=06_02.xlsx&amp;sheet=A0&amp;row=919&amp;col=10&amp;number=&amp;sourceID=34","")</f>
        <v/>
      </c>
      <c r="K919" s="4" t="str">
        <f>HYPERLINK("http://141.218.60.56/~jnz1568/getInfo.php?workbook=06_02.xlsx&amp;sheet=A0&amp;row=919&amp;col=11&amp;number=&amp;sourceID=30","")</f>
        <v/>
      </c>
      <c r="L919" s="4" t="str">
        <f>HYPERLINK("http://141.218.60.56/~jnz1568/getInfo.php?workbook=06_02.xlsx&amp;sheet=A0&amp;row=919&amp;col=12&amp;number=1.095e-05&amp;sourceID=30","1.095e-05")</f>
        <v>1.095e-05</v>
      </c>
      <c r="M919" s="4" t="str">
        <f>HYPERLINK("http://141.218.60.56/~jnz1568/getInfo.php?workbook=06_02.xlsx&amp;sheet=A0&amp;row=919&amp;col=13&amp;number=&amp;sourceID=30","")</f>
        <v/>
      </c>
      <c r="N919" s="4" t="str">
        <f>HYPERLINK("http://141.218.60.56/~jnz1568/getInfo.php?workbook=06_02.xlsx&amp;sheet=A0&amp;row=919&amp;col=14&amp;number=&amp;sourceID=30","")</f>
        <v/>
      </c>
      <c r="O919" s="4" t="str">
        <f>HYPERLINK("http://141.218.60.56/~jnz1568/getInfo.php?workbook=06_02.xlsx&amp;sheet=A0&amp;row=919&amp;col=15&amp;number=&amp;sourceID=32","")</f>
        <v/>
      </c>
      <c r="P919" s="4" t="str">
        <f>HYPERLINK("http://141.218.60.56/~jnz1568/getInfo.php?workbook=06_02.xlsx&amp;sheet=A0&amp;row=919&amp;col=16&amp;number=3.037e-07&amp;sourceID=32","3.037e-07")</f>
        <v>3.037e-07</v>
      </c>
      <c r="Q919" s="4" t="str">
        <f>HYPERLINK("http://141.218.60.56/~jnz1568/getInfo.php?workbook=06_02.xlsx&amp;sheet=A0&amp;row=919&amp;col=17&amp;number=&amp;sourceID=32","")</f>
        <v/>
      </c>
      <c r="R919" s="4" t="str">
        <f>HYPERLINK("http://141.218.60.56/~jnz1568/getInfo.php?workbook=06_02.xlsx&amp;sheet=A0&amp;row=919&amp;col=18&amp;number=&amp;sourceID=32","")</f>
        <v/>
      </c>
    </row>
    <row r="920" spans="1:18">
      <c r="A920" s="3">
        <v>6</v>
      </c>
      <c r="B920" s="3">
        <v>2</v>
      </c>
      <c r="C920" s="3">
        <v>49</v>
      </c>
      <c r="D920" s="3">
        <v>44</v>
      </c>
      <c r="E920" s="3">
        <f>((1/(INDEX(E0!J$4:J$52,C920,1)-INDEX(E0!J$4:J$52,D920,1))))*100000000</f>
        <v>0</v>
      </c>
      <c r="F920" s="4" t="str">
        <f>HYPERLINK("http://141.218.60.56/~jnz1568/getInfo.php?workbook=06_02.xlsx&amp;sheet=A0&amp;row=920&amp;col=6&amp;number=&amp;sourceID=27","")</f>
        <v/>
      </c>
      <c r="G920" s="4" t="str">
        <f>HYPERLINK("http://141.218.60.56/~jnz1568/getInfo.php?workbook=06_02.xlsx&amp;sheet=A0&amp;row=920&amp;col=7&amp;number=&amp;sourceID=34","")</f>
        <v/>
      </c>
      <c r="H920" s="4" t="str">
        <f>HYPERLINK("http://141.218.60.56/~jnz1568/getInfo.php?workbook=06_02.xlsx&amp;sheet=A0&amp;row=920&amp;col=8&amp;number=&amp;sourceID=34","")</f>
        <v/>
      </c>
      <c r="I920" s="4" t="str">
        <f>HYPERLINK("http://141.218.60.56/~jnz1568/getInfo.php?workbook=06_02.xlsx&amp;sheet=A0&amp;row=920&amp;col=9&amp;number=&amp;sourceID=34","")</f>
        <v/>
      </c>
      <c r="J920" s="4" t="str">
        <f>HYPERLINK("http://141.218.60.56/~jnz1568/getInfo.php?workbook=06_02.xlsx&amp;sheet=A0&amp;row=920&amp;col=10&amp;number=&amp;sourceID=34","")</f>
        <v/>
      </c>
      <c r="K920" s="4" t="str">
        <f>HYPERLINK("http://141.218.60.56/~jnz1568/getInfo.php?workbook=06_02.xlsx&amp;sheet=A0&amp;row=920&amp;col=11&amp;number=&amp;sourceID=30","")</f>
        <v/>
      </c>
      <c r="L920" s="4" t="str">
        <f>HYPERLINK("http://141.218.60.56/~jnz1568/getInfo.php?workbook=06_02.xlsx&amp;sheet=A0&amp;row=920&amp;col=12&amp;number=&amp;sourceID=30","")</f>
        <v/>
      </c>
      <c r="M920" s="4" t="str">
        <f>HYPERLINK("http://141.218.60.56/~jnz1568/getInfo.php?workbook=06_02.xlsx&amp;sheet=A0&amp;row=920&amp;col=13&amp;number=&amp;sourceID=30","")</f>
        <v/>
      </c>
      <c r="N920" s="4" t="str">
        <f>HYPERLINK("http://141.218.60.56/~jnz1568/getInfo.php?workbook=06_02.xlsx&amp;sheet=A0&amp;row=920&amp;col=14&amp;number=0&amp;sourceID=30","0")</f>
        <v>0</v>
      </c>
      <c r="O920" s="4" t="str">
        <f>HYPERLINK("http://141.218.60.56/~jnz1568/getInfo.php?workbook=06_02.xlsx&amp;sheet=A0&amp;row=920&amp;col=15&amp;number=&amp;sourceID=32","")</f>
        <v/>
      </c>
      <c r="P920" s="4" t="str">
        <f>HYPERLINK("http://141.218.60.56/~jnz1568/getInfo.php?workbook=06_02.xlsx&amp;sheet=A0&amp;row=920&amp;col=16&amp;number=&amp;sourceID=32","")</f>
        <v/>
      </c>
      <c r="Q920" s="4" t="str">
        <f>HYPERLINK("http://141.218.60.56/~jnz1568/getInfo.php?workbook=06_02.xlsx&amp;sheet=A0&amp;row=920&amp;col=17&amp;number=&amp;sourceID=32","")</f>
        <v/>
      </c>
      <c r="R920" s="4" t="str">
        <f>HYPERLINK("http://141.218.60.56/~jnz1568/getInfo.php?workbook=06_02.xlsx&amp;sheet=A0&amp;row=920&amp;col=18&amp;number=0&amp;sourceID=32","0")</f>
        <v>0</v>
      </c>
    </row>
    <row r="921" spans="1:18">
      <c r="A921" s="3">
        <v>6</v>
      </c>
      <c r="B921" s="3">
        <v>2</v>
      </c>
      <c r="C921" s="3">
        <v>49</v>
      </c>
      <c r="D921" s="3">
        <v>48</v>
      </c>
      <c r="E921" s="3">
        <f>((1/(INDEX(E0!J$4:J$52,C921,1)-INDEX(E0!J$4:J$52,D921,1))))*100000000</f>
        <v>0</v>
      </c>
      <c r="F921" s="4" t="str">
        <f>HYPERLINK("http://141.218.60.56/~jnz1568/getInfo.php?workbook=06_02.xlsx&amp;sheet=A0&amp;row=921&amp;col=6&amp;number=&amp;sourceID=27","")</f>
        <v/>
      </c>
      <c r="G921" s="4" t="str">
        <f>HYPERLINK("http://141.218.60.56/~jnz1568/getInfo.php?workbook=06_02.xlsx&amp;sheet=A0&amp;row=921&amp;col=7&amp;number=3300&amp;sourceID=34","3300")</f>
        <v>3300</v>
      </c>
      <c r="H921" s="4" t="str">
        <f>HYPERLINK("http://141.218.60.56/~jnz1568/getInfo.php?workbook=06_02.xlsx&amp;sheet=A0&amp;row=921&amp;col=8&amp;number=&amp;sourceID=34","")</f>
        <v/>
      </c>
      <c r="I921" s="4" t="str">
        <f>HYPERLINK("http://141.218.60.56/~jnz1568/getInfo.php?workbook=06_02.xlsx&amp;sheet=A0&amp;row=921&amp;col=9&amp;number=&amp;sourceID=34","")</f>
        <v/>
      </c>
      <c r="J921" s="4" t="str">
        <f>HYPERLINK("http://141.218.60.56/~jnz1568/getInfo.php?workbook=06_02.xlsx&amp;sheet=A0&amp;row=921&amp;col=10&amp;number=&amp;sourceID=34","")</f>
        <v/>
      </c>
      <c r="K921" s="4" t="str">
        <f>HYPERLINK("http://141.218.60.56/~jnz1568/getInfo.php?workbook=06_02.xlsx&amp;sheet=A0&amp;row=921&amp;col=11&amp;number=14940&amp;sourceID=30","14940")</f>
        <v>14940</v>
      </c>
      <c r="L921" s="4" t="str">
        <f>HYPERLINK("http://141.218.60.56/~jnz1568/getInfo.php?workbook=06_02.xlsx&amp;sheet=A0&amp;row=921&amp;col=12&amp;number=&amp;sourceID=30","")</f>
        <v/>
      </c>
      <c r="M921" s="4" t="str">
        <f>HYPERLINK("http://141.218.60.56/~jnz1568/getInfo.php?workbook=06_02.xlsx&amp;sheet=A0&amp;row=921&amp;col=13&amp;number=&amp;sourceID=30","")</f>
        <v/>
      </c>
      <c r="N921" s="4" t="str">
        <f>HYPERLINK("http://141.218.60.56/~jnz1568/getInfo.php?workbook=06_02.xlsx&amp;sheet=A0&amp;row=921&amp;col=14&amp;number=1.797e-11&amp;sourceID=30","1.797e-11")</f>
        <v>1.797e-11</v>
      </c>
      <c r="O921" s="4" t="str">
        <f>HYPERLINK("http://141.218.60.56/~jnz1568/getInfo.php?workbook=06_02.xlsx&amp;sheet=A0&amp;row=921&amp;col=15&amp;number=3253&amp;sourceID=32","3253")</f>
        <v>3253</v>
      </c>
      <c r="P921" s="4" t="str">
        <f>HYPERLINK("http://141.218.60.56/~jnz1568/getInfo.php?workbook=06_02.xlsx&amp;sheet=A0&amp;row=921&amp;col=16&amp;number=&amp;sourceID=32","")</f>
        <v/>
      </c>
      <c r="Q921" s="4" t="str">
        <f>HYPERLINK("http://141.218.60.56/~jnz1568/getInfo.php?workbook=06_02.xlsx&amp;sheet=A0&amp;row=921&amp;col=17&amp;number=&amp;sourceID=32","")</f>
        <v/>
      </c>
      <c r="R921" s="4" t="str">
        <f>HYPERLINK("http://141.218.60.56/~jnz1568/getInfo.php?workbook=06_02.xlsx&amp;sheet=A0&amp;row=921&amp;col=18&amp;number=1.412e-12&amp;sourceID=32","1.412e-12")</f>
        <v>1.412e-12</v>
      </c>
    </row>
  </sheetData>
  <mergeCells count="1">
    <mergeCell ref="A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79"/>
  <sheetViews>
    <sheetView workbookViewId="0"/>
  </sheetViews>
  <sheetFormatPr defaultRowHeight="15"/>
  <cols>
    <col min="1" max="1" width="2.7109375" customWidth="1"/>
    <col min="2" max="2" width="2.7109375" customWidth="1"/>
    <col min="3" max="3" width="3.7109375" customWidth="1"/>
    <col min="4" max="4" width="3.7109375" customWidth="1"/>
    <col min="5" max="5" width="15.7109375" customWidth="1"/>
    <col min="6" max="6" width="13.7109375" customWidth="1"/>
    <col min="7" max="7" width="13.7109375" customWidth="1"/>
    <col min="8" max="8" width="18.7109375" customWidth="1"/>
  </cols>
  <sheetData>
    <row r="1" spans="1:8">
      <c r="A1" s="1" t="s">
        <v>52</v>
      </c>
      <c r="B1" s="1"/>
      <c r="C1" s="1"/>
      <c r="D1" s="1"/>
      <c r="E1" s="1"/>
      <c r="F1" s="1"/>
      <c r="G1" s="1"/>
      <c r="H1" s="1"/>
    </row>
    <row r="2" spans="1:8">
      <c r="A2" s="2"/>
      <c r="B2" s="2"/>
      <c r="C2" s="2"/>
      <c r="D2" s="2"/>
      <c r="E2" s="2"/>
      <c r="F2" s="2" t="s">
        <v>44</v>
      </c>
      <c r="G2" s="2" t="s">
        <v>53</v>
      </c>
      <c r="H2" s="2" t="s">
        <v>41</v>
      </c>
    </row>
    <row r="3" spans="1:8">
      <c r="A3" s="2" t="s">
        <v>4</v>
      </c>
      <c r="B3" s="2" t="s">
        <v>5</v>
      </c>
      <c r="C3" s="2" t="s">
        <v>45</v>
      </c>
      <c r="D3" s="2" t="s">
        <v>6</v>
      </c>
      <c r="E3" s="2" t="s">
        <v>46</v>
      </c>
      <c r="F3" s="2" t="s">
        <v>48</v>
      </c>
      <c r="G3" s="2" t="s">
        <v>48</v>
      </c>
      <c r="H3" s="2" t="s">
        <v>48</v>
      </c>
    </row>
    <row r="4" spans="1:8">
      <c r="A4" s="3">
        <v>6</v>
      </c>
      <c r="B4" s="3">
        <v>2</v>
      </c>
      <c r="C4" s="3">
        <v>4</v>
      </c>
      <c r="D4" s="3">
        <v>2</v>
      </c>
      <c r="E4" s="3">
        <f>((1/(INDEX('E1'!I$4:I$32,C4,1)-INDEX('E1'!I$4:J$32,D4,1))))*100000000</f>
        <v>0</v>
      </c>
      <c r="F4" s="4" t="str">
        <f>HYPERLINK("http://141.218.60.56/~jnz1568/getInfo.php?workbook=06_02.xlsx&amp;sheet=A1&amp;row=4&amp;col=6&amp;number=56460000&amp;sourceID=34","56460000")</f>
        <v>56460000</v>
      </c>
      <c r="G4" s="4" t="str">
        <f>HYPERLINK("http://141.218.60.56/~jnz1568/getInfo.php?workbook=06_02.xlsx&amp;sheet=A1&amp;row=4&amp;col=7&amp;number=56900000&amp;sourceID=24","56900000")</f>
        <v>56900000</v>
      </c>
      <c r="H4" s="4" t="str">
        <f>HYPERLINK("http://141.218.60.56/~jnz1568/getInfo.php?workbook=06_02.xlsx&amp;sheet=A1&amp;row=4&amp;col=8&amp;number=55666666.6667&amp;sourceID=25","55666666.6667")</f>
        <v>55666666.6667</v>
      </c>
    </row>
    <row r="5" spans="1:8">
      <c r="A5" s="3">
        <v>6</v>
      </c>
      <c r="B5" s="3">
        <v>2</v>
      </c>
      <c r="C5" s="3">
        <v>5</v>
      </c>
      <c r="D5" s="3">
        <v>1</v>
      </c>
      <c r="E5" s="3">
        <f>((1/(INDEX('E1'!I$4:I$32,C5,1)-INDEX('E1'!I$4:J$32,D5,1))))*100000000</f>
        <v>0</v>
      </c>
      <c r="F5" s="4" t="str">
        <f>HYPERLINK("http://141.218.60.56/~jnz1568/getInfo.php?workbook=06_02.xlsx&amp;sheet=A1&amp;row=5&amp;col=6&amp;number=887300000000&amp;sourceID=34","887300000000")</f>
        <v>887300000000</v>
      </c>
      <c r="G5" s="4" t="str">
        <f>HYPERLINK("http://141.218.60.56/~jnz1568/getInfo.php?workbook=06_02.xlsx&amp;sheet=A1&amp;row=5&amp;col=7&amp;number=881800000000&amp;sourceID=24","881800000000")</f>
        <v>881800000000</v>
      </c>
      <c r="H5" s="4" t="str">
        <f>HYPERLINK("http://141.218.60.56/~jnz1568/getInfo.php?workbook=06_02.xlsx&amp;sheet=A1&amp;row=5&amp;col=8&amp;number=8.83333333333e+11&amp;sourceID=25","8.83333333333e+11")</f>
        <v>8.83333333333e+11</v>
      </c>
    </row>
    <row r="6" spans="1:8">
      <c r="A6" s="3">
        <v>6</v>
      </c>
      <c r="B6" s="3">
        <v>2</v>
      </c>
      <c r="C6" s="3">
        <v>5</v>
      </c>
      <c r="D6" s="3">
        <v>3</v>
      </c>
      <c r="E6" s="3">
        <f>((1/(INDEX('E1'!I$4:I$32,C6,1)-INDEX('E1'!I$4:J$32,D6,1))))*100000000</f>
        <v>0</v>
      </c>
      <c r="F6" s="4" t="str">
        <f>HYPERLINK("http://141.218.60.56/~jnz1568/getInfo.php?workbook=06_02.xlsx&amp;sheet=A1&amp;row=6&amp;col=6&amp;number=16630000&amp;sourceID=34","16630000")</f>
        <v>16630000</v>
      </c>
      <c r="G6" s="4" t="str">
        <f>HYPERLINK("http://141.218.60.56/~jnz1568/getInfo.php?workbook=06_02.xlsx&amp;sheet=A1&amp;row=6&amp;col=7&amp;number=15890000&amp;sourceID=24","15890000")</f>
        <v>15890000</v>
      </c>
      <c r="H6" s="4" t="str">
        <f>HYPERLINK("http://141.218.60.56/~jnz1568/getInfo.php?workbook=06_02.xlsx&amp;sheet=A1&amp;row=6&amp;col=8&amp;number=15366666.6667&amp;sourceID=25","15366666.6667")</f>
        <v>15366666.6667</v>
      </c>
    </row>
    <row r="7" spans="1:8">
      <c r="A7" s="3">
        <v>6</v>
      </c>
      <c r="B7" s="3">
        <v>2</v>
      </c>
      <c r="C7" s="3">
        <v>6</v>
      </c>
      <c r="D7" s="3">
        <v>4</v>
      </c>
      <c r="E7" s="3">
        <f>((1/(INDEX('E1'!I$4:I$32,C7,1)-INDEX('E1'!I$4:J$32,D7,1))))*100000000</f>
        <v>0</v>
      </c>
      <c r="F7" s="4" t="str">
        <f>HYPERLINK("http://141.218.60.56/~jnz1568/getInfo.php?workbook=06_02.xlsx&amp;sheet=A1&amp;row=7&amp;col=6&amp;number=6681000000&amp;sourceID=34","6681000000")</f>
        <v>6681000000</v>
      </c>
      <c r="G7" s="4" t="str">
        <f>HYPERLINK("http://141.218.60.56/~jnz1568/getInfo.php?workbook=06_02.xlsx&amp;sheet=A1&amp;row=7&amp;col=7&amp;number=6706000000&amp;sourceID=24","6706000000")</f>
        <v>6706000000</v>
      </c>
      <c r="H7" s="4" t="str">
        <f>HYPERLINK("http://141.218.60.56/~jnz1568/getInfo.php?workbook=06_02.xlsx&amp;sheet=A1&amp;row=7&amp;col=8&amp;number=6733333333.33&amp;sourceID=25","6733333333.33")</f>
        <v>6733333333.33</v>
      </c>
    </row>
    <row r="8" spans="1:8">
      <c r="A8" s="3">
        <v>6</v>
      </c>
      <c r="B8" s="3">
        <v>2</v>
      </c>
      <c r="C8" s="3">
        <v>7</v>
      </c>
      <c r="D8" s="3">
        <v>5</v>
      </c>
      <c r="E8" s="3">
        <f>((1/(INDEX('E1'!I$4:I$32,C8,1)-INDEX('E1'!I$4:J$32,D8,1))))*100000000</f>
        <v>0</v>
      </c>
      <c r="F8" s="4" t="str">
        <f>HYPERLINK("http://141.218.60.56/~jnz1568/getInfo.php?workbook=06_02.xlsx&amp;sheet=A1&amp;row=8&amp;col=6&amp;number=5699000000&amp;sourceID=34","5699000000")</f>
        <v>5699000000</v>
      </c>
      <c r="G8" s="4" t="str">
        <f>HYPERLINK("http://141.218.60.56/~jnz1568/getInfo.php?workbook=06_02.xlsx&amp;sheet=A1&amp;row=8&amp;col=7&amp;number=5670000000&amp;sourceID=24","5670000000")</f>
        <v>5670000000</v>
      </c>
      <c r="H8" s="4" t="str">
        <f>HYPERLINK("http://141.218.60.56/~jnz1568/getInfo.php?workbook=06_02.xlsx&amp;sheet=A1&amp;row=8&amp;col=8&amp;number=5680000000&amp;sourceID=25","5680000000")</f>
        <v>5680000000</v>
      </c>
    </row>
    <row r="9" spans="1:8">
      <c r="A9" s="3">
        <v>6</v>
      </c>
      <c r="B9" s="3">
        <v>2</v>
      </c>
      <c r="C9" s="3">
        <v>8</v>
      </c>
      <c r="D9" s="3">
        <v>2</v>
      </c>
      <c r="E9" s="3">
        <f>((1/(INDEX('E1'!I$4:I$32,C9,1)-INDEX('E1'!I$4:J$32,D9,1))))*100000000</f>
        <v>0</v>
      </c>
      <c r="F9" s="4" t="str">
        <f>HYPERLINK("http://141.218.60.56/~jnz1568/getInfo.php?workbook=06_02.xlsx&amp;sheet=A1&amp;row=9&amp;col=6&amp;number=13630000000&amp;sourceID=34","13630000000")</f>
        <v>13630000000</v>
      </c>
      <c r="G9" s="4" t="str">
        <f>HYPERLINK("http://141.218.60.56/~jnz1568/getInfo.php?workbook=06_02.xlsx&amp;sheet=A1&amp;row=9&amp;col=7&amp;number=13590000000&amp;sourceID=24","13590000000")</f>
        <v>13590000000</v>
      </c>
      <c r="H9" s="4" t="str">
        <f>HYPERLINK("http://141.218.60.56/~jnz1568/getInfo.php?workbook=06_02.xlsx&amp;sheet=A1&amp;row=9&amp;col=8&amp;number=13555555555.6&amp;sourceID=25","13555555555.6")</f>
        <v>13555555555.6</v>
      </c>
    </row>
    <row r="10" spans="1:8">
      <c r="A10" s="3">
        <v>6</v>
      </c>
      <c r="B10" s="3">
        <v>2</v>
      </c>
      <c r="C10" s="3">
        <v>8</v>
      </c>
      <c r="D10" s="3">
        <v>6</v>
      </c>
      <c r="E10" s="3">
        <f>((1/(INDEX('E1'!I$4:I$32,C10,1)-INDEX('E1'!I$4:J$32,D10,1))))*100000000</f>
        <v>0</v>
      </c>
      <c r="F10" s="4" t="str">
        <f>HYPERLINK("http://141.218.60.56/~jnz1568/getInfo.php?workbook=06_02.xlsx&amp;sheet=A1&amp;row=10&amp;col=6&amp;number=6868000&amp;sourceID=34","6868000")</f>
        <v>6868000</v>
      </c>
      <c r="G10" s="4" t="str">
        <f>HYPERLINK("http://141.218.60.56/~jnz1568/getInfo.php?workbook=06_02.xlsx&amp;sheet=A1&amp;row=10&amp;col=7&amp;number=6920000&amp;sourceID=24","6920000")</f>
        <v>6920000</v>
      </c>
      <c r="H10" s="4" t="str">
        <f>HYPERLINK("http://141.218.60.56/~jnz1568/getInfo.php?workbook=06_02.xlsx&amp;sheet=A1&amp;row=10&amp;col=8&amp;number=6844444.44444&amp;sourceID=25","6844444.44444")</f>
        <v>6844444.44444</v>
      </c>
    </row>
    <row r="11" spans="1:8">
      <c r="A11" s="3">
        <v>6</v>
      </c>
      <c r="B11" s="3">
        <v>2</v>
      </c>
      <c r="C11" s="3">
        <v>9</v>
      </c>
      <c r="D11" s="3">
        <v>4</v>
      </c>
      <c r="E11" s="3">
        <f>((1/(INDEX('E1'!I$4:I$32,C11,1)-INDEX('E1'!I$4:J$32,D11,1))))*100000000</f>
        <v>0</v>
      </c>
      <c r="F11" s="4" t="str">
        <f>HYPERLINK("http://141.218.60.56/~jnz1568/getInfo.php?workbook=06_02.xlsx&amp;sheet=A1&amp;row=11&amp;col=6&amp;number=42470000000&amp;sourceID=34","42470000000")</f>
        <v>42470000000</v>
      </c>
      <c r="G11" s="4" t="str">
        <f>HYPERLINK("http://141.218.60.56/~jnz1568/getInfo.php?workbook=06_02.xlsx&amp;sheet=A1&amp;row=11&amp;col=7&amp;number=42420000000&amp;sourceID=24","42420000000")</f>
        <v>42420000000</v>
      </c>
      <c r="H11" s="4" t="str">
        <f>HYPERLINK("http://141.218.60.56/~jnz1568/getInfo.php?workbook=06_02.xlsx&amp;sheet=A1&amp;row=11&amp;col=8&amp;number=42533333333.3&amp;sourceID=25","42533333333.3")</f>
        <v>42533333333.3</v>
      </c>
    </row>
    <row r="12" spans="1:8">
      <c r="A12" s="3">
        <v>6</v>
      </c>
      <c r="B12" s="3">
        <v>2</v>
      </c>
      <c r="C12" s="3">
        <v>9</v>
      </c>
      <c r="D12" s="3">
        <v>8</v>
      </c>
      <c r="E12" s="3">
        <f>((1/(INDEX('E1'!I$4:I$32,C12,1)-INDEX('E1'!I$4:J$32,D12,1))))*100000000</f>
        <v>0</v>
      </c>
      <c r="F12" s="4" t="str">
        <f>HYPERLINK("http://141.218.60.56/~jnz1568/getInfo.php?workbook=06_02.xlsx&amp;sheet=A1&amp;row=12&amp;col=6&amp;number=671900&amp;sourceID=34","671900")</f>
        <v>671900</v>
      </c>
      <c r="G12" s="4" t="str">
        <f>HYPERLINK("http://141.218.60.56/~jnz1568/getInfo.php?workbook=06_02.xlsx&amp;sheet=A1&amp;row=12&amp;col=7&amp;number=636000&amp;sourceID=24","636000")</f>
        <v>636000</v>
      </c>
      <c r="H12" s="4" t="str">
        <f>HYPERLINK("http://141.218.60.56/~jnz1568/getInfo.php?workbook=06_02.xlsx&amp;sheet=A1&amp;row=12&amp;col=8&amp;number=650000&amp;sourceID=25","650000")</f>
        <v>650000</v>
      </c>
    </row>
    <row r="13" spans="1:8">
      <c r="A13" s="3">
        <v>6</v>
      </c>
      <c r="B13" s="3">
        <v>2</v>
      </c>
      <c r="C13" s="3">
        <v>10</v>
      </c>
      <c r="D13" s="3">
        <v>5</v>
      </c>
      <c r="E13" s="3">
        <f>((1/(INDEX('E1'!I$4:I$32,C13,1)-INDEX('E1'!I$4:J$32,D13,1))))*100000000</f>
        <v>0</v>
      </c>
      <c r="F13" s="4" t="str">
        <f>HYPERLINK("http://141.218.60.56/~jnz1568/getInfo.php?workbook=06_02.xlsx&amp;sheet=A1&amp;row=13&amp;col=6&amp;number=39470000000&amp;sourceID=34","39470000000")</f>
        <v>39470000000</v>
      </c>
      <c r="G13" s="4" t="str">
        <f>HYPERLINK("http://141.218.60.56/~jnz1568/getInfo.php?workbook=06_02.xlsx&amp;sheet=A1&amp;row=13&amp;col=7&amp;number=39380000000&amp;sourceID=24","39380000000")</f>
        <v>39380000000</v>
      </c>
      <c r="H13" s="4" t="str">
        <f>HYPERLINK("http://141.218.60.56/~jnz1568/getInfo.php?workbook=06_02.xlsx&amp;sheet=A1&amp;row=13&amp;col=8&amp;number=39600000000&amp;sourceID=25","39600000000")</f>
        <v>39600000000</v>
      </c>
    </row>
    <row r="14" spans="1:8">
      <c r="A14" s="3">
        <v>6</v>
      </c>
      <c r="B14" s="3">
        <v>2</v>
      </c>
      <c r="C14" s="3">
        <v>11</v>
      </c>
      <c r="D14" s="3">
        <v>1</v>
      </c>
      <c r="E14" s="3">
        <f>((1/(INDEX('E1'!I$4:I$32,C14,1)-INDEX('E1'!I$4:J$32,D14,1))))*100000000</f>
        <v>0</v>
      </c>
      <c r="F14" s="4" t="str">
        <f>HYPERLINK("http://141.218.60.56/~jnz1568/getInfo.php?workbook=06_02.xlsx&amp;sheet=A1&amp;row=14&amp;col=6&amp;number=255400000000&amp;sourceID=34","255400000000")</f>
        <v>255400000000</v>
      </c>
      <c r="G14" s="4" t="str">
        <f>HYPERLINK("http://141.218.60.56/~jnz1568/getInfo.php?workbook=06_02.xlsx&amp;sheet=A1&amp;row=14&amp;col=7&amp;number=253600000000&amp;sourceID=24","253600000000")</f>
        <v>253600000000</v>
      </c>
      <c r="H14" s="4" t="str">
        <f>HYPERLINK("http://141.218.60.56/~jnz1568/getInfo.php?workbook=06_02.xlsx&amp;sheet=A1&amp;row=14&amp;col=8&amp;number=2.55333333333e+11&amp;sourceID=25","2.55333333333e+11")</f>
        <v>2.55333333333e+11</v>
      </c>
    </row>
    <row r="15" spans="1:8">
      <c r="A15" s="3">
        <v>6</v>
      </c>
      <c r="B15" s="3">
        <v>2</v>
      </c>
      <c r="C15" s="3">
        <v>11</v>
      </c>
      <c r="D15" s="3">
        <v>3</v>
      </c>
      <c r="E15" s="3">
        <f>((1/(INDEX('E1'!I$4:I$32,C15,1)-INDEX('E1'!I$4:J$32,D15,1))))*100000000</f>
        <v>0</v>
      </c>
      <c r="F15" s="4" t="str">
        <f>HYPERLINK("http://141.218.60.56/~jnz1568/getInfo.php?workbook=06_02.xlsx&amp;sheet=A1&amp;row=15&amp;col=6&amp;number=12780000000&amp;sourceID=34","12780000000")</f>
        <v>12780000000</v>
      </c>
      <c r="G15" s="4" t="str">
        <f>HYPERLINK("http://141.218.60.56/~jnz1568/getInfo.php?workbook=06_02.xlsx&amp;sheet=A1&amp;row=15&amp;col=7&amp;number=12750000000&amp;sourceID=24","12750000000")</f>
        <v>12750000000</v>
      </c>
      <c r="H15" s="4" t="str">
        <f>HYPERLINK("http://141.218.60.56/~jnz1568/getInfo.php?workbook=06_02.xlsx&amp;sheet=A1&amp;row=15&amp;col=8&amp;number=12766666666.7&amp;sourceID=25","12766666666.7")</f>
        <v>12766666666.7</v>
      </c>
    </row>
    <row r="16" spans="1:8">
      <c r="A16" s="3">
        <v>6</v>
      </c>
      <c r="B16" s="3">
        <v>2</v>
      </c>
      <c r="C16" s="3">
        <v>11</v>
      </c>
      <c r="D16" s="3">
        <v>7</v>
      </c>
      <c r="E16" s="3">
        <f>((1/(INDEX('E1'!I$4:I$32,C16,1)-INDEX('E1'!I$4:J$32,D16,1))))*100000000</f>
        <v>0</v>
      </c>
      <c r="F16" s="4" t="str">
        <f>HYPERLINK("http://141.218.60.56/~jnz1568/getInfo.php?workbook=06_02.xlsx&amp;sheet=A1&amp;row=16&amp;col=6&amp;number=2411000&amp;sourceID=34","2411000")</f>
        <v>2411000</v>
      </c>
      <c r="G16" s="4" t="str">
        <f>HYPERLINK("http://141.218.60.56/~jnz1568/getInfo.php?workbook=06_02.xlsx&amp;sheet=A1&amp;row=16&amp;col=7&amp;number=2329000&amp;sourceID=24","2329000")</f>
        <v>2329000</v>
      </c>
      <c r="H16" s="4" t="str">
        <f>HYPERLINK("http://141.218.60.56/~jnz1568/getInfo.php?workbook=06_02.xlsx&amp;sheet=A1&amp;row=16&amp;col=8&amp;number=2290000&amp;sourceID=25","2290000")</f>
        <v>2290000</v>
      </c>
    </row>
    <row r="17" spans="1:8">
      <c r="A17" s="3">
        <v>6</v>
      </c>
      <c r="B17" s="3">
        <v>2</v>
      </c>
      <c r="C17" s="3">
        <v>11</v>
      </c>
      <c r="D17" s="3">
        <v>10</v>
      </c>
      <c r="E17" s="3">
        <f>((1/(INDEX('E1'!I$4:I$32,C17,1)-INDEX('E1'!I$4:J$32,D17,1))))*100000000</f>
        <v>0</v>
      </c>
      <c r="F17" s="4" t="str">
        <f>HYPERLINK("http://141.218.60.56/~jnz1568/getInfo.php?workbook=06_02.xlsx&amp;sheet=A1&amp;row=17&amp;col=6&amp;number=34380&amp;sourceID=34","34380")</f>
        <v>34380</v>
      </c>
      <c r="G17" s="4" t="str">
        <f>HYPERLINK("http://141.218.60.56/~jnz1568/getInfo.php?workbook=06_02.xlsx&amp;sheet=A1&amp;row=17&amp;col=7&amp;number=47140&amp;sourceID=24","47140")</f>
        <v>47140</v>
      </c>
      <c r="H17" s="4" t="str">
        <f>HYPERLINK("http://141.218.60.56/~jnz1568/getInfo.php?workbook=06_02.xlsx&amp;sheet=A1&amp;row=17&amp;col=8&amp;number=40666.6666667&amp;sourceID=25","40666.6666667")</f>
        <v>40666.6666667</v>
      </c>
    </row>
    <row r="18" spans="1:8">
      <c r="A18" s="3">
        <v>6</v>
      </c>
      <c r="B18" s="3">
        <v>2</v>
      </c>
      <c r="C18" s="3">
        <v>12</v>
      </c>
      <c r="D18" s="3">
        <v>4</v>
      </c>
      <c r="E18" s="3">
        <f>((1/(INDEX('E1'!I$4:I$32,C18,1)-INDEX('E1'!I$4:J$32,D18,1))))*100000000</f>
        <v>0</v>
      </c>
      <c r="F18" s="4" t="str">
        <f>HYPERLINK("http://141.218.60.56/~jnz1568/getInfo.php?workbook=06_02.xlsx&amp;sheet=A1&amp;row=18&amp;col=6&amp;number=2597000000&amp;sourceID=34","2597000000")</f>
        <v>2597000000</v>
      </c>
      <c r="G18" s="4" t="str">
        <f>HYPERLINK("http://141.218.60.56/~jnz1568/getInfo.php?workbook=06_02.xlsx&amp;sheet=A1&amp;row=18&amp;col=7&amp;number=2611000000&amp;sourceID=24","2611000000")</f>
        <v>2611000000</v>
      </c>
      <c r="H18" s="4" t="str">
        <f>HYPERLINK("http://141.218.60.56/~jnz1568/getInfo.php?workbook=06_02.xlsx&amp;sheet=A1&amp;row=18&amp;col=8&amp;number=2606666666.67&amp;sourceID=25","2606666666.67")</f>
        <v>2606666666.67</v>
      </c>
    </row>
    <row r="19" spans="1:8">
      <c r="A19" s="3">
        <v>6</v>
      </c>
      <c r="B19" s="3">
        <v>2</v>
      </c>
      <c r="C19" s="3">
        <v>12</v>
      </c>
      <c r="D19" s="3">
        <v>8</v>
      </c>
      <c r="E19" s="3">
        <f>((1/(INDEX('E1'!I$4:I$32,C19,1)-INDEX('E1'!I$4:J$32,D19,1))))*100000000</f>
        <v>0</v>
      </c>
      <c r="F19" s="4" t="str">
        <f>HYPERLINK("http://141.218.60.56/~jnz1568/getInfo.php?workbook=06_02.xlsx&amp;sheet=A1&amp;row=19&amp;col=6&amp;number=1797000000&amp;sourceID=34","1797000000")</f>
        <v>1797000000</v>
      </c>
      <c r="G19" s="4" t="str">
        <f>HYPERLINK("http://141.218.60.56/~jnz1568/getInfo.php?workbook=06_02.xlsx&amp;sheet=A1&amp;row=19&amp;col=7&amp;number=1801000000&amp;sourceID=24","1801000000")</f>
        <v>1801000000</v>
      </c>
      <c r="H19" s="4" t="str">
        <f>HYPERLINK("http://141.218.60.56/~jnz1568/getInfo.php?workbook=06_02.xlsx&amp;sheet=A1&amp;row=19&amp;col=8&amp;number=1800000000&amp;sourceID=25","1800000000")</f>
        <v>1800000000</v>
      </c>
    </row>
    <row r="20" spans="1:8">
      <c r="A20" s="3">
        <v>6</v>
      </c>
      <c r="B20" s="3">
        <v>2</v>
      </c>
      <c r="C20" s="3">
        <v>13</v>
      </c>
      <c r="D20" s="3">
        <v>5</v>
      </c>
      <c r="E20" s="3">
        <f>((1/(INDEX('E1'!I$4:I$32,C20,1)-INDEX('E1'!I$4:J$32,D20,1))))*100000000</f>
        <v>0</v>
      </c>
      <c r="F20" s="4" t="str">
        <f>HYPERLINK("http://141.218.60.56/~jnz1568/getInfo.php?workbook=06_02.xlsx&amp;sheet=A1&amp;row=20&amp;col=6&amp;number=&amp;sourceID=34","")</f>
        <v/>
      </c>
      <c r="G20" s="4" t="str">
        <f>HYPERLINK("http://141.218.60.56/~jnz1568/getInfo.php?workbook=06_02.xlsx&amp;sheet=A1&amp;row=20&amp;col=7&amp;number=2278000000&amp;sourceID=24","2278000000")</f>
        <v>2278000000</v>
      </c>
      <c r="H20" s="4" t="str">
        <f>HYPERLINK("http://141.218.60.56/~jnz1568/getInfo.php?workbook=06_02.xlsx&amp;sheet=A1&amp;row=20&amp;col=8&amp;number=2280000000&amp;sourceID=25","2280000000")</f>
        <v>2280000000</v>
      </c>
    </row>
    <row r="21" spans="1:8">
      <c r="A21" s="3">
        <v>6</v>
      </c>
      <c r="B21" s="3">
        <v>2</v>
      </c>
      <c r="C21" s="3">
        <v>13</v>
      </c>
      <c r="D21" s="3">
        <v>11</v>
      </c>
      <c r="E21" s="3">
        <f>((1/(INDEX('E1'!I$4:I$32,C21,1)-INDEX('E1'!I$4:J$32,D21,1))))*100000000</f>
        <v>0</v>
      </c>
      <c r="F21" s="4" t="str">
        <f>HYPERLINK("http://141.218.60.56/~jnz1568/getInfo.php?workbook=06_02.xlsx&amp;sheet=A1&amp;row=21&amp;col=6&amp;number=&amp;sourceID=34","")</f>
        <v/>
      </c>
      <c r="G21" s="4" t="str">
        <f>HYPERLINK("http://141.218.60.56/~jnz1568/getInfo.php?workbook=06_02.xlsx&amp;sheet=A1&amp;row=21&amp;col=7&amp;number=1556000000&amp;sourceID=24","1556000000")</f>
        <v>1556000000</v>
      </c>
      <c r="H21" s="4" t="str">
        <f>HYPERLINK("http://141.218.60.56/~jnz1568/getInfo.php?workbook=06_02.xlsx&amp;sheet=A1&amp;row=21&amp;col=8&amp;number=1550000000&amp;sourceID=25","1550000000")</f>
        <v>1550000000</v>
      </c>
    </row>
    <row r="22" spans="1:8">
      <c r="A22" s="3">
        <v>6</v>
      </c>
      <c r="B22" s="3">
        <v>2</v>
      </c>
      <c r="C22" s="3">
        <v>14</v>
      </c>
      <c r="D22" s="3">
        <v>2</v>
      </c>
      <c r="E22" s="3">
        <f>((1/(INDEX('E1'!I$4:I$32,C22,1)-INDEX('E1'!I$4:J$32,D22,1))))*100000000</f>
        <v>0</v>
      </c>
      <c r="F22" s="4" t="str">
        <f>HYPERLINK("http://141.218.60.56/~jnz1568/getInfo.php?workbook=06_02.xlsx&amp;sheet=A1&amp;row=22&amp;col=6&amp;number=&amp;sourceID=34","")</f>
        <v/>
      </c>
      <c r="G22" s="4" t="str">
        <f>HYPERLINK("http://141.218.60.56/~jnz1568/getInfo.php?workbook=06_02.xlsx&amp;sheet=A1&amp;row=22&amp;col=7&amp;number=6180000000&amp;sourceID=24","6180000000")</f>
        <v>6180000000</v>
      </c>
      <c r="H22" s="4" t="str">
        <f>HYPERLINK("http://141.218.60.56/~jnz1568/getInfo.php?workbook=06_02.xlsx&amp;sheet=A1&amp;row=22&amp;col=8&amp;number=6188888888.89&amp;sourceID=25","6188888888.89")</f>
        <v>6188888888.89</v>
      </c>
    </row>
    <row r="23" spans="1:8">
      <c r="A23" s="3">
        <v>6</v>
      </c>
      <c r="B23" s="3">
        <v>2</v>
      </c>
      <c r="C23" s="3">
        <v>14</v>
      </c>
      <c r="D23" s="3">
        <v>6</v>
      </c>
      <c r="E23" s="3">
        <f>((1/(INDEX('E1'!I$4:I$32,C23,1)-INDEX('E1'!I$4:J$32,D23,1))))*100000000</f>
        <v>0</v>
      </c>
      <c r="F23" s="4" t="str">
        <f>HYPERLINK("http://141.218.60.56/~jnz1568/getInfo.php?workbook=06_02.xlsx&amp;sheet=A1&amp;row=23&amp;col=6&amp;number=&amp;sourceID=34","")</f>
        <v/>
      </c>
      <c r="G23" s="4" t="str">
        <f>HYPERLINK("http://141.218.60.56/~jnz1568/getInfo.php?workbook=06_02.xlsx&amp;sheet=A1&amp;row=23&amp;col=7&amp;number=1670000000&amp;sourceID=24","1670000000")</f>
        <v>1670000000</v>
      </c>
      <c r="H23" s="4" t="str">
        <f>HYPERLINK("http://141.218.60.56/~jnz1568/getInfo.php?workbook=06_02.xlsx&amp;sheet=A1&amp;row=23&amp;col=8&amp;number=1666666666.67&amp;sourceID=25","1666666666.67")</f>
        <v>1666666666.67</v>
      </c>
    </row>
    <row r="24" spans="1:8">
      <c r="A24" s="3">
        <v>6</v>
      </c>
      <c r="B24" s="3">
        <v>2</v>
      </c>
      <c r="C24" s="3">
        <v>14</v>
      </c>
      <c r="D24" s="3">
        <v>9</v>
      </c>
      <c r="E24" s="3">
        <f>((1/(INDEX('E1'!I$4:I$32,C24,1)-INDEX('E1'!I$4:J$32,D24,1))))*100000000</f>
        <v>0</v>
      </c>
      <c r="F24" s="4" t="str">
        <f>HYPERLINK("http://141.218.60.56/~jnz1568/getInfo.php?workbook=06_02.xlsx&amp;sheet=A1&amp;row=24&amp;col=6&amp;number=&amp;sourceID=34","")</f>
        <v/>
      </c>
      <c r="G24" s="4" t="str">
        <f>HYPERLINK("http://141.218.60.56/~jnz1568/getInfo.php?workbook=06_02.xlsx&amp;sheet=A1&amp;row=24&amp;col=7&amp;number=291600000&amp;sourceID=24","291600000")</f>
        <v>291600000</v>
      </c>
      <c r="H24" s="4" t="str">
        <f>HYPERLINK("http://141.218.60.56/~jnz1568/getInfo.php?workbook=06_02.xlsx&amp;sheet=A1&amp;row=24&amp;col=8&amp;number=291111111.111&amp;sourceID=25","291111111.111")</f>
        <v>291111111.111</v>
      </c>
    </row>
    <row r="25" spans="1:8">
      <c r="A25" s="3">
        <v>6</v>
      </c>
      <c r="B25" s="3">
        <v>2</v>
      </c>
      <c r="C25" s="3">
        <v>14</v>
      </c>
      <c r="D25" s="3">
        <v>12</v>
      </c>
      <c r="E25" s="3">
        <f>((1/(INDEX('E1'!I$4:I$32,C25,1)-INDEX('E1'!I$4:J$32,D25,1))))*100000000</f>
        <v>0</v>
      </c>
      <c r="F25" s="4" t="str">
        <f>HYPERLINK("http://141.218.60.56/~jnz1568/getInfo.php?workbook=06_02.xlsx&amp;sheet=A1&amp;row=25&amp;col=6&amp;number=&amp;sourceID=34","")</f>
        <v/>
      </c>
      <c r="G25" s="4" t="str">
        <f>HYPERLINK("http://141.218.60.56/~jnz1568/getInfo.php?workbook=06_02.xlsx&amp;sheet=A1&amp;row=25&amp;col=7&amp;number=1584000&amp;sourceID=24","1584000")</f>
        <v>1584000</v>
      </c>
      <c r="H25" s="4" t="str">
        <f>HYPERLINK("http://141.218.60.56/~jnz1568/getInfo.php?workbook=06_02.xlsx&amp;sheet=A1&amp;row=25&amp;col=8&amp;number=1566666.66667&amp;sourceID=25","1566666.66667")</f>
        <v>1566666.66667</v>
      </c>
    </row>
    <row r="26" spans="1:8">
      <c r="A26" s="3">
        <v>6</v>
      </c>
      <c r="B26" s="3">
        <v>2</v>
      </c>
      <c r="C26" s="3">
        <v>15</v>
      </c>
      <c r="D26" s="3">
        <v>4</v>
      </c>
      <c r="E26" s="3">
        <f>((1/(INDEX('E1'!I$4:I$32,C26,1)-INDEX('E1'!I$4:J$32,D26,1))))*100000000</f>
        <v>0</v>
      </c>
      <c r="F26" s="4" t="str">
        <f>HYPERLINK("http://141.218.60.56/~jnz1568/getInfo.php?workbook=06_02.xlsx&amp;sheet=A1&amp;row=26&amp;col=6&amp;number=14130000000&amp;sourceID=34","14130000000")</f>
        <v>14130000000</v>
      </c>
      <c r="G26" s="4" t="str">
        <f>HYPERLINK("http://141.218.60.56/~jnz1568/getInfo.php?workbook=06_02.xlsx&amp;sheet=A1&amp;row=26&amp;col=7&amp;number=14100000000&amp;sourceID=24","14100000000")</f>
        <v>14100000000</v>
      </c>
      <c r="H26" s="4" t="str">
        <f>HYPERLINK("http://141.218.60.56/~jnz1568/getInfo.php?workbook=06_02.xlsx&amp;sheet=A1&amp;row=26&amp;col=8&amp;number=14133333333.3&amp;sourceID=25","14133333333.3")</f>
        <v>14133333333.3</v>
      </c>
    </row>
    <row r="27" spans="1:8">
      <c r="A27" s="3">
        <v>6</v>
      </c>
      <c r="B27" s="3">
        <v>2</v>
      </c>
      <c r="C27" s="3">
        <v>15</v>
      </c>
      <c r="D27" s="3">
        <v>8</v>
      </c>
      <c r="E27" s="3">
        <f>((1/(INDEX('E1'!I$4:I$32,C27,1)-INDEX('E1'!I$4:J$32,D27,1))))*100000000</f>
        <v>0</v>
      </c>
      <c r="F27" s="4" t="str">
        <f>HYPERLINK("http://141.218.60.56/~jnz1568/getInfo.php?workbook=06_02.xlsx&amp;sheet=A1&amp;row=27&amp;col=6&amp;number=4316000000&amp;sourceID=34","4316000000")</f>
        <v>4316000000</v>
      </c>
      <c r="G27" s="4" t="str">
        <f>HYPERLINK("http://141.218.60.56/~jnz1568/getInfo.php?workbook=06_02.xlsx&amp;sheet=A1&amp;row=27&amp;col=7&amp;number=4316000000&amp;sourceID=24","4316000000")</f>
        <v>4316000000</v>
      </c>
      <c r="H27" s="4" t="str">
        <f>HYPERLINK("http://141.218.60.56/~jnz1568/getInfo.php?workbook=06_02.xlsx&amp;sheet=A1&amp;row=27&amp;col=8&amp;number=4313333333.33&amp;sourceID=25","4313333333.33")</f>
        <v>4313333333.33</v>
      </c>
    </row>
    <row r="28" spans="1:8">
      <c r="A28" s="3">
        <v>6</v>
      </c>
      <c r="B28" s="3">
        <v>2</v>
      </c>
      <c r="C28" s="3">
        <v>15</v>
      </c>
      <c r="D28" s="3">
        <v>14</v>
      </c>
      <c r="E28" s="3">
        <f>((1/(INDEX('E1'!I$4:I$32,C28,1)-INDEX('E1'!I$4:J$32,D28,1))))*100000000</f>
        <v>0</v>
      </c>
      <c r="F28" s="4" t="str">
        <f>HYPERLINK("http://141.218.60.56/~jnz1568/getInfo.php?workbook=06_02.xlsx&amp;sheet=A1&amp;row=28&amp;col=6&amp;number=&amp;sourceID=34","")</f>
        <v/>
      </c>
      <c r="G28" s="4" t="str">
        <f>HYPERLINK("http://141.218.60.56/~jnz1568/getInfo.php?workbook=06_02.xlsx&amp;sheet=A1&amp;row=28&amp;col=7&amp;number=190300&amp;sourceID=24","190300")</f>
        <v>190300</v>
      </c>
      <c r="H28" s="4" t="str">
        <f>HYPERLINK("http://141.218.60.56/~jnz1568/getInfo.php?workbook=06_02.xlsx&amp;sheet=A1&amp;row=28&amp;col=8&amp;number=195333.333333&amp;sourceID=25","195333.333333")</f>
        <v>195333.333333</v>
      </c>
    </row>
    <row r="29" spans="1:8">
      <c r="A29" s="3">
        <v>6</v>
      </c>
      <c r="B29" s="3">
        <v>2</v>
      </c>
      <c r="C29" s="3">
        <v>16</v>
      </c>
      <c r="D29" s="3">
        <v>9</v>
      </c>
      <c r="E29" s="3">
        <f>((1/(INDEX('E1'!I$4:I$32,C29,1)-INDEX('E1'!I$4:J$32,D29,1))))*100000000</f>
        <v>0</v>
      </c>
      <c r="F29" s="4" t="str">
        <f>HYPERLINK("http://141.218.60.56/~jnz1568/getInfo.php?workbook=06_02.xlsx&amp;sheet=A1&amp;row=29&amp;col=6&amp;number=&amp;sourceID=34","")</f>
        <v/>
      </c>
      <c r="G29" s="4" t="str">
        <f>HYPERLINK("http://141.218.60.56/~jnz1568/getInfo.php?workbook=06_02.xlsx&amp;sheet=A1&amp;row=29&amp;col=7&amp;number=8634000000&amp;sourceID=24","8634000000")</f>
        <v>8634000000</v>
      </c>
      <c r="H29" s="4" t="str">
        <f>HYPERLINK("http://141.218.60.56/~jnz1568/getInfo.php?workbook=06_02.xlsx&amp;sheet=A1&amp;row=29&amp;col=8&amp;number=&amp;sourceID=25","")</f>
        <v/>
      </c>
    </row>
    <row r="30" spans="1:8">
      <c r="A30" s="3">
        <v>6</v>
      </c>
      <c r="B30" s="3">
        <v>2</v>
      </c>
      <c r="C30" s="3">
        <v>16</v>
      </c>
      <c r="D30" s="3">
        <v>15</v>
      </c>
      <c r="E30" s="3">
        <f>((1/(INDEX('E1'!I$4:I$32,C30,1)-INDEX('E1'!I$4:J$32,D30,1))))*100000000</f>
        <v>0</v>
      </c>
      <c r="F30" s="4" t="str">
        <f>HYPERLINK("http://141.218.60.56/~jnz1568/getInfo.php?workbook=06_02.xlsx&amp;sheet=A1&amp;row=30&amp;col=6&amp;number=&amp;sourceID=34","")</f>
        <v/>
      </c>
      <c r="G30" s="4" t="str">
        <f>HYPERLINK("http://141.218.60.56/~jnz1568/getInfo.php?workbook=06_02.xlsx&amp;sheet=A1&amp;row=30&amp;col=7&amp;number=14.29&amp;sourceID=24","14.29")</f>
        <v>14.29</v>
      </c>
      <c r="H30" s="4" t="str">
        <f>HYPERLINK("http://141.218.60.56/~jnz1568/getInfo.php?workbook=06_02.xlsx&amp;sheet=A1&amp;row=30&amp;col=8&amp;number=&amp;sourceID=25","")</f>
        <v/>
      </c>
    </row>
    <row r="31" spans="1:8">
      <c r="A31" s="3">
        <v>6</v>
      </c>
      <c r="B31" s="3">
        <v>2</v>
      </c>
      <c r="C31" s="3">
        <v>17</v>
      </c>
      <c r="D31" s="3">
        <v>10</v>
      </c>
      <c r="E31" s="3">
        <f>((1/(INDEX('E1'!I$4:I$32,C31,1)-INDEX('E1'!I$4:J$32,D31,1))))*100000000</f>
        <v>0</v>
      </c>
      <c r="F31" s="4" t="str">
        <f>HYPERLINK("http://141.218.60.56/~jnz1568/getInfo.php?workbook=06_02.xlsx&amp;sheet=A1&amp;row=31&amp;col=6&amp;number=&amp;sourceID=34","")</f>
        <v/>
      </c>
      <c r="G31" s="4" t="str">
        <f>HYPERLINK("http://141.218.60.56/~jnz1568/getInfo.php?workbook=06_02.xlsx&amp;sheet=A1&amp;row=31&amp;col=7&amp;number=8619000000&amp;sourceID=24","8619000000")</f>
        <v>8619000000</v>
      </c>
      <c r="H31" s="4" t="str">
        <f>HYPERLINK("http://141.218.60.56/~jnz1568/getInfo.php?workbook=06_02.xlsx&amp;sheet=A1&amp;row=31&amp;col=8&amp;number=&amp;sourceID=25","")</f>
        <v/>
      </c>
    </row>
    <row r="32" spans="1:8">
      <c r="A32" s="3">
        <v>6</v>
      </c>
      <c r="B32" s="3">
        <v>2</v>
      </c>
      <c r="C32" s="3">
        <v>18</v>
      </c>
      <c r="D32" s="3">
        <v>5</v>
      </c>
      <c r="E32" s="3">
        <f>((1/(INDEX('E1'!I$4:I$32,C32,1)-INDEX('E1'!I$4:J$32,D32,1))))*100000000</f>
        <v>0</v>
      </c>
      <c r="F32" s="4" t="str">
        <f>HYPERLINK("http://141.218.60.56/~jnz1568/getInfo.php?workbook=06_02.xlsx&amp;sheet=A1&amp;row=32&amp;col=6&amp;number=12320000000&amp;sourceID=34","12320000000")</f>
        <v>12320000000</v>
      </c>
      <c r="G32" s="4" t="str">
        <f>HYPERLINK("http://141.218.60.56/~jnz1568/getInfo.php?workbook=06_02.xlsx&amp;sheet=A1&amp;row=32&amp;col=7&amp;number=12270000000&amp;sourceID=24","12270000000")</f>
        <v>12270000000</v>
      </c>
      <c r="H32" s="4" t="str">
        <f>HYPERLINK("http://141.218.60.56/~jnz1568/getInfo.php?workbook=06_02.xlsx&amp;sheet=A1&amp;row=32&amp;col=8&amp;number=12320000000&amp;sourceID=25","12320000000")</f>
        <v>12320000000</v>
      </c>
    </row>
    <row r="33" spans="1:8">
      <c r="A33" s="3">
        <v>6</v>
      </c>
      <c r="B33" s="3">
        <v>2</v>
      </c>
      <c r="C33" s="3">
        <v>18</v>
      </c>
      <c r="D33" s="3">
        <v>11</v>
      </c>
      <c r="E33" s="3">
        <f>((1/(INDEX('E1'!I$4:I$32,C33,1)-INDEX('E1'!I$4:J$32,D33,1))))*100000000</f>
        <v>0</v>
      </c>
      <c r="F33" s="4" t="str">
        <f>HYPERLINK("http://141.218.60.56/~jnz1568/getInfo.php?workbook=06_02.xlsx&amp;sheet=A1&amp;row=33&amp;col=6&amp;number=4423000000&amp;sourceID=34","4423000000")</f>
        <v>4423000000</v>
      </c>
      <c r="G33" s="4" t="str">
        <f>HYPERLINK("http://141.218.60.56/~jnz1568/getInfo.php?workbook=06_02.xlsx&amp;sheet=A1&amp;row=33&amp;col=7&amp;number=4419000000&amp;sourceID=24","4419000000")</f>
        <v>4419000000</v>
      </c>
      <c r="H33" s="4" t="str">
        <f>HYPERLINK("http://141.218.60.56/~jnz1568/getInfo.php?workbook=06_02.xlsx&amp;sheet=A1&amp;row=33&amp;col=8&amp;number=4420000000&amp;sourceID=25","4420000000")</f>
        <v>4420000000</v>
      </c>
    </row>
    <row r="34" spans="1:8">
      <c r="A34" s="3">
        <v>6</v>
      </c>
      <c r="B34" s="3">
        <v>2</v>
      </c>
      <c r="C34" s="3">
        <v>18</v>
      </c>
      <c r="D34" s="3">
        <v>17</v>
      </c>
      <c r="E34" s="3">
        <f>((1/(INDEX('E1'!I$4:I$32,C34,1)-INDEX('E1'!I$4:J$32,D34,1))))*100000000</f>
        <v>0</v>
      </c>
      <c r="F34" s="4" t="str">
        <f>HYPERLINK("http://141.218.60.56/~jnz1568/getInfo.php?workbook=06_02.xlsx&amp;sheet=A1&amp;row=34&amp;col=6&amp;number=&amp;sourceID=34","")</f>
        <v/>
      </c>
      <c r="G34" s="4" t="str">
        <f>HYPERLINK("http://141.218.60.56/~jnz1568/getInfo.php?workbook=06_02.xlsx&amp;sheet=A1&amp;row=34&amp;col=7&amp;number=0.00208&amp;sourceID=24","0.00208")</f>
        <v>0.00208</v>
      </c>
      <c r="H34" s="4" t="str">
        <f>HYPERLINK("http://141.218.60.56/~jnz1568/getInfo.php?workbook=06_02.xlsx&amp;sheet=A1&amp;row=34&amp;col=8&amp;number=&amp;sourceID=25","")</f>
        <v/>
      </c>
    </row>
    <row r="35" spans="1:8">
      <c r="A35" s="3">
        <v>6</v>
      </c>
      <c r="B35" s="3">
        <v>2</v>
      </c>
      <c r="C35" s="3">
        <v>19</v>
      </c>
      <c r="D35" s="3">
        <v>1</v>
      </c>
      <c r="E35" s="3">
        <f>((1/(INDEX('E1'!I$4:I$32,C35,1)-INDEX('E1'!I$4:J$32,D35,1))))*100000000</f>
        <v>0</v>
      </c>
      <c r="F35" s="4" t="str">
        <f>HYPERLINK("http://141.218.60.56/~jnz1568/getInfo.php?workbook=06_02.xlsx&amp;sheet=A1&amp;row=35&amp;col=6&amp;number=106500000000&amp;sourceID=34","106500000000")</f>
        <v>106500000000</v>
      </c>
      <c r="G35" s="4" t="str">
        <f>HYPERLINK("http://141.218.60.56/~jnz1568/getInfo.php?workbook=06_02.xlsx&amp;sheet=A1&amp;row=35&amp;col=7&amp;number=105500000000&amp;sourceID=24","105500000000")</f>
        <v>105500000000</v>
      </c>
      <c r="H35" s="4" t="str">
        <f>HYPERLINK("http://141.218.60.56/~jnz1568/getInfo.php?workbook=06_02.xlsx&amp;sheet=A1&amp;row=35&amp;col=8&amp;number=106000000000&amp;sourceID=25","106000000000")</f>
        <v>106000000000</v>
      </c>
    </row>
    <row r="36" spans="1:8">
      <c r="A36" s="3">
        <v>6</v>
      </c>
      <c r="B36" s="3">
        <v>2</v>
      </c>
      <c r="C36" s="3">
        <v>19</v>
      </c>
      <c r="D36" s="3">
        <v>3</v>
      </c>
      <c r="E36" s="3">
        <f>((1/(INDEX('E1'!I$4:I$32,C36,1)-INDEX('E1'!I$4:J$32,D36,1))))*100000000</f>
        <v>0</v>
      </c>
      <c r="F36" s="4" t="str">
        <f>HYPERLINK("http://141.218.60.56/~jnz1568/getInfo.php?workbook=06_02.xlsx&amp;sheet=A1&amp;row=36&amp;col=6&amp;number=5768000000&amp;sourceID=34","5768000000")</f>
        <v>5768000000</v>
      </c>
      <c r="G36" s="4" t="str">
        <f>HYPERLINK("http://141.218.60.56/~jnz1568/getInfo.php?workbook=06_02.xlsx&amp;sheet=A1&amp;row=36&amp;col=7&amp;number=5750000000&amp;sourceID=24","5750000000")</f>
        <v>5750000000</v>
      </c>
      <c r="H36" s="4" t="str">
        <f>HYPERLINK("http://141.218.60.56/~jnz1568/getInfo.php?workbook=06_02.xlsx&amp;sheet=A1&amp;row=36&amp;col=8&amp;number=5766666666.67&amp;sourceID=25","5766666666.67")</f>
        <v>5766666666.67</v>
      </c>
    </row>
    <row r="37" spans="1:8">
      <c r="A37" s="3">
        <v>6</v>
      </c>
      <c r="B37" s="3">
        <v>2</v>
      </c>
      <c r="C37" s="3">
        <v>19</v>
      </c>
      <c r="D37" s="3">
        <v>7</v>
      </c>
      <c r="E37" s="3">
        <f>((1/(INDEX('E1'!I$4:I$32,C37,1)-INDEX('E1'!I$4:J$32,D37,1))))*100000000</f>
        <v>0</v>
      </c>
      <c r="F37" s="4" t="str">
        <f>HYPERLINK("http://141.218.60.56/~jnz1568/getInfo.php?workbook=06_02.xlsx&amp;sheet=A1&amp;row=37&amp;col=6&amp;number=1664000000&amp;sourceID=34","1664000000")</f>
        <v>1664000000</v>
      </c>
      <c r="G37" s="4" t="str">
        <f>HYPERLINK("http://141.218.60.56/~jnz1568/getInfo.php?workbook=06_02.xlsx&amp;sheet=A1&amp;row=37&amp;col=7&amp;number=1663000000&amp;sourceID=24","1663000000")</f>
        <v>1663000000</v>
      </c>
      <c r="H37" s="4" t="str">
        <f>HYPERLINK("http://141.218.60.56/~jnz1568/getInfo.php?workbook=06_02.xlsx&amp;sheet=A1&amp;row=37&amp;col=8&amp;number=1666666666.67&amp;sourceID=25","1666666666.67")</f>
        <v>1666666666.67</v>
      </c>
    </row>
    <row r="38" spans="1:8">
      <c r="A38" s="3">
        <v>6</v>
      </c>
      <c r="B38" s="3">
        <v>2</v>
      </c>
      <c r="C38" s="3">
        <v>19</v>
      </c>
      <c r="D38" s="3">
        <v>10</v>
      </c>
      <c r="E38" s="3">
        <f>((1/(INDEX('E1'!I$4:I$32,C38,1)-INDEX('E1'!I$4:J$32,D38,1))))*100000000</f>
        <v>0</v>
      </c>
      <c r="F38" s="4" t="str">
        <f>HYPERLINK("http://141.218.60.56/~jnz1568/getInfo.php?workbook=06_02.xlsx&amp;sheet=A1&amp;row=38&amp;col=6&amp;number=195600000&amp;sourceID=34","195600000")</f>
        <v>195600000</v>
      </c>
      <c r="G38" s="4" t="str">
        <f>HYPERLINK("http://141.218.60.56/~jnz1568/getInfo.php?workbook=06_02.xlsx&amp;sheet=A1&amp;row=38&amp;col=7&amp;number=193400000&amp;sourceID=24","193400000")</f>
        <v>193400000</v>
      </c>
      <c r="H38" s="4" t="str">
        <f>HYPERLINK("http://141.218.60.56/~jnz1568/getInfo.php?workbook=06_02.xlsx&amp;sheet=A1&amp;row=38&amp;col=8&amp;number=194333333.333&amp;sourceID=25","194333333.333")</f>
        <v>194333333.333</v>
      </c>
    </row>
    <row r="39" spans="1:8">
      <c r="A39" s="3">
        <v>6</v>
      </c>
      <c r="B39" s="3">
        <v>2</v>
      </c>
      <c r="C39" s="3">
        <v>19</v>
      </c>
      <c r="D39" s="3">
        <v>13</v>
      </c>
      <c r="E39" s="3">
        <f>((1/(INDEX('E1'!I$4:I$32,C39,1)-INDEX('E1'!I$4:J$32,D39,1))))*100000000</f>
        <v>0</v>
      </c>
      <c r="F39" s="4" t="str">
        <f>HYPERLINK("http://141.218.60.56/~jnz1568/getInfo.php?workbook=06_02.xlsx&amp;sheet=A1&amp;row=39&amp;col=6&amp;number=&amp;sourceID=34","")</f>
        <v/>
      </c>
      <c r="G39" s="4" t="str">
        <f>HYPERLINK("http://141.218.60.56/~jnz1568/getInfo.php?workbook=06_02.xlsx&amp;sheet=A1&amp;row=39&amp;col=7&amp;number=567500&amp;sourceID=24","567500")</f>
        <v>567500</v>
      </c>
      <c r="H39" s="4" t="str">
        <f>HYPERLINK("http://141.218.60.56/~jnz1568/getInfo.php?workbook=06_02.xlsx&amp;sheet=A1&amp;row=39&amp;col=8&amp;number=556666.666667&amp;sourceID=25","556666.666667")</f>
        <v>556666.666667</v>
      </c>
    </row>
    <row r="40" spans="1:8">
      <c r="A40" s="3">
        <v>6</v>
      </c>
      <c r="B40" s="3">
        <v>2</v>
      </c>
      <c r="C40" s="3">
        <v>19</v>
      </c>
      <c r="D40" s="3">
        <v>18</v>
      </c>
      <c r="E40" s="3">
        <f>((1/(INDEX('E1'!I$4:I$32,C40,1)-INDEX('E1'!I$4:J$32,D40,1))))*100000000</f>
        <v>0</v>
      </c>
      <c r="F40" s="4" t="str">
        <f>HYPERLINK("http://141.218.60.56/~jnz1568/getInfo.php?workbook=06_02.xlsx&amp;sheet=A1&amp;row=40&amp;col=6&amp;number=9373&amp;sourceID=34","9373")</f>
        <v>9373</v>
      </c>
      <c r="G40" s="4" t="str">
        <f>HYPERLINK("http://141.218.60.56/~jnz1568/getInfo.php?workbook=06_02.xlsx&amp;sheet=A1&amp;row=40&amp;col=7&amp;number=13130&amp;sourceID=24","13130")</f>
        <v>13130</v>
      </c>
      <c r="H40" s="4" t="str">
        <f>HYPERLINK("http://141.218.60.56/~jnz1568/getInfo.php?workbook=06_02.xlsx&amp;sheet=A1&amp;row=40&amp;col=8&amp;number=11133.3333333&amp;sourceID=25","11133.3333333")</f>
        <v>11133.3333333</v>
      </c>
    </row>
    <row r="41" spans="1:8">
      <c r="A41" s="3">
        <v>6</v>
      </c>
      <c r="B41" s="3">
        <v>2</v>
      </c>
      <c r="C41" s="3">
        <v>20</v>
      </c>
      <c r="D41" s="3">
        <v>4</v>
      </c>
      <c r="E41" s="3">
        <f>((1/(INDEX('E1'!I$4:I$32,C41,1)-INDEX('E1'!I$4:J$32,D41,1))))*100000000</f>
        <v>0</v>
      </c>
      <c r="F41" s="4" t="str">
        <f>HYPERLINK("http://141.218.60.56/~jnz1568/getInfo.php?workbook=06_02.xlsx&amp;sheet=A1&amp;row=41&amp;col=6&amp;number=1270000000&amp;sourceID=34","1270000000")</f>
        <v>1270000000</v>
      </c>
      <c r="G41" s="4" t="str">
        <f>HYPERLINK("http://141.218.60.56/~jnz1568/getInfo.php?workbook=06_02.xlsx&amp;sheet=A1&amp;row=41&amp;col=7&amp;number=1276000000&amp;sourceID=24","1276000000")</f>
        <v>1276000000</v>
      </c>
      <c r="H41" s="4" t="str">
        <f>HYPERLINK("http://141.218.60.56/~jnz1568/getInfo.php?workbook=06_02.xlsx&amp;sheet=A1&amp;row=41&amp;col=8&amp;number=1276666666.67&amp;sourceID=25","1276666666.67")</f>
        <v>1276666666.67</v>
      </c>
    </row>
    <row r="42" spans="1:8">
      <c r="A42" s="3">
        <v>6</v>
      </c>
      <c r="B42" s="3">
        <v>2</v>
      </c>
      <c r="C42" s="3">
        <v>20</v>
      </c>
      <c r="D42" s="3">
        <v>8</v>
      </c>
      <c r="E42" s="3">
        <f>((1/(INDEX('E1'!I$4:I$32,C42,1)-INDEX('E1'!I$4:J$32,D42,1))))*100000000</f>
        <v>0</v>
      </c>
      <c r="F42" s="4" t="str">
        <f>HYPERLINK("http://141.218.60.56/~jnz1568/getInfo.php?workbook=06_02.xlsx&amp;sheet=A1&amp;row=42&amp;col=6&amp;number=850000000&amp;sourceID=34","850000000")</f>
        <v>850000000</v>
      </c>
      <c r="G42" s="4" t="str">
        <f>HYPERLINK("http://141.218.60.56/~jnz1568/getInfo.php?workbook=06_02.xlsx&amp;sheet=A1&amp;row=42&amp;col=7&amp;number=851300000&amp;sourceID=24","851300000")</f>
        <v>851300000</v>
      </c>
      <c r="H42" s="4" t="str">
        <f>HYPERLINK("http://141.218.60.56/~jnz1568/getInfo.php?workbook=06_02.xlsx&amp;sheet=A1&amp;row=42&amp;col=8&amp;number=850000000&amp;sourceID=25","850000000")</f>
        <v>850000000</v>
      </c>
    </row>
    <row r="43" spans="1:8">
      <c r="A43" s="3">
        <v>6</v>
      </c>
      <c r="B43" s="3">
        <v>2</v>
      </c>
      <c r="C43" s="3">
        <v>20</v>
      </c>
      <c r="D43" s="3">
        <v>14</v>
      </c>
      <c r="E43" s="3">
        <f>((1/(INDEX('E1'!I$4:I$32,C43,1)-INDEX('E1'!I$4:J$32,D43,1))))*100000000</f>
        <v>0</v>
      </c>
      <c r="F43" s="4" t="str">
        <f>HYPERLINK("http://141.218.60.56/~jnz1568/getInfo.php?workbook=06_02.xlsx&amp;sheet=A1&amp;row=43&amp;col=6&amp;number=&amp;sourceID=34","")</f>
        <v/>
      </c>
      <c r="G43" s="4" t="str">
        <f>HYPERLINK("http://141.218.60.56/~jnz1568/getInfo.php?workbook=06_02.xlsx&amp;sheet=A1&amp;row=43&amp;col=7&amp;number=606500000&amp;sourceID=24","606500000")</f>
        <v>606500000</v>
      </c>
      <c r="H43" s="4" t="str">
        <f>HYPERLINK("http://141.218.60.56/~jnz1568/getInfo.php?workbook=06_02.xlsx&amp;sheet=A1&amp;row=43&amp;col=8&amp;number=606666666.667&amp;sourceID=25","606666666.667")</f>
        <v>606666666.667</v>
      </c>
    </row>
    <row r="44" spans="1:8">
      <c r="A44" s="3">
        <v>6</v>
      </c>
      <c r="B44" s="3">
        <v>2</v>
      </c>
      <c r="C44" s="3">
        <v>21</v>
      </c>
      <c r="D44" s="3">
        <v>5</v>
      </c>
      <c r="E44" s="3">
        <f>((1/(INDEX('E1'!I$4:I$32,C44,1)-INDEX('E1'!I$4:J$32,D44,1))))*100000000</f>
        <v>0</v>
      </c>
      <c r="F44" s="4" t="str">
        <f>HYPERLINK("http://141.218.60.56/~jnz1568/getInfo.php?workbook=06_02.xlsx&amp;sheet=A1&amp;row=44&amp;col=6&amp;number=&amp;sourceID=34","")</f>
        <v/>
      </c>
      <c r="G44" s="4" t="str">
        <f>HYPERLINK("http://141.218.60.56/~jnz1568/getInfo.php?workbook=06_02.xlsx&amp;sheet=A1&amp;row=44&amp;col=7&amp;number=1135000000&amp;sourceID=24","1135000000")</f>
        <v>1135000000</v>
      </c>
      <c r="H44" s="4" t="str">
        <f>HYPERLINK("http://141.218.60.56/~jnz1568/getInfo.php?workbook=06_02.xlsx&amp;sheet=A1&amp;row=44&amp;col=8&amp;number=1130000000&amp;sourceID=25","1130000000")</f>
        <v>1130000000</v>
      </c>
    </row>
    <row r="45" spans="1:8">
      <c r="A45" s="3">
        <v>6</v>
      </c>
      <c r="B45" s="3">
        <v>2</v>
      </c>
      <c r="C45" s="3">
        <v>21</v>
      </c>
      <c r="D45" s="3">
        <v>11</v>
      </c>
      <c r="E45" s="3">
        <f>((1/(INDEX('E1'!I$4:I$32,C45,1)-INDEX('E1'!I$4:J$32,D45,1))))*100000000</f>
        <v>0</v>
      </c>
      <c r="F45" s="4" t="str">
        <f>HYPERLINK("http://141.218.60.56/~jnz1568/getInfo.php?workbook=06_02.xlsx&amp;sheet=A1&amp;row=45&amp;col=6&amp;number=&amp;sourceID=34","")</f>
        <v/>
      </c>
      <c r="G45" s="4" t="str">
        <f>HYPERLINK("http://141.218.60.56/~jnz1568/getInfo.php?workbook=06_02.xlsx&amp;sheet=A1&amp;row=45&amp;col=7&amp;number=750100000&amp;sourceID=24","750100000")</f>
        <v>750100000</v>
      </c>
      <c r="H45" s="4" t="str">
        <f>HYPERLINK("http://141.218.60.56/~jnz1568/getInfo.php?workbook=06_02.xlsx&amp;sheet=A1&amp;row=45&amp;col=8&amp;number=749000000&amp;sourceID=25","749000000")</f>
        <v>749000000</v>
      </c>
    </row>
    <row r="46" spans="1:8">
      <c r="A46" s="3">
        <v>6</v>
      </c>
      <c r="B46" s="3">
        <v>2</v>
      </c>
      <c r="C46" s="3">
        <v>21</v>
      </c>
      <c r="D46" s="3">
        <v>19</v>
      </c>
      <c r="E46" s="3">
        <f>((1/(INDEX('E1'!I$4:I$32,C46,1)-INDEX('E1'!I$4:J$32,D46,1))))*100000000</f>
        <v>0</v>
      </c>
      <c r="F46" s="4" t="str">
        <f>HYPERLINK("http://141.218.60.56/~jnz1568/getInfo.php?workbook=06_02.xlsx&amp;sheet=A1&amp;row=46&amp;col=6&amp;number=&amp;sourceID=34","")</f>
        <v/>
      </c>
      <c r="G46" s="4" t="str">
        <f>HYPERLINK("http://141.218.60.56/~jnz1568/getInfo.php?workbook=06_02.xlsx&amp;sheet=A1&amp;row=46&amp;col=7&amp;number=532900000&amp;sourceID=24","532900000")</f>
        <v>532900000</v>
      </c>
      <c r="H46" s="4" t="str">
        <f>HYPERLINK("http://141.218.60.56/~jnz1568/getInfo.php?workbook=06_02.xlsx&amp;sheet=A1&amp;row=46&amp;col=8&amp;number=534000000&amp;sourceID=25","534000000")</f>
        <v>534000000</v>
      </c>
    </row>
    <row r="47" spans="1:8">
      <c r="A47" s="3">
        <v>6</v>
      </c>
      <c r="B47" s="3">
        <v>2</v>
      </c>
      <c r="C47" s="3">
        <v>22</v>
      </c>
      <c r="D47" s="3">
        <v>2</v>
      </c>
      <c r="E47" s="3">
        <f>((1/(INDEX('E1'!I$4:I$32,C47,1)-INDEX('E1'!I$4:J$32,D47,1))))*100000000</f>
        <v>0</v>
      </c>
      <c r="F47" s="4" t="str">
        <f>HYPERLINK("http://141.218.60.56/~jnz1568/getInfo.php?workbook=06_02.xlsx&amp;sheet=A1&amp;row=47&amp;col=6&amp;number=&amp;sourceID=34","")</f>
        <v/>
      </c>
      <c r="G47" s="4" t="str">
        <f>HYPERLINK("http://141.218.60.56/~jnz1568/getInfo.php?workbook=06_02.xlsx&amp;sheet=A1&amp;row=47&amp;col=7&amp;number=3218000000&amp;sourceID=24","3218000000")</f>
        <v>3218000000</v>
      </c>
      <c r="H47" s="4" t="str">
        <f>HYPERLINK("http://141.218.60.56/~jnz1568/getInfo.php?workbook=06_02.xlsx&amp;sheet=A1&amp;row=47&amp;col=8&amp;number=3211111111.11&amp;sourceID=25","3211111111.11")</f>
        <v>3211111111.11</v>
      </c>
    </row>
    <row r="48" spans="1:8">
      <c r="A48" s="3">
        <v>6</v>
      </c>
      <c r="B48" s="3">
        <v>2</v>
      </c>
      <c r="C48" s="3">
        <v>22</v>
      </c>
      <c r="D48" s="3">
        <v>6</v>
      </c>
      <c r="E48" s="3">
        <f>((1/(INDEX('E1'!I$4:I$32,C48,1)-INDEX('E1'!I$4:J$32,D48,1))))*100000000</f>
        <v>0</v>
      </c>
      <c r="F48" s="4" t="str">
        <f>HYPERLINK("http://141.218.60.56/~jnz1568/getInfo.php?workbook=06_02.xlsx&amp;sheet=A1&amp;row=48&amp;col=6&amp;number=&amp;sourceID=34","")</f>
        <v/>
      </c>
      <c r="G48" s="4" t="str">
        <f>HYPERLINK("http://141.218.60.56/~jnz1568/getInfo.php?workbook=06_02.xlsx&amp;sheet=A1&amp;row=48&amp;col=7&amp;number=946800000&amp;sourceID=24","946800000")</f>
        <v>946800000</v>
      </c>
      <c r="H48" s="4" t="str">
        <f>HYPERLINK("http://141.218.60.56/~jnz1568/getInfo.php?workbook=06_02.xlsx&amp;sheet=A1&amp;row=48&amp;col=8&amp;number=946666666.667&amp;sourceID=25","946666666.667")</f>
        <v>946666666.667</v>
      </c>
    </row>
    <row r="49" spans="1:8">
      <c r="A49" s="3">
        <v>6</v>
      </c>
      <c r="B49" s="3">
        <v>2</v>
      </c>
      <c r="C49" s="3">
        <v>22</v>
      </c>
      <c r="D49" s="3">
        <v>9</v>
      </c>
      <c r="E49" s="3">
        <f>((1/(INDEX('E1'!I$4:I$32,C49,1)-INDEX('E1'!I$4:J$32,D49,1))))*100000000</f>
        <v>0</v>
      </c>
      <c r="F49" s="4" t="str">
        <f>HYPERLINK("http://141.218.60.56/~jnz1568/getInfo.php?workbook=06_02.xlsx&amp;sheet=A1&amp;row=49&amp;col=6&amp;number=&amp;sourceID=34","")</f>
        <v/>
      </c>
      <c r="G49" s="4" t="str">
        <f>HYPERLINK("http://141.218.60.56/~jnz1568/getInfo.php?workbook=06_02.xlsx&amp;sheet=A1&amp;row=49&amp;col=7&amp;number=124300000&amp;sourceID=24","124300000")</f>
        <v>124300000</v>
      </c>
      <c r="H49" s="4" t="str">
        <f>HYPERLINK("http://141.218.60.56/~jnz1568/getInfo.php?workbook=06_02.xlsx&amp;sheet=A1&amp;row=49&amp;col=8&amp;number=124444444.444&amp;sourceID=25","124444444.444")</f>
        <v>124444444.444</v>
      </c>
    </row>
    <row r="50" spans="1:8">
      <c r="A50" s="3">
        <v>6</v>
      </c>
      <c r="B50" s="3">
        <v>2</v>
      </c>
      <c r="C50" s="3">
        <v>22</v>
      </c>
      <c r="D50" s="3">
        <v>12</v>
      </c>
      <c r="E50" s="3">
        <f>((1/(INDEX('E1'!I$4:I$32,C50,1)-INDEX('E1'!I$4:J$32,D50,1))))*100000000</f>
        <v>0</v>
      </c>
      <c r="F50" s="4" t="str">
        <f>HYPERLINK("http://141.218.60.56/~jnz1568/getInfo.php?workbook=06_02.xlsx&amp;sheet=A1&amp;row=50&amp;col=6&amp;number=&amp;sourceID=34","")</f>
        <v/>
      </c>
      <c r="G50" s="4" t="str">
        <f>HYPERLINK("http://141.218.60.56/~jnz1568/getInfo.php?workbook=06_02.xlsx&amp;sheet=A1&amp;row=50&amp;col=7&amp;number=381500000&amp;sourceID=24","381500000")</f>
        <v>381500000</v>
      </c>
      <c r="H50" s="4" t="str">
        <f>HYPERLINK("http://141.218.60.56/~jnz1568/getInfo.php?workbook=06_02.xlsx&amp;sheet=A1&amp;row=50&amp;col=8&amp;number=381111111.111&amp;sourceID=25","381111111.111")</f>
        <v>381111111.111</v>
      </c>
    </row>
    <row r="51" spans="1:8">
      <c r="A51" s="3">
        <v>6</v>
      </c>
      <c r="B51" s="3">
        <v>2</v>
      </c>
      <c r="C51" s="3">
        <v>22</v>
      </c>
      <c r="D51" s="3">
        <v>15</v>
      </c>
      <c r="E51" s="3">
        <f>((1/(INDEX('E1'!I$4:I$32,C51,1)-INDEX('E1'!I$4:J$32,D51,1))))*100000000</f>
        <v>0</v>
      </c>
      <c r="F51" s="4" t="str">
        <f>HYPERLINK("http://141.218.60.56/~jnz1568/getInfo.php?workbook=06_02.xlsx&amp;sheet=A1&amp;row=51&amp;col=6&amp;number=&amp;sourceID=34","")</f>
        <v/>
      </c>
      <c r="G51" s="4" t="str">
        <f>HYPERLINK("http://141.218.60.56/~jnz1568/getInfo.php?workbook=06_02.xlsx&amp;sheet=A1&amp;row=51&amp;col=7&amp;number=152300000&amp;sourceID=24","152300000")</f>
        <v>152300000</v>
      </c>
      <c r="H51" s="4" t="str">
        <f>HYPERLINK("http://141.218.60.56/~jnz1568/getInfo.php?workbook=06_02.xlsx&amp;sheet=A1&amp;row=51&amp;col=8&amp;number=153333333.333&amp;sourceID=25","153333333.333")</f>
        <v>153333333.333</v>
      </c>
    </row>
    <row r="52" spans="1:8">
      <c r="A52" s="3">
        <v>6</v>
      </c>
      <c r="B52" s="3">
        <v>2</v>
      </c>
      <c r="C52" s="3">
        <v>22</v>
      </c>
      <c r="D52" s="3">
        <v>20</v>
      </c>
      <c r="E52" s="3">
        <f>((1/(INDEX('E1'!I$4:I$32,C52,1)-INDEX('E1'!I$4:J$32,D52,1))))*100000000</f>
        <v>0</v>
      </c>
      <c r="F52" s="4" t="str">
        <f>HYPERLINK("http://141.218.60.56/~jnz1568/getInfo.php?workbook=06_02.xlsx&amp;sheet=A1&amp;row=52&amp;col=6&amp;number=&amp;sourceID=34","")</f>
        <v/>
      </c>
      <c r="G52" s="4" t="str">
        <f>HYPERLINK("http://141.218.60.56/~jnz1568/getInfo.php?workbook=06_02.xlsx&amp;sheet=A1&amp;row=52&amp;col=7&amp;number=508400&amp;sourceID=24","508400")</f>
        <v>508400</v>
      </c>
      <c r="H52" s="4" t="str">
        <f>HYPERLINK("http://141.218.60.56/~jnz1568/getInfo.php?workbook=06_02.xlsx&amp;sheet=A1&amp;row=52&amp;col=8&amp;number=497777.777778&amp;sourceID=25","497777.777778")</f>
        <v>497777.777778</v>
      </c>
    </row>
    <row r="53" spans="1:8">
      <c r="A53" s="3">
        <v>6</v>
      </c>
      <c r="B53" s="3">
        <v>2</v>
      </c>
      <c r="C53" s="3">
        <v>23</v>
      </c>
      <c r="D53" s="3">
        <v>4</v>
      </c>
      <c r="E53" s="3">
        <f>((1/(INDEX('E1'!I$4:I$32,C53,1)-INDEX('E1'!I$4:J$32,D53,1))))*100000000</f>
        <v>0</v>
      </c>
      <c r="F53" s="4" t="str">
        <f>HYPERLINK("http://141.218.60.56/~jnz1568/getInfo.php?workbook=06_02.xlsx&amp;sheet=A1&amp;row=53&amp;col=6&amp;number=6559000000&amp;sourceID=34","6559000000")</f>
        <v>6559000000</v>
      </c>
      <c r="G53" s="4" t="str">
        <f>HYPERLINK("http://141.218.60.56/~jnz1568/getInfo.php?workbook=06_02.xlsx&amp;sheet=A1&amp;row=53&amp;col=7&amp;number=6548000000&amp;sourceID=24","6548000000")</f>
        <v>6548000000</v>
      </c>
      <c r="H53" s="4" t="str">
        <f>HYPERLINK("http://141.218.60.56/~jnz1568/getInfo.php?workbook=06_02.xlsx&amp;sheet=A1&amp;row=53&amp;col=8&amp;number=6553333333.33&amp;sourceID=25","6553333333.33")</f>
        <v>6553333333.33</v>
      </c>
    </row>
    <row r="54" spans="1:8">
      <c r="A54" s="3">
        <v>6</v>
      </c>
      <c r="B54" s="3">
        <v>2</v>
      </c>
      <c r="C54" s="3">
        <v>23</v>
      </c>
      <c r="D54" s="3">
        <v>8</v>
      </c>
      <c r="E54" s="3">
        <f>((1/(INDEX('E1'!I$4:I$32,C54,1)-INDEX('E1'!I$4:J$32,D54,1))))*100000000</f>
        <v>0</v>
      </c>
      <c r="F54" s="4" t="str">
        <f>HYPERLINK("http://141.218.60.56/~jnz1568/getInfo.php?workbook=06_02.xlsx&amp;sheet=A1&amp;row=54&amp;col=6&amp;number=2165000000&amp;sourceID=34","2165000000")</f>
        <v>2165000000</v>
      </c>
      <c r="G54" s="4" t="str">
        <f>HYPERLINK("http://141.218.60.56/~jnz1568/getInfo.php?workbook=06_02.xlsx&amp;sheet=A1&amp;row=54&amp;col=7&amp;number=2162000000&amp;sourceID=24","2162000000")</f>
        <v>2162000000</v>
      </c>
      <c r="H54" s="4" t="str">
        <f>HYPERLINK("http://141.218.60.56/~jnz1568/getInfo.php?workbook=06_02.xlsx&amp;sheet=A1&amp;row=54&amp;col=8&amp;number=2160000000&amp;sourceID=25","2160000000")</f>
        <v>2160000000</v>
      </c>
    </row>
    <row r="55" spans="1:8">
      <c r="A55" s="3">
        <v>6</v>
      </c>
      <c r="B55" s="3">
        <v>2</v>
      </c>
      <c r="C55" s="3">
        <v>23</v>
      </c>
      <c r="D55" s="3">
        <v>14</v>
      </c>
      <c r="E55" s="3">
        <f>((1/(INDEX('E1'!I$4:I$32,C55,1)-INDEX('E1'!I$4:J$32,D55,1))))*100000000</f>
        <v>0</v>
      </c>
      <c r="F55" s="4" t="str">
        <f>HYPERLINK("http://141.218.60.56/~jnz1568/getInfo.php?workbook=06_02.xlsx&amp;sheet=A1&amp;row=55&amp;col=6&amp;number=&amp;sourceID=34","")</f>
        <v/>
      </c>
      <c r="G55" s="4" t="str">
        <f>HYPERLINK("http://141.218.60.56/~jnz1568/getInfo.php?workbook=06_02.xlsx&amp;sheet=A1&amp;row=55&amp;col=7&amp;number=880200000&amp;sourceID=24","880200000")</f>
        <v>880200000</v>
      </c>
      <c r="H55" s="4" t="str">
        <f>HYPERLINK("http://141.218.60.56/~jnz1568/getInfo.php?workbook=06_02.xlsx&amp;sheet=A1&amp;row=55&amp;col=8&amp;number=880000000&amp;sourceID=25","880000000")</f>
        <v>880000000</v>
      </c>
    </row>
    <row r="56" spans="1:8">
      <c r="A56" s="3">
        <v>6</v>
      </c>
      <c r="B56" s="3">
        <v>2</v>
      </c>
      <c r="C56" s="3">
        <v>23</v>
      </c>
      <c r="D56" s="3">
        <v>16</v>
      </c>
      <c r="E56" s="3">
        <f>((1/(INDEX('E1'!I$4:I$32,C56,1)-INDEX('E1'!I$4:J$32,D56,1))))*100000000</f>
        <v>0</v>
      </c>
      <c r="F56" s="4" t="str">
        <f>HYPERLINK("http://141.218.60.56/~jnz1568/getInfo.php?workbook=06_02.xlsx&amp;sheet=A1&amp;row=56&amp;col=6&amp;number=&amp;sourceID=34","")</f>
        <v/>
      </c>
      <c r="G56" s="4" t="str">
        <f>HYPERLINK("http://141.218.60.56/~jnz1568/getInfo.php?workbook=06_02.xlsx&amp;sheet=A1&amp;row=56&amp;col=7&amp;number=32130000&amp;sourceID=24","32130000")</f>
        <v>32130000</v>
      </c>
      <c r="H56" s="4" t="str">
        <f>HYPERLINK("http://141.218.60.56/~jnz1568/getInfo.php?workbook=06_02.xlsx&amp;sheet=A1&amp;row=56&amp;col=8&amp;number=&amp;sourceID=25","")</f>
        <v/>
      </c>
    </row>
    <row r="57" spans="1:8">
      <c r="A57" s="3">
        <v>6</v>
      </c>
      <c r="B57" s="3">
        <v>2</v>
      </c>
      <c r="C57" s="3">
        <v>23</v>
      </c>
      <c r="D57" s="3">
        <v>22</v>
      </c>
      <c r="E57" s="3">
        <f>((1/(INDEX('E1'!I$4:I$32,C57,1)-INDEX('E1'!I$4:J$32,D57,1))))*100000000</f>
        <v>0</v>
      </c>
      <c r="F57" s="4" t="str">
        <f>HYPERLINK("http://141.218.60.56/~jnz1568/getInfo.php?workbook=06_02.xlsx&amp;sheet=A1&amp;row=57&amp;col=6&amp;number=&amp;sourceID=34","")</f>
        <v/>
      </c>
      <c r="G57" s="4" t="str">
        <f>HYPERLINK("http://141.218.60.56/~jnz1568/getInfo.php?workbook=06_02.xlsx&amp;sheet=A1&amp;row=57&amp;col=7&amp;number=67710&amp;sourceID=24","67710")</f>
        <v>67710</v>
      </c>
      <c r="H57" s="4" t="str">
        <f>HYPERLINK("http://141.218.60.56/~jnz1568/getInfo.php?workbook=06_02.xlsx&amp;sheet=A1&amp;row=57&amp;col=8&amp;number=69333.3333333&amp;sourceID=25","69333.3333333")</f>
        <v>69333.3333333</v>
      </c>
    </row>
    <row r="58" spans="1:8">
      <c r="A58" s="3">
        <v>6</v>
      </c>
      <c r="B58" s="3">
        <v>2</v>
      </c>
      <c r="C58" s="3">
        <v>24</v>
      </c>
      <c r="D58" s="3">
        <v>9</v>
      </c>
      <c r="E58" s="3">
        <f>((1/(INDEX('E1'!I$4:I$32,C58,1)-INDEX('E1'!I$4:J$32,D58,1))))*100000000</f>
        <v>0</v>
      </c>
      <c r="F58" s="4" t="str">
        <f>HYPERLINK("http://141.218.60.56/~jnz1568/getInfo.php?workbook=06_02.xlsx&amp;sheet=A1&amp;row=58&amp;col=6&amp;number=&amp;sourceID=34","")</f>
        <v/>
      </c>
      <c r="G58" s="4" t="str">
        <f>HYPERLINK("http://141.218.60.56/~jnz1568/getInfo.php?workbook=06_02.xlsx&amp;sheet=A1&amp;row=58&amp;col=7&amp;number=2849000000&amp;sourceID=24","2849000000")</f>
        <v>2849000000</v>
      </c>
      <c r="H58" s="4" t="str">
        <f>HYPERLINK("http://141.218.60.56/~jnz1568/getInfo.php?workbook=06_02.xlsx&amp;sheet=A1&amp;row=58&amp;col=8&amp;number=&amp;sourceID=25","")</f>
        <v/>
      </c>
    </row>
    <row r="59" spans="1:8">
      <c r="A59" s="3">
        <v>6</v>
      </c>
      <c r="B59" s="3">
        <v>2</v>
      </c>
      <c r="C59" s="3">
        <v>24</v>
      </c>
      <c r="D59" s="3">
        <v>15</v>
      </c>
      <c r="E59" s="3">
        <f>((1/(INDEX('E1'!I$4:I$32,C59,1)-INDEX('E1'!I$4:J$32,D59,1))))*100000000</f>
        <v>0</v>
      </c>
      <c r="F59" s="4" t="str">
        <f>HYPERLINK("http://141.218.60.56/~jnz1568/getInfo.php?workbook=06_02.xlsx&amp;sheet=A1&amp;row=59&amp;col=6&amp;number=&amp;sourceID=34","")</f>
        <v/>
      </c>
      <c r="G59" s="4" t="str">
        <f>HYPERLINK("http://141.218.60.56/~jnz1568/getInfo.php?workbook=06_02.xlsx&amp;sheet=A1&amp;row=59&amp;col=7&amp;number=1616000000&amp;sourceID=24","1616000000")</f>
        <v>1616000000</v>
      </c>
      <c r="H59" s="4" t="str">
        <f>HYPERLINK("http://141.218.60.56/~jnz1568/getInfo.php?workbook=06_02.xlsx&amp;sheet=A1&amp;row=59&amp;col=8&amp;number=&amp;sourceID=25","")</f>
        <v/>
      </c>
    </row>
    <row r="60" spans="1:8">
      <c r="A60" s="3">
        <v>6</v>
      </c>
      <c r="B60" s="3">
        <v>2</v>
      </c>
      <c r="C60" s="3">
        <v>24</v>
      </c>
      <c r="D60" s="3">
        <v>23</v>
      </c>
      <c r="E60" s="3">
        <f>((1/(INDEX('E1'!I$4:I$32,C60,1)-INDEX('E1'!I$4:J$32,D60,1))))*100000000</f>
        <v>0</v>
      </c>
      <c r="F60" s="4" t="str">
        <f>HYPERLINK("http://141.218.60.56/~jnz1568/getInfo.php?workbook=06_02.xlsx&amp;sheet=A1&amp;row=60&amp;col=6&amp;number=&amp;sourceID=34","")</f>
        <v/>
      </c>
      <c r="G60" s="4" t="str">
        <f>HYPERLINK("http://141.218.60.56/~jnz1568/getInfo.php?workbook=06_02.xlsx&amp;sheet=A1&amp;row=60&amp;col=7&amp;number=8.982&amp;sourceID=24","8.982")</f>
        <v>8.982</v>
      </c>
      <c r="H60" s="4" t="str">
        <f>HYPERLINK("http://141.218.60.56/~jnz1568/getInfo.php?workbook=06_02.xlsx&amp;sheet=A1&amp;row=60&amp;col=8&amp;number=&amp;sourceID=25","")</f>
        <v/>
      </c>
    </row>
    <row r="61" spans="1:8">
      <c r="A61" s="3">
        <v>6</v>
      </c>
      <c r="B61" s="3">
        <v>2</v>
      </c>
      <c r="C61" s="3">
        <v>25</v>
      </c>
      <c r="D61" s="3">
        <v>10</v>
      </c>
      <c r="E61" s="3">
        <f>((1/(INDEX('E1'!I$4:I$32,C61,1)-INDEX('E1'!I$4:J$32,D61,1))))*100000000</f>
        <v>0</v>
      </c>
      <c r="F61" s="4" t="str">
        <f>HYPERLINK("http://141.218.60.56/~jnz1568/getInfo.php?workbook=06_02.xlsx&amp;sheet=A1&amp;row=61&amp;col=6&amp;number=&amp;sourceID=34","")</f>
        <v/>
      </c>
      <c r="G61" s="4" t="str">
        <f>HYPERLINK("http://141.218.60.56/~jnz1568/getInfo.php?workbook=06_02.xlsx&amp;sheet=A1&amp;row=61&amp;col=7&amp;number=2838000000&amp;sourceID=24","2838000000")</f>
        <v>2838000000</v>
      </c>
      <c r="H61" s="4" t="str">
        <f>HYPERLINK("http://141.218.60.56/~jnz1568/getInfo.php?workbook=06_02.xlsx&amp;sheet=A1&amp;row=61&amp;col=8&amp;number=&amp;sourceID=25","")</f>
        <v/>
      </c>
    </row>
    <row r="62" spans="1:8">
      <c r="A62" s="3">
        <v>6</v>
      </c>
      <c r="B62" s="3">
        <v>2</v>
      </c>
      <c r="C62" s="3">
        <v>25</v>
      </c>
      <c r="D62" s="3">
        <v>18</v>
      </c>
      <c r="E62" s="3">
        <f>((1/(INDEX('E1'!I$4:I$32,C62,1)-INDEX('E1'!I$4:J$32,D62,1))))*100000000</f>
        <v>0</v>
      </c>
      <c r="F62" s="4" t="str">
        <f>HYPERLINK("http://141.218.60.56/~jnz1568/getInfo.php?workbook=06_02.xlsx&amp;sheet=A1&amp;row=62&amp;col=6&amp;number=&amp;sourceID=34","")</f>
        <v/>
      </c>
      <c r="G62" s="4" t="str">
        <f>HYPERLINK("http://141.218.60.56/~jnz1568/getInfo.php?workbook=06_02.xlsx&amp;sheet=A1&amp;row=62&amp;col=7&amp;number=1616000000&amp;sourceID=24","1616000000")</f>
        <v>1616000000</v>
      </c>
      <c r="H62" s="4" t="str">
        <f>HYPERLINK("http://141.218.60.56/~jnz1568/getInfo.php?workbook=06_02.xlsx&amp;sheet=A1&amp;row=62&amp;col=8&amp;number=&amp;sourceID=25","")</f>
        <v/>
      </c>
    </row>
    <row r="63" spans="1:8">
      <c r="A63" s="3">
        <v>6</v>
      </c>
      <c r="B63" s="3">
        <v>2</v>
      </c>
      <c r="C63" s="3">
        <v>26</v>
      </c>
      <c r="D63" s="3">
        <v>16</v>
      </c>
      <c r="E63" s="3">
        <f>((1/(INDEX('E1'!I$4:I$32,C63,1)-INDEX('E1'!I$4:J$32,D63,1))))*100000000</f>
        <v>0</v>
      </c>
      <c r="F63" s="4" t="str">
        <f>HYPERLINK("http://141.218.60.56/~jnz1568/getInfo.php?workbook=06_02.xlsx&amp;sheet=A1&amp;row=63&amp;col=6&amp;number=&amp;sourceID=34","")</f>
        <v/>
      </c>
      <c r="G63" s="4" t="str">
        <f>HYPERLINK("http://141.218.60.56/~jnz1568/getInfo.php?workbook=06_02.xlsx&amp;sheet=A1&amp;row=63&amp;col=7&amp;number=2661000000&amp;sourceID=24","2661000000")</f>
        <v>2661000000</v>
      </c>
      <c r="H63" s="4" t="str">
        <f>HYPERLINK("http://141.218.60.56/~jnz1568/getInfo.php?workbook=06_02.xlsx&amp;sheet=A1&amp;row=63&amp;col=8&amp;number=&amp;sourceID=25","")</f>
        <v/>
      </c>
    </row>
    <row r="64" spans="1:8">
      <c r="A64" s="3">
        <v>6</v>
      </c>
      <c r="B64" s="3">
        <v>2</v>
      </c>
      <c r="C64" s="3">
        <v>26</v>
      </c>
      <c r="D64" s="3">
        <v>24</v>
      </c>
      <c r="E64" s="3">
        <f>((1/(INDEX('E1'!I$4:I$32,C64,1)-INDEX('E1'!I$4:J$32,D64,1))))*100000000</f>
        <v>0</v>
      </c>
      <c r="F64" s="4" t="str">
        <f>HYPERLINK("http://141.218.60.56/~jnz1568/getInfo.php?workbook=06_02.xlsx&amp;sheet=A1&amp;row=64&amp;col=6&amp;number=&amp;sourceID=34","")</f>
        <v/>
      </c>
      <c r="G64" s="4" t="str">
        <f>HYPERLINK("http://141.218.60.56/~jnz1568/getInfo.php?workbook=06_02.xlsx&amp;sheet=A1&amp;row=64&amp;col=7&amp;number=0.001436&amp;sourceID=24","0.001436")</f>
        <v>0.001436</v>
      </c>
      <c r="H64" s="4" t="str">
        <f>HYPERLINK("http://141.218.60.56/~jnz1568/getInfo.php?workbook=06_02.xlsx&amp;sheet=A1&amp;row=64&amp;col=8&amp;number=&amp;sourceID=25","")</f>
        <v/>
      </c>
    </row>
    <row r="65" spans="1:8">
      <c r="A65" s="3">
        <v>6</v>
      </c>
      <c r="B65" s="3">
        <v>2</v>
      </c>
      <c r="C65" s="3">
        <v>27</v>
      </c>
      <c r="D65" s="3">
        <v>17</v>
      </c>
      <c r="E65" s="3">
        <f>((1/(INDEX('E1'!I$4:I$32,C65,1)-INDEX('E1'!I$4:J$32,D65,1))))*100000000</f>
        <v>0</v>
      </c>
      <c r="F65" s="4" t="str">
        <f>HYPERLINK("http://141.218.60.56/~jnz1568/getInfo.php?workbook=06_02.xlsx&amp;sheet=A1&amp;row=65&amp;col=6&amp;number=&amp;sourceID=34","")</f>
        <v/>
      </c>
      <c r="G65" s="4" t="str">
        <f>HYPERLINK("http://141.218.60.56/~jnz1568/getInfo.php?workbook=06_02.xlsx&amp;sheet=A1&amp;row=65&amp;col=7&amp;number=2660000000&amp;sourceID=24","2660000000")</f>
        <v>2660000000</v>
      </c>
      <c r="H65" s="4" t="str">
        <f>HYPERLINK("http://141.218.60.56/~jnz1568/getInfo.php?workbook=06_02.xlsx&amp;sheet=A1&amp;row=65&amp;col=8&amp;number=&amp;sourceID=25","")</f>
        <v/>
      </c>
    </row>
    <row r="66" spans="1:8">
      <c r="A66" s="3">
        <v>6</v>
      </c>
      <c r="B66" s="3">
        <v>2</v>
      </c>
      <c r="C66" s="3">
        <v>27</v>
      </c>
      <c r="D66" s="3">
        <v>25</v>
      </c>
      <c r="E66" s="3">
        <f>((1/(INDEX('E1'!I$4:I$32,C66,1)-INDEX('E1'!I$4:J$32,D66,1))))*100000000</f>
        <v>0</v>
      </c>
      <c r="F66" s="4" t="str">
        <f>HYPERLINK("http://141.218.60.56/~jnz1568/getInfo.php?workbook=06_02.xlsx&amp;sheet=A1&amp;row=66&amp;col=6&amp;number=&amp;sourceID=34","")</f>
        <v/>
      </c>
      <c r="G66" s="4" t="str">
        <f>HYPERLINK("http://141.218.60.56/~jnz1568/getInfo.php?workbook=06_02.xlsx&amp;sheet=A1&amp;row=66&amp;col=7&amp;number=0.0006206&amp;sourceID=24","0.0006206")</f>
        <v>0.0006206</v>
      </c>
      <c r="H66" s="4" t="str">
        <f>HYPERLINK("http://141.218.60.56/~jnz1568/getInfo.php?workbook=06_02.xlsx&amp;sheet=A1&amp;row=66&amp;col=8&amp;number=&amp;sourceID=25","")</f>
        <v/>
      </c>
    </row>
    <row r="67" spans="1:8">
      <c r="A67" s="3">
        <v>6</v>
      </c>
      <c r="B67" s="3">
        <v>2</v>
      </c>
      <c r="C67" s="3">
        <v>28</v>
      </c>
      <c r="D67" s="3">
        <v>5</v>
      </c>
      <c r="E67" s="3">
        <f>((1/(INDEX('E1'!I$4:I$32,C67,1)-INDEX('E1'!I$4:J$32,D67,1))))*100000000</f>
        <v>0</v>
      </c>
      <c r="F67" s="4" t="str">
        <f>HYPERLINK("http://141.218.60.56/~jnz1568/getInfo.php?workbook=06_02.xlsx&amp;sheet=A1&amp;row=67&amp;col=6&amp;number=5579000000&amp;sourceID=34","5579000000")</f>
        <v>5579000000</v>
      </c>
      <c r="G67" s="4" t="str">
        <f>HYPERLINK("http://141.218.60.56/~jnz1568/getInfo.php?workbook=06_02.xlsx&amp;sheet=A1&amp;row=67&amp;col=7&amp;number=5558000000&amp;sourceID=24","5558000000")</f>
        <v>5558000000</v>
      </c>
      <c r="H67" s="4" t="str">
        <f>HYPERLINK("http://141.218.60.56/~jnz1568/getInfo.php?workbook=06_02.xlsx&amp;sheet=A1&amp;row=67&amp;col=8&amp;number=5580000000&amp;sourceID=25","5580000000")</f>
        <v>5580000000</v>
      </c>
    </row>
    <row r="68" spans="1:8">
      <c r="A68" s="3">
        <v>6</v>
      </c>
      <c r="B68" s="3">
        <v>2</v>
      </c>
      <c r="C68" s="3">
        <v>28</v>
      </c>
      <c r="D68" s="3">
        <v>11</v>
      </c>
      <c r="E68" s="3">
        <f>((1/(INDEX('E1'!I$4:I$32,C68,1)-INDEX('E1'!I$4:J$32,D68,1))))*100000000</f>
        <v>0</v>
      </c>
      <c r="F68" s="4" t="str">
        <f>HYPERLINK("http://141.218.60.56/~jnz1568/getInfo.php?workbook=06_02.xlsx&amp;sheet=A1&amp;row=68&amp;col=6&amp;number=2101000000&amp;sourceID=34","2101000000")</f>
        <v>2101000000</v>
      </c>
      <c r="G68" s="4" t="str">
        <f>HYPERLINK("http://141.218.60.56/~jnz1568/getInfo.php?workbook=06_02.xlsx&amp;sheet=A1&amp;row=68&amp;col=7&amp;number=2098000000&amp;sourceID=24","2098000000")</f>
        <v>2098000000</v>
      </c>
      <c r="H68" s="4" t="str">
        <f>HYPERLINK("http://141.218.60.56/~jnz1568/getInfo.php?workbook=06_02.xlsx&amp;sheet=A1&amp;row=68&amp;col=8&amp;number=2100000000&amp;sourceID=25","2100000000")</f>
        <v>2100000000</v>
      </c>
    </row>
    <row r="69" spans="1:8">
      <c r="A69" s="3">
        <v>6</v>
      </c>
      <c r="B69" s="3">
        <v>2</v>
      </c>
      <c r="C69" s="3">
        <v>28</v>
      </c>
      <c r="D69" s="3">
        <v>17</v>
      </c>
      <c r="E69" s="3">
        <f>((1/(INDEX('E1'!I$4:I$32,C69,1)-INDEX('E1'!I$4:J$32,D69,1))))*100000000</f>
        <v>0</v>
      </c>
      <c r="F69" s="4" t="str">
        <f>HYPERLINK("http://141.218.60.56/~jnz1568/getInfo.php?workbook=06_02.xlsx&amp;sheet=A1&amp;row=69&amp;col=6&amp;number=&amp;sourceID=34","")</f>
        <v/>
      </c>
      <c r="G69" s="4" t="str">
        <f>HYPERLINK("http://141.218.60.56/~jnz1568/getInfo.php?workbook=06_02.xlsx&amp;sheet=A1&amp;row=69&amp;col=7&amp;number=31510000&amp;sourceID=24","31510000")</f>
        <v>31510000</v>
      </c>
      <c r="H69" s="4" t="str">
        <f>HYPERLINK("http://141.218.60.56/~jnz1568/getInfo.php?workbook=06_02.xlsx&amp;sheet=A1&amp;row=69&amp;col=8&amp;number=&amp;sourceID=25","")</f>
        <v/>
      </c>
    </row>
    <row r="70" spans="1:8">
      <c r="A70" s="3">
        <v>6</v>
      </c>
      <c r="B70" s="3">
        <v>2</v>
      </c>
      <c r="C70" s="3">
        <v>28</v>
      </c>
      <c r="D70" s="3">
        <v>19</v>
      </c>
      <c r="E70" s="3">
        <f>((1/(INDEX('E1'!I$4:I$32,C70,1)-INDEX('E1'!I$4:J$32,D70,1))))*100000000</f>
        <v>0</v>
      </c>
      <c r="F70" s="4" t="str">
        <f>HYPERLINK("http://141.218.60.56/~jnz1568/getInfo.php?workbook=06_02.xlsx&amp;sheet=A1&amp;row=70&amp;col=6&amp;number=943900000&amp;sourceID=34","943900000")</f>
        <v>943900000</v>
      </c>
      <c r="G70" s="4" t="str">
        <f>HYPERLINK("http://141.218.60.56/~jnz1568/getInfo.php?workbook=06_02.xlsx&amp;sheet=A1&amp;row=70&amp;col=7&amp;number=944000000&amp;sourceID=24","944000000")</f>
        <v>944000000</v>
      </c>
      <c r="H70" s="4" t="str">
        <f>HYPERLINK("http://141.218.60.56/~jnz1568/getInfo.php?workbook=06_02.xlsx&amp;sheet=A1&amp;row=70&amp;col=8&amp;number=942000000&amp;sourceID=25","942000000")</f>
        <v>942000000</v>
      </c>
    </row>
    <row r="71" spans="1:8">
      <c r="A71" s="3">
        <v>6</v>
      </c>
      <c r="B71" s="3">
        <v>2</v>
      </c>
      <c r="C71" s="3">
        <v>28</v>
      </c>
      <c r="D71" s="3">
        <v>25</v>
      </c>
      <c r="E71" s="3">
        <f>((1/(INDEX('E1'!I$4:I$32,C71,1)-INDEX('E1'!I$4:J$32,D71,1))))*100000000</f>
        <v>0</v>
      </c>
      <c r="F71" s="4" t="str">
        <f>HYPERLINK("http://141.218.60.56/~jnz1568/getInfo.php?workbook=06_02.xlsx&amp;sheet=A1&amp;row=71&amp;col=6&amp;number=&amp;sourceID=34","")</f>
        <v/>
      </c>
      <c r="G71" s="4" t="str">
        <f>HYPERLINK("http://141.218.60.56/~jnz1568/getInfo.php?workbook=06_02.xlsx&amp;sheet=A1&amp;row=71&amp;col=7&amp;number=0.001632&amp;sourceID=24","0.001632")</f>
        <v>0.001632</v>
      </c>
      <c r="H71" s="4" t="str">
        <f>HYPERLINK("http://141.218.60.56/~jnz1568/getInfo.php?workbook=06_02.xlsx&amp;sheet=A1&amp;row=71&amp;col=8&amp;number=&amp;sourceID=25","")</f>
        <v/>
      </c>
    </row>
    <row r="72" spans="1:8">
      <c r="A72" s="3">
        <v>6</v>
      </c>
      <c r="B72" s="3">
        <v>2</v>
      </c>
      <c r="C72" s="3">
        <v>29</v>
      </c>
      <c r="D72" s="3">
        <v>1</v>
      </c>
      <c r="E72" s="3">
        <f>((1/(INDEX('E1'!I$4:I$32,C72,1)-INDEX('E1'!I$4:J$32,D72,1))))*100000000</f>
        <v>0</v>
      </c>
      <c r="F72" s="4" t="str">
        <f>HYPERLINK("http://141.218.60.56/~jnz1568/getInfo.php?workbook=06_02.xlsx&amp;sheet=A1&amp;row=72&amp;col=6&amp;number=&amp;sourceID=34","")</f>
        <v/>
      </c>
      <c r="G72" s="4" t="str">
        <f>HYPERLINK("http://141.218.60.56/~jnz1568/getInfo.php?workbook=06_02.xlsx&amp;sheet=A1&amp;row=72&amp;col=7&amp;number=54020000000&amp;sourceID=24","54020000000")</f>
        <v>54020000000</v>
      </c>
      <c r="H72" s="4" t="str">
        <f>HYPERLINK("http://141.218.60.56/~jnz1568/getInfo.php?workbook=06_02.xlsx&amp;sheet=A1&amp;row=72&amp;col=8&amp;number=54000000000&amp;sourceID=25","54000000000")</f>
        <v>54000000000</v>
      </c>
    </row>
    <row r="73" spans="1:8">
      <c r="A73" s="3">
        <v>6</v>
      </c>
      <c r="B73" s="3">
        <v>2</v>
      </c>
      <c r="C73" s="3">
        <v>29</v>
      </c>
      <c r="D73" s="3">
        <v>3</v>
      </c>
      <c r="E73" s="3">
        <f>((1/(INDEX('E1'!I$4:I$32,C73,1)-INDEX('E1'!I$4:J$32,D73,1))))*100000000</f>
        <v>0</v>
      </c>
      <c r="F73" s="4" t="str">
        <f>HYPERLINK("http://141.218.60.56/~jnz1568/getInfo.php?workbook=06_02.xlsx&amp;sheet=A1&amp;row=73&amp;col=6&amp;number=3001000000&amp;sourceID=34","3001000000")</f>
        <v>3001000000</v>
      </c>
      <c r="G73" s="4" t="str">
        <f>HYPERLINK("http://141.218.60.56/~jnz1568/getInfo.php?workbook=06_02.xlsx&amp;sheet=A1&amp;row=73&amp;col=7&amp;number=2994000000&amp;sourceID=24","2994000000")</f>
        <v>2994000000</v>
      </c>
      <c r="H73" s="4" t="str">
        <f>HYPERLINK("http://141.218.60.56/~jnz1568/getInfo.php?workbook=06_02.xlsx&amp;sheet=A1&amp;row=73&amp;col=8&amp;number=2993333333.33&amp;sourceID=25","2993333333.33")</f>
        <v>2993333333.33</v>
      </c>
    </row>
    <row r="74" spans="1:8">
      <c r="A74" s="3">
        <v>6</v>
      </c>
      <c r="B74" s="3">
        <v>2</v>
      </c>
      <c r="C74" s="3">
        <v>29</v>
      </c>
      <c r="D74" s="3">
        <v>7</v>
      </c>
      <c r="E74" s="3">
        <f>((1/(INDEX('E1'!I$4:I$32,C74,1)-INDEX('E1'!I$4:J$32,D74,1))))*100000000</f>
        <v>0</v>
      </c>
      <c r="F74" s="4" t="str">
        <f>HYPERLINK("http://141.218.60.56/~jnz1568/getInfo.php?workbook=06_02.xlsx&amp;sheet=A1&amp;row=74&amp;col=6&amp;number=932300000&amp;sourceID=34","932300000")</f>
        <v>932300000</v>
      </c>
      <c r="G74" s="4" t="str">
        <f>HYPERLINK("http://141.218.60.56/~jnz1568/getInfo.php?workbook=06_02.xlsx&amp;sheet=A1&amp;row=74&amp;col=7&amp;number=931200000&amp;sourceID=24","931200000")</f>
        <v>931200000</v>
      </c>
      <c r="H74" s="4" t="str">
        <f>HYPERLINK("http://141.218.60.56/~jnz1568/getInfo.php?workbook=06_02.xlsx&amp;sheet=A1&amp;row=74&amp;col=8&amp;number=930000000&amp;sourceID=25","930000000")</f>
        <v>930000000</v>
      </c>
    </row>
    <row r="75" spans="1:8">
      <c r="A75" s="3">
        <v>6</v>
      </c>
      <c r="B75" s="3">
        <v>2</v>
      </c>
      <c r="C75" s="3">
        <v>29</v>
      </c>
      <c r="D75" s="3">
        <v>10</v>
      </c>
      <c r="E75" s="3">
        <f>((1/(INDEX('E1'!I$4:I$32,C75,1)-INDEX('E1'!I$4:J$32,D75,1))))*100000000</f>
        <v>0</v>
      </c>
      <c r="F75" s="4" t="str">
        <f>HYPERLINK("http://141.218.60.56/~jnz1568/getInfo.php?workbook=06_02.xlsx&amp;sheet=A1&amp;row=75&amp;col=6&amp;number=84550000&amp;sourceID=34","84550000")</f>
        <v>84550000</v>
      </c>
      <c r="G75" s="4" t="str">
        <f>HYPERLINK("http://141.218.60.56/~jnz1568/getInfo.php?workbook=06_02.xlsx&amp;sheet=A1&amp;row=75&amp;col=7&amp;number=83600000&amp;sourceID=24","83600000")</f>
        <v>83600000</v>
      </c>
      <c r="H75" s="4" t="str">
        <f>HYPERLINK("http://141.218.60.56/~jnz1568/getInfo.php?workbook=06_02.xlsx&amp;sheet=A1&amp;row=75&amp;col=8&amp;number=84000000&amp;sourceID=25","84000000")</f>
        <v>84000000</v>
      </c>
    </row>
    <row r="76" spans="1:8">
      <c r="A76" s="3">
        <v>6</v>
      </c>
      <c r="B76" s="3">
        <v>2</v>
      </c>
      <c r="C76" s="3">
        <v>29</v>
      </c>
      <c r="D76" s="3">
        <v>13</v>
      </c>
      <c r="E76" s="3">
        <f>((1/(INDEX('E1'!I$4:I$32,C76,1)-INDEX('E1'!I$4:J$32,D76,1))))*100000000</f>
        <v>0</v>
      </c>
      <c r="F76" s="4" t="str">
        <f>HYPERLINK("http://141.218.60.56/~jnz1568/getInfo.php?workbook=06_02.xlsx&amp;sheet=A1&amp;row=76&amp;col=6&amp;number=&amp;sourceID=34","")</f>
        <v/>
      </c>
      <c r="G76" s="4" t="str">
        <f>HYPERLINK("http://141.218.60.56/~jnz1568/getInfo.php?workbook=06_02.xlsx&amp;sheet=A1&amp;row=76&amp;col=7&amp;number=389600000&amp;sourceID=24","389600000")</f>
        <v>389600000</v>
      </c>
      <c r="H76" s="4" t="str">
        <f>HYPERLINK("http://141.218.60.56/~jnz1568/getInfo.php?workbook=06_02.xlsx&amp;sheet=A1&amp;row=76&amp;col=8&amp;number=390000000&amp;sourceID=25","390000000")</f>
        <v>390000000</v>
      </c>
    </row>
    <row r="77" spans="1:8">
      <c r="A77" s="3">
        <v>6</v>
      </c>
      <c r="B77" s="3">
        <v>2</v>
      </c>
      <c r="C77" s="3">
        <v>29</v>
      </c>
      <c r="D77" s="3">
        <v>18</v>
      </c>
      <c r="E77" s="3">
        <f>((1/(INDEX('E1'!I$4:I$32,C77,1)-INDEX('E1'!I$4:J$32,D77,1))))*100000000</f>
        <v>0</v>
      </c>
      <c r="F77" s="4" t="str">
        <f>HYPERLINK("http://141.218.60.56/~jnz1568/getInfo.php?workbook=06_02.xlsx&amp;sheet=A1&amp;row=77&amp;col=6&amp;number=107800000&amp;sourceID=34","107800000")</f>
        <v>107800000</v>
      </c>
      <c r="G77" s="4" t="str">
        <f>HYPERLINK("http://141.218.60.56/~jnz1568/getInfo.php?workbook=06_02.xlsx&amp;sheet=A1&amp;row=77&amp;col=7&amp;number=106600000&amp;sourceID=24","106600000")</f>
        <v>106600000</v>
      </c>
      <c r="H77" s="4" t="str">
        <f>HYPERLINK("http://141.218.60.56/~jnz1568/getInfo.php?workbook=06_02.xlsx&amp;sheet=A1&amp;row=77&amp;col=8&amp;number=107333333.333&amp;sourceID=25","107333333.333")</f>
        <v>107333333.333</v>
      </c>
    </row>
    <row r="78" spans="1:8">
      <c r="A78" s="3">
        <v>6</v>
      </c>
      <c r="B78" s="3">
        <v>2</v>
      </c>
      <c r="C78" s="3">
        <v>29</v>
      </c>
      <c r="D78" s="3">
        <v>21</v>
      </c>
      <c r="E78" s="3">
        <f>((1/(INDEX('E1'!I$4:I$32,C78,1)-INDEX('E1'!I$4:J$32,D78,1))))*100000000</f>
        <v>0</v>
      </c>
      <c r="F78" s="4" t="str">
        <f>HYPERLINK("http://141.218.60.56/~jnz1568/getInfo.php?workbook=06_02.xlsx&amp;sheet=A1&amp;row=78&amp;col=6&amp;number=&amp;sourceID=34","")</f>
        <v/>
      </c>
      <c r="G78" s="4" t="str">
        <f>HYPERLINK("http://141.218.60.56/~jnz1568/getInfo.php?workbook=06_02.xlsx&amp;sheet=A1&amp;row=78&amp;col=7&amp;number=188000&amp;sourceID=24","188000")</f>
        <v>188000</v>
      </c>
      <c r="H78" s="4" t="str">
        <f>HYPERLINK("http://141.218.60.56/~jnz1568/getInfo.php?workbook=06_02.xlsx&amp;sheet=A1&amp;row=78&amp;col=8&amp;number=183000&amp;sourceID=25","183000")</f>
        <v>183000</v>
      </c>
    </row>
    <row r="79" spans="1:8">
      <c r="A79" s="3">
        <v>6</v>
      </c>
      <c r="B79" s="3">
        <v>2</v>
      </c>
      <c r="C79" s="3">
        <v>29</v>
      </c>
      <c r="D79" s="3">
        <v>28</v>
      </c>
      <c r="E79" s="3">
        <f>((1/(INDEX('E1'!I$4:I$32,C79,1)-INDEX('E1'!I$4:J$32,D79,1))))*100000000</f>
        <v>0</v>
      </c>
      <c r="F79" s="4" t="str">
        <f>HYPERLINK("http://141.218.60.56/~jnz1568/getInfo.php?workbook=06_02.xlsx&amp;sheet=A1&amp;row=79&amp;col=6&amp;number=3300&amp;sourceID=34","3300")</f>
        <v>3300</v>
      </c>
      <c r="G79" s="4" t="str">
        <f>HYPERLINK("http://141.218.60.56/~jnz1568/getInfo.php?workbook=06_02.xlsx&amp;sheet=A1&amp;row=79&amp;col=7&amp;number=4480&amp;sourceID=24","4480")</f>
        <v>4480</v>
      </c>
      <c r="H79" s="4" t="str">
        <f>HYPERLINK("http://141.218.60.56/~jnz1568/getInfo.php?workbook=06_02.xlsx&amp;sheet=A1&amp;row=79&amp;col=8&amp;number=3800&amp;sourceID=25","3800")</f>
        <v>3800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E0</vt:lpstr>
      <vt:lpstr>E1</vt:lpstr>
      <vt:lpstr>A0</vt:lpstr>
      <vt:lpstr>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2015-04-13T05:02:34Z</dcterms:created>
  <dcterms:modified xsi:type="dcterms:W3CDTF">2015-04-13T05:02:34Z</dcterms:modified>
</cp:coreProperties>
</file>