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</sheets>
  <calcPr calcId="124519" fullCalcOnLoad="1"/>
</workbook>
</file>

<file path=xl/sharedStrings.xml><?xml version="1.0" encoding="utf-8"?>
<sst xmlns="http://schemas.openxmlformats.org/spreadsheetml/2006/main" count="128" uniqueCount="47">
  <si>
    <t>Fine-Structure Energy Levels for  N VII</t>
  </si>
  <si>
    <t>S2</t>
  </si>
  <si>
    <t>S11</t>
  </si>
  <si>
    <t>S12</t>
  </si>
  <si>
    <t>S30</t>
  </si>
  <si>
    <t>S13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</si>
  <si>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</si>
  <si>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</si>
  <si>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</si>
  <si>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</si>
  <si>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</si>
  <si>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</si>
  <si>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</si>
  <si>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</si>
  <si>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</si>
  <si>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</si>
  <si>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</si>
  <si>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</si>
  <si>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</t>
  </si>
  <si>
    <t>2p</t>
  </si>
  <si>
    <t>2P*</t>
  </si>
  <si>
    <t>2s</t>
  </si>
  <si>
    <t>3p</t>
  </si>
  <si>
    <t>3s</t>
  </si>
  <si>
    <t>3d</t>
  </si>
  <si>
    <t>2D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</si>
  <si>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</si>
  <si>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</si>
  <si>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</si>
  <si>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</si>
  <si>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</si>
  <si>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</si>
  <si>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</si>
  <si>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</si>
  <si>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</si>
  <si>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</si>
  <si>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</t>
  </si>
  <si>
    <t>A-values for  N VII</t>
  </si>
  <si>
    <t>k</t>
  </si>
  <si>
    <t>WLVac (A)</t>
  </si>
  <si>
    <t>ATotal (s-1)</t>
  </si>
  <si>
    <t>AE1 (s-1)</t>
  </si>
  <si>
    <t>AE2 (s-1)</t>
  </si>
  <si>
    <t>AE3 (s-1)</t>
  </si>
  <si>
    <t>AM1 (s-1)</t>
  </si>
  <si>
    <t>AM2 (s-1)</t>
  </si>
  <si>
    <t>AM3 (s-1)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</si>
</sst>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1.7109375" customWidth="1"/>
    <col min="11" max="11" width="13.7109375" customWidth="1"/>
    <col min="12" max="12" width="13.7109375" customWidth="1"/>
    <col min="13" max="13" width="14.7109375" customWidth="1"/>
    <col min="14" max="14" width="14.7109375" customWidth="1"/>
    <col min="15" max="15" width="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  <c r="M2" s="2" t="s">
        <v>4</v>
      </c>
      <c r="N2" s="2" t="s">
        <v>4</v>
      </c>
      <c r="O2" s="2" t="s">
        <v>5</v>
      </c>
    </row>
    <row r="3" spans="1:1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16</v>
      </c>
    </row>
    <row r="4" spans="1:15">
      <c r="A4" s="3">
        <v>7</v>
      </c>
      <c r="B4" s="3">
        <v>1</v>
      </c>
      <c r="C4" s="3">
        <v>1</v>
      </c>
      <c r="D4" s="3" t="s">
        <v>17</v>
      </c>
      <c r="E4" s="3" t="s">
        <v>18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HYPERLINK("http://141.218.60.56/~jnz1568/getInfo.php?workbook=07_01.xlsx&amp;sheet=E0&amp;row=4&amp;col=10&amp;number=0&amp;sourceID=2","0")</f>
        <v>0</v>
      </c>
      <c r="K4" s="4" t="str">
        <f>HYPERLINK("http://141.218.60.56/~jnz1568/getInfo.php?workbook=07_01.xlsx&amp;sheet=E0&amp;row=4&amp;col=11&amp;number=0&amp;sourceID=11","0")</f>
        <v>0</v>
      </c>
      <c r="L4" s="4" t="str">
        <f>HYPERLINK("http://141.218.60.56/~jnz1568/getInfo.php?workbook=07_01.xlsx&amp;sheet=E0&amp;row=4&amp;col=12&amp;number=0&amp;sourceID=12","0")</f>
        <v>0</v>
      </c>
      <c r="M4" s="4" t="str">
        <f>HYPERLINK("http://141.218.60.56/~jnz1568/getInfo.php?workbook=07_01.xlsx&amp;sheet=E0&amp;row=4&amp;col=13&amp;number=0&amp;sourceID=30","0")</f>
        <v>0</v>
      </c>
      <c r="N4" s="4" t="str">
        <f>HYPERLINK("http://141.218.60.56/~jnz1568/getInfo.php?workbook=07_01.xlsx&amp;sheet=E0&amp;row=4&amp;col=14&amp;number=0&amp;sourceID=30","0")</f>
        <v>0</v>
      </c>
      <c r="O4" s="4" t="str">
        <f>HYPERLINK("http://141.218.60.56/~jnz1568/getInfo.php?workbook=07_01.xlsx&amp;sheet=E0&amp;row=4&amp;col=15&amp;number=0&amp;sourceID=13","0")</f>
        <v>0</v>
      </c>
    </row>
    <row r="5" spans="1:15">
      <c r="A5" s="3">
        <v>7</v>
      </c>
      <c r="B5" s="3">
        <v>1</v>
      </c>
      <c r="C5" s="3">
        <f>+C4+1</f>
        <v>0</v>
      </c>
      <c r="D5" s="3" t="s">
        <v>19</v>
      </c>
      <c r="E5" s="3" t="s">
        <v>20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HYPERLINK("http://141.218.60.56/~jnz1568/getInfo.php?workbook=07_01.xlsx&amp;sheet=E0&amp;row=5&amp;col=10&amp;number=4034761.8&amp;sourceID=2","4034761.8")</f>
        <v>4034761.8</v>
      </c>
      <c r="K5" s="4" t="str">
        <f>HYPERLINK("http://141.218.60.56/~jnz1568/getInfo.php?workbook=07_01.xlsx&amp;sheet=E0&amp;row=5&amp;col=11&amp;number=4035102.8243&amp;sourceID=11","4035102.8243")</f>
        <v>4035102.8243</v>
      </c>
      <c r="L5" s="4" t="str">
        <f>HYPERLINK("http://141.218.60.56/~jnz1568/getInfo.php?workbook=07_01.xlsx&amp;sheet=E0&amp;row=5&amp;col=12&amp;number=4034762.3229&amp;sourceID=12","4034762.3229")</f>
        <v>4034762.3229</v>
      </c>
      <c r="M5" s="4" t="str">
        <f>HYPERLINK("http://141.218.60.56/~jnz1568/getInfo.php?workbook=07_01.xlsx&amp;sheet=E0&amp;row=5&amp;col=13&amp;number=4035260.57238&amp;sourceID=30","4035260.57238")</f>
        <v>4035260.57238</v>
      </c>
      <c r="N5" s="4" t="str">
        <f>HYPERLINK("http://141.218.60.56/~jnz1568/getInfo.php?workbook=07_01.xlsx&amp;sheet=E0&amp;row=5&amp;col=14&amp;number=4034924.7762&amp;sourceID=30","4034924.7762")</f>
        <v>4034924.7762</v>
      </c>
      <c r="O5" s="4" t="str">
        <f>HYPERLINK("http://141.218.60.56/~jnz1568/getInfo.php?workbook=07_01.xlsx&amp;sheet=E0&amp;row=5&amp;col=15&amp;number=4035259&amp;sourceID=13","4035259")</f>
        <v>4035259</v>
      </c>
    </row>
    <row r="6" spans="1:15">
      <c r="A6" s="3">
        <v>7</v>
      </c>
      <c r="B6" s="3">
        <v>1</v>
      </c>
      <c r="C6" s="3">
        <f/>
        <v>0</v>
      </c>
      <c r="D6" s="3" t="s">
        <v>21</v>
      </c>
      <c r="E6" s="3" t="s">
        <v>18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HYPERLINK("http://141.218.60.56/~jnz1568/getInfo.php?workbook=07_01.xlsx&amp;sheet=E0&amp;row=6&amp;col=10&amp;number=4034807.21&amp;sourceID=2","4034807.21")</f>
        <v>4034807.21</v>
      </c>
      <c r="K6" s="4" t="str">
        <f>HYPERLINK("http://141.218.60.56/~jnz1568/getInfo.php?workbook=07_01.xlsx&amp;sheet=E0&amp;row=6&amp;col=11&amp;number=4035102.8243&amp;sourceID=11","4035102.8243")</f>
        <v>4035102.8243</v>
      </c>
      <c r="L6" s="4" t="str">
        <f>HYPERLINK("http://141.218.60.56/~jnz1568/getInfo.php?workbook=07_01.xlsx&amp;sheet=E0&amp;row=6&amp;col=12&amp;number=4034807.6555&amp;sourceID=12","4034807.6555")</f>
        <v>4034807.6555</v>
      </c>
      <c r="M6" s="4" t="str">
        <f>HYPERLINK("http://141.218.60.56/~jnz1568/getInfo.php?workbook=07_01.xlsx&amp;sheet=E0&amp;row=6&amp;col=13&amp;number=4035260.57238&amp;sourceID=30","4035260.57238")</f>
        <v>4035260.57238</v>
      </c>
      <c r="N6" s="4" t="str">
        <f>HYPERLINK("http://141.218.60.56/~jnz1568/getInfo.php?workbook=07_01.xlsx&amp;sheet=E0&amp;row=6&amp;col=14&amp;number=4034968.67112&amp;sourceID=30","4034968.67112")</f>
        <v>4034968.67112</v>
      </c>
      <c r="O6" s="4" t="str">
        <f>HYPERLINK("http://141.218.60.56/~jnz1568/getInfo.php?workbook=07_01.xlsx&amp;sheet=E0&amp;row=6&amp;col=15&amp;number=4035261&amp;sourceID=13","4035261")</f>
        <v>4035261</v>
      </c>
    </row>
    <row r="7" spans="1:15">
      <c r="A7" s="3">
        <v>7</v>
      </c>
      <c r="B7" s="3">
        <v>1</v>
      </c>
      <c r="C7" s="3">
        <f/>
        <v>0</v>
      </c>
      <c r="D7" s="3" t="s">
        <v>19</v>
      </c>
      <c r="E7" s="3" t="s">
        <v>20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HYPERLINK("http://141.218.60.56/~jnz1568/getInfo.php?workbook=07_01.xlsx&amp;sheet=E0&amp;row=7&amp;col=10&amp;number=4035642.12&amp;sourceID=2","4035642.12")</f>
        <v>4035642.12</v>
      </c>
      <c r="K7" s="4" t="str">
        <f>HYPERLINK("http://141.218.60.56/~jnz1568/getInfo.php?workbook=07_01.xlsx&amp;sheet=E0&amp;row=7&amp;col=11&amp;number=4035981.1367&amp;sourceID=11","4035981.1367")</f>
        <v>4035981.1367</v>
      </c>
      <c r="L7" s="4" t="str">
        <f>HYPERLINK("http://141.218.60.56/~jnz1568/getInfo.php?workbook=07_01.xlsx&amp;sheet=E0&amp;row=7&amp;col=12&amp;number=4035642.659&amp;sourceID=12","4035642.659")</f>
        <v>4035642.659</v>
      </c>
      <c r="M7" s="4" t="str">
        <f>HYPERLINK("http://141.218.60.56/~jnz1568/getInfo.php?workbook=07_01.xlsx&amp;sheet=E0&amp;row=7&amp;col=13&amp;number=4036139.56828&amp;sourceID=30","4036139.56828")</f>
        <v>4036139.56828</v>
      </c>
      <c r="N7" s="4" t="str">
        <f>HYPERLINK("http://141.218.60.56/~jnz1568/getInfo.php?workbook=07_01.xlsx&amp;sheet=E0&amp;row=7&amp;col=14&amp;number=4035804.86947&amp;sourceID=30","4035804.86947")</f>
        <v>4035804.86947</v>
      </c>
      <c r="O7" s="4" t="str">
        <f>HYPERLINK("http://141.218.60.56/~jnz1568/getInfo.php?workbook=07_01.xlsx&amp;sheet=E0&amp;row=7&amp;col=15&amp;number=4036137&amp;sourceID=13","4036137")</f>
        <v>4036137</v>
      </c>
    </row>
    <row r="8" spans="1:15">
      <c r="A8" s="3">
        <v>7</v>
      </c>
      <c r="B8" s="3">
        <v>1</v>
      </c>
      <c r="C8" s="3">
        <f/>
        <v>0</v>
      </c>
      <c r="D8" s="3" t="s">
        <v>22</v>
      </c>
      <c r="E8" s="3" t="s">
        <v>20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HYPERLINK("http://141.218.60.56/~jnz1568/getInfo.php?workbook=07_01.xlsx&amp;sheet=E0&amp;row=8&amp;col=10&amp;number=4782264.01&amp;sourceID=2","4782264.01")</f>
        <v>4782264.01</v>
      </c>
      <c r="K8" s="4" t="str">
        <f>HYPERLINK("http://141.218.60.56/~jnz1568/getInfo.php?workbook=07_01.xlsx&amp;sheet=E0&amp;row=8&amp;col=11&amp;number=4782604.3539&amp;sourceID=11","4782604.3539")</f>
        <v>4782604.3539</v>
      </c>
      <c r="L8" s="4" t="str">
        <f>HYPERLINK("http://141.218.60.56/~jnz1568/getInfo.php?workbook=07_01.xlsx&amp;sheet=E0&amp;row=8&amp;col=12&amp;number=4782264.6122&amp;sourceID=12","4782264.6122")</f>
        <v>4782264.6122</v>
      </c>
      <c r="M8" s="4" t="str">
        <f>HYPERLINK("http://141.218.60.56/~jnz1568/getInfo.php?workbook=07_01.xlsx&amp;sheet=E0&amp;row=8&amp;col=13&amp;number=4782792.26421&amp;sourceID=30","4782792.26421")</f>
        <v>4782792.26421</v>
      </c>
      <c r="N8" s="4" t="str">
        <f>HYPERLINK("http://141.218.60.56/~jnz1568/getInfo.php?workbook=07_01.xlsx&amp;sheet=E0&amp;row=8&amp;col=14&amp;number=4782455.37065&amp;sourceID=30","4782455.37065")</f>
        <v>4782455.37065</v>
      </c>
      <c r="O8" s="4" t="str">
        <f>HYPERLINK("http://141.218.60.56/~jnz1568/getInfo.php?workbook=07_01.xlsx&amp;sheet=E0&amp;row=8&amp;col=15&amp;number=4782790&amp;sourceID=13","4782790")</f>
        <v>4782790</v>
      </c>
    </row>
    <row r="9" spans="1:15">
      <c r="A9" s="3">
        <v>7</v>
      </c>
      <c r="B9" s="3">
        <v>1</v>
      </c>
      <c r="C9" s="3">
        <f/>
        <v>0</v>
      </c>
      <c r="D9" s="3" t="s">
        <v>23</v>
      </c>
      <c r="E9" s="3" t="s">
        <v>18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HYPERLINK("http://141.218.60.56/~jnz1568/getInfo.php?workbook=07_01.xlsx&amp;sheet=E0&amp;row=9&amp;col=10&amp;number=4782277.62&amp;sourceID=2","4782277.62")</f>
        <v>4782277.62</v>
      </c>
      <c r="K9" s="4" t="str">
        <f>HYPERLINK("http://141.218.60.56/~jnz1568/getInfo.php?workbook=07_01.xlsx&amp;sheet=E0&amp;row=9&amp;col=11&amp;number=4782604.3539&amp;sourceID=11","4782604.3539")</f>
        <v>4782604.3539</v>
      </c>
      <c r="L9" s="4" t="str">
        <f>HYPERLINK("http://141.218.60.56/~jnz1568/getInfo.php?workbook=07_01.xlsx&amp;sheet=E0&amp;row=9&amp;col=12&amp;number=4782278.2202&amp;sourceID=12","4782278.2202")</f>
        <v>4782278.2202</v>
      </c>
      <c r="M9" s="4" t="str">
        <f>HYPERLINK("http://141.218.60.56/~jnz1568/getInfo.php?workbook=07_01.xlsx&amp;sheet=E0&amp;row=9&amp;col=13&amp;number=4782792.26421&amp;sourceID=30","4782792.26421")</f>
        <v>4782792.26421</v>
      </c>
      <c r="N9" s="4" t="str">
        <f>HYPERLINK("http://141.218.60.56/~jnz1568/getInfo.php?workbook=07_01.xlsx&amp;sheet=E0&amp;row=9&amp;col=14&amp;number=4782469.6365&amp;sourceID=30","4782469.6365")</f>
        <v>4782469.6365</v>
      </c>
      <c r="O9" s="4" t="str">
        <f>HYPERLINK("http://141.218.60.56/~jnz1568/getInfo.php?workbook=07_01.xlsx&amp;sheet=E0&amp;row=9&amp;col=15&amp;number=4782790&amp;sourceID=13","4782790")</f>
        <v>4782790</v>
      </c>
    </row>
    <row r="10" spans="1:15">
      <c r="A10" s="3">
        <v>7</v>
      </c>
      <c r="B10" s="3">
        <v>1</v>
      </c>
      <c r="C10" s="3">
        <f/>
        <v>0</v>
      </c>
      <c r="D10" s="3" t="s">
        <v>24</v>
      </c>
      <c r="E10" s="3" t="s">
        <v>25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HYPERLINK("http://141.218.60.56/~jnz1568/getInfo.php?workbook=07_01.xlsx&amp;sheet=E0&amp;row=10&amp;col=10&amp;number=4782524.42&amp;sourceID=2","4782524.42")</f>
        <v>4782524.42</v>
      </c>
      <c r="K10" s="4" t="str">
        <f>HYPERLINK("http://141.218.60.56/~jnz1568/getInfo.php?workbook=07_01.xlsx&amp;sheet=E0&amp;row=10&amp;col=11&amp;number=4782864.6088&amp;sourceID=11","4782864.6088")</f>
        <v>4782864.6088</v>
      </c>
      <c r="L10" s="4" t="str">
        <f>HYPERLINK("http://141.218.60.56/~jnz1568/getInfo.php?workbook=07_01.xlsx&amp;sheet=E0&amp;row=10&amp;col=12&amp;number=4782525.0211&amp;sourceID=12","4782525.0211")</f>
        <v>4782525.0211</v>
      </c>
      <c r="M10" s="4" t="str">
        <f>HYPERLINK("http://141.218.60.56/~jnz1568/getInfo.php?workbook=07_01.xlsx&amp;sheet=E0&amp;row=10&amp;col=13&amp;number=4783052.34164&amp;sourceID=30","4783052.34164")</f>
        <v>4783052.34164</v>
      </c>
      <c r="N10" s="4" t="str">
        <f>HYPERLINK("http://141.218.60.56/~jnz1568/getInfo.php?workbook=07_01.xlsx&amp;sheet=E0&amp;row=10&amp;col=14&amp;number=4782716.54546&amp;sourceID=30","4782716.54546")</f>
        <v>4782716.54546</v>
      </c>
      <c r="O10" s="4" t="str">
        <f>HYPERLINK("http://141.218.60.56/~jnz1568/getInfo.php?workbook=07_01.xlsx&amp;sheet=E0&amp;row=10&amp;col=15&amp;number=4783049&amp;sourceID=13","4783049")</f>
        <v>4783049</v>
      </c>
    </row>
    <row r="11" spans="1:15">
      <c r="A11" s="3">
        <v>7</v>
      </c>
      <c r="B11" s="3">
        <v>1</v>
      </c>
      <c r="C11" s="3">
        <f/>
        <v>0</v>
      </c>
      <c r="D11" s="3" t="s">
        <v>22</v>
      </c>
      <c r="E11" s="3" t="s">
        <v>20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HYPERLINK("http://141.218.60.56/~jnz1568/getInfo.php?workbook=07_01.xlsx&amp;sheet=E0&amp;row=11&amp;col=10&amp;number=4782524.86&amp;sourceID=2","4782524.86")</f>
        <v>4782524.86</v>
      </c>
      <c r="K11" s="4" t="str">
        <f>HYPERLINK("http://141.218.60.56/~jnz1568/getInfo.php?workbook=07_01.xlsx&amp;sheet=E0&amp;row=11&amp;col=11&amp;number=4782864.6088&amp;sourceID=11","4782864.6088")</f>
        <v>4782864.6088</v>
      </c>
      <c r="L11" s="4" t="str">
        <f>HYPERLINK("http://141.218.60.56/~jnz1568/getInfo.php?workbook=07_01.xlsx&amp;sheet=E0&amp;row=11&amp;col=12&amp;number=4782525.4572&amp;sourceID=12","4782525.4572")</f>
        <v>4782525.4572</v>
      </c>
      <c r="M11" s="4" t="str">
        <f>HYPERLINK("http://141.218.60.56/~jnz1568/getInfo.php?workbook=07_01.xlsx&amp;sheet=E0&amp;row=11&amp;col=13&amp;number=4783052.34164&amp;sourceID=30","4783052.34164")</f>
        <v>4783052.34164</v>
      </c>
      <c r="N11" s="4" t="str">
        <f>HYPERLINK("http://141.218.60.56/~jnz1568/getInfo.php?workbook=07_01.xlsx&amp;sheet=E0&amp;row=11&amp;col=14&amp;number=4782716.54546&amp;sourceID=30","4782716.54546")</f>
        <v>4782716.54546</v>
      </c>
      <c r="O11" s="4" t="str">
        <f>HYPERLINK("http://141.218.60.56/~jnz1568/getInfo.php?workbook=07_01.xlsx&amp;sheet=E0&amp;row=11&amp;col=15&amp;number=4783049&amp;sourceID=13","4783049")</f>
        <v>4783049</v>
      </c>
    </row>
    <row r="12" spans="1:15">
      <c r="A12" s="3">
        <v>7</v>
      </c>
      <c r="B12" s="3">
        <v>1</v>
      </c>
      <c r="C12" s="3">
        <f/>
        <v>0</v>
      </c>
      <c r="D12" s="3" t="s">
        <v>24</v>
      </c>
      <c r="E12" s="3" t="s">
        <v>25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HYPERLINK("http://141.218.60.56/~jnz1568/getInfo.php?workbook=07_01.xlsx&amp;sheet=E0&amp;row=12&amp;col=10&amp;number=4782611.27&amp;sourceID=2","4782611.27")</f>
        <v>4782611.27</v>
      </c>
      <c r="K12" s="4" t="str">
        <f>HYPERLINK("http://141.218.60.56/~jnz1568/getInfo.php?workbook=07_01.xlsx&amp;sheet=E0&amp;row=12&amp;col=11&amp;number=4782951.2535&amp;sourceID=11","4782951.2535")</f>
        <v>4782951.2535</v>
      </c>
      <c r="L12" s="4" t="str">
        <f>HYPERLINK("http://141.218.60.56/~jnz1568/getInfo.php?workbook=07_01.xlsx&amp;sheet=E0&amp;row=12&amp;col=12&amp;number=4782611.8665&amp;sourceID=12","4782611.8665")</f>
        <v>4782611.8665</v>
      </c>
      <c r="M12" s="4" t="str">
        <f>HYPERLINK("http://141.218.60.56/~jnz1568/getInfo.php?workbook=07_01.xlsx&amp;sheet=E0&amp;row=12&amp;col=13&amp;number=4783139.03412&amp;sourceID=30","4783139.03412")</f>
        <v>4783139.03412</v>
      </c>
      <c r="N12" s="4" t="str">
        <f>HYPERLINK("http://141.218.60.56/~jnz1568/getInfo.php?workbook=07_01.xlsx&amp;sheet=E0&amp;row=12&amp;col=14&amp;number=4782803.23794&amp;sourceID=30","4782803.23794")</f>
        <v>4782803.23794</v>
      </c>
      <c r="O12" s="4" t="str">
        <f>HYPERLINK("http://141.218.60.56/~jnz1568/getInfo.php?workbook=07_01.xlsx&amp;sheet=E0&amp;row=12&amp;col=15&amp;number=4783136&amp;sourceID=13","4783136")</f>
        <v>4783136</v>
      </c>
    </row>
    <row r="13" spans="1:15">
      <c r="A13" s="3">
        <v>7</v>
      </c>
      <c r="B13" s="3">
        <v>1</v>
      </c>
      <c r="C13" s="3">
        <f/>
        <v>0</v>
      </c>
      <c r="D13" s="3" t="s">
        <v>26</v>
      </c>
      <c r="E13" s="3" t="s">
        <v>20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HYPERLINK("http://141.218.60.56/~jnz1568/getInfo.php?workbook=07_01.xlsx&amp;sheet=E0&amp;row=13&amp;col=10&amp;number=5043854.01&amp;sourceID=2","5043854.01")</f>
        <v>5043854.01</v>
      </c>
      <c r="K13" s="4" t="str">
        <f>HYPERLINK("http://141.218.60.56/~jnz1568/getInfo.php?workbook=07_01.xlsx&amp;sheet=E0&amp;row=13&amp;col=11&amp;number=5044194.1907&amp;sourceID=11","5044194.1907")</f>
        <v>5044194.1907</v>
      </c>
      <c r="L13" s="4" t="str">
        <f>HYPERLINK("http://141.218.60.56/~jnz1568/getInfo.php?workbook=07_01.xlsx&amp;sheet=E0&amp;row=13&amp;col=12&amp;number=5043854.6092&amp;sourceID=12","5043854.6092")</f>
        <v>5043854.6092</v>
      </c>
      <c r="M13" s="4" t="str">
        <f>HYPERLINK("http://141.218.60.56/~jnz1568/getInfo.php?workbook=07_01.xlsx&amp;sheet=E0&amp;row=13&amp;col=13&amp;number=5044391.75895&amp;sourceID=30","5044391.75895")</f>
        <v>5044391.75895</v>
      </c>
      <c r="N13" s="4" t="str">
        <f>HYPERLINK("http://141.218.60.56/~jnz1568/getInfo.php?workbook=07_01.xlsx&amp;sheet=E0&amp;row=13&amp;col=14&amp;number=5044055.96276&amp;sourceID=30","5044055.96276")</f>
        <v>5044055.96276</v>
      </c>
      <c r="O13" s="4" t="str">
        <f>HYPERLINK("http://141.218.60.56/~jnz1568/getInfo.php?workbook=07_01.xlsx&amp;sheet=E0&amp;row=13&amp;col=15&amp;number=5044390&amp;sourceID=13","5044390")</f>
        <v>5044390</v>
      </c>
    </row>
    <row r="14" spans="1:15">
      <c r="A14" s="3">
        <v>7</v>
      </c>
      <c r="B14" s="3">
        <v>1</v>
      </c>
      <c r="C14" s="3">
        <f/>
        <v>0</v>
      </c>
      <c r="D14" s="3" t="s">
        <v>27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HYPERLINK("http://141.218.60.56/~jnz1568/getInfo.php?workbook=07_01.xlsx&amp;sheet=E0&amp;row=14&amp;col=10&amp;number=5043859.77&amp;sourceID=2","5043859.77")</f>
        <v>5043859.77</v>
      </c>
      <c r="K14" s="4" t="str">
        <f>HYPERLINK("http://141.218.60.56/~jnz1568/getInfo.php?workbook=07_01.xlsx&amp;sheet=E0&amp;row=14&amp;col=11&amp;number=5044194.1907&amp;sourceID=11","5044194.1907")</f>
        <v>5044194.1907</v>
      </c>
      <c r="L14" s="4" t="str">
        <f>HYPERLINK("http://141.218.60.56/~jnz1568/getInfo.php?workbook=07_01.xlsx&amp;sheet=E0&amp;row=14&amp;col=12&amp;number=5043860.3682&amp;sourceID=12","5043860.3682")</f>
        <v>5043860.3682</v>
      </c>
      <c r="M14" s="4" t="str">
        <f>HYPERLINK("http://141.218.60.56/~jnz1568/getInfo.php?workbook=07_01.xlsx&amp;sheet=E0&amp;row=14&amp;col=13&amp;number=5044391.75895&amp;sourceID=30","5044391.75895")</f>
        <v>5044391.75895</v>
      </c>
      <c r="N14" s="4" t="str">
        <f>HYPERLINK("http://141.218.60.56/~jnz1568/getInfo.php?workbook=07_01.xlsx&amp;sheet=E0&amp;row=14&amp;col=14&amp;number=5044061.44963&amp;sourceID=30","5044061.44963")</f>
        <v>5044061.44963</v>
      </c>
      <c r="O14" s="4" t="str">
        <f>HYPERLINK("http://141.218.60.56/~jnz1568/getInfo.php?workbook=07_01.xlsx&amp;sheet=E0&amp;row=14&amp;col=15&amp;number=5044390&amp;sourceID=13","5044390")</f>
        <v>5044390</v>
      </c>
    </row>
    <row r="15" spans="1:15">
      <c r="A15" s="3">
        <v>7</v>
      </c>
      <c r="B15" s="3">
        <v>1</v>
      </c>
      <c r="C15" s="3">
        <f/>
        <v>0</v>
      </c>
      <c r="D15" s="3" t="s">
        <v>28</v>
      </c>
      <c r="E15" s="3" t="s">
        <v>25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HYPERLINK("http://141.218.60.56/~jnz1568/getInfo.php?workbook=07_01.xlsx&amp;sheet=E0&amp;row=15&amp;col=10&amp;number=5043963.86&amp;sourceID=2","5043963.86")</f>
        <v>5043963.86</v>
      </c>
      <c r="K15" s="4" t="str">
        <f>HYPERLINK("http://141.218.60.56/~jnz1568/getInfo.php?workbook=07_01.xlsx&amp;sheet=E0&amp;row=15&amp;col=11&amp;number=5044303.9797&amp;sourceID=11","5044303.9797")</f>
        <v>5044303.9797</v>
      </c>
      <c r="L15" s="4" t="str">
        <f>HYPERLINK("http://141.218.60.56/~jnz1568/getInfo.php?workbook=07_01.xlsx&amp;sheet=E0&amp;row=15&amp;col=12&amp;number=5043964.4612&amp;sourceID=12","5043964.4612")</f>
        <v>5043964.4612</v>
      </c>
      <c r="M15" s="4" t="str">
        <f>HYPERLINK("http://141.218.60.56/~jnz1568/getInfo.php?workbook=07_01.xlsx&amp;sheet=E0&amp;row=15&amp;col=13&amp;number=5044501.49626&amp;sourceID=30","5044501.49626")</f>
        <v>5044501.49626</v>
      </c>
      <c r="N15" s="4" t="str">
        <f>HYPERLINK("http://141.218.60.56/~jnz1568/getInfo.php?workbook=07_01.xlsx&amp;sheet=E0&amp;row=15&amp;col=14&amp;number=5044165.70008&amp;sourceID=30","5044165.70008")</f>
        <v>5044165.70008</v>
      </c>
      <c r="O15" s="4" t="str">
        <f>HYPERLINK("http://141.218.60.56/~jnz1568/getInfo.php?workbook=07_01.xlsx&amp;sheet=E0&amp;row=15&amp;col=15&amp;number=5044499&amp;sourceID=13","5044499")</f>
        <v>5044499</v>
      </c>
    </row>
    <row r="16" spans="1:15">
      <c r="A16" s="3">
        <v>7</v>
      </c>
      <c r="B16" s="3">
        <v>1</v>
      </c>
      <c r="C16" s="3">
        <f/>
        <v>0</v>
      </c>
      <c r="D16" s="3" t="s">
        <v>26</v>
      </c>
      <c r="E16" s="3" t="s">
        <v>20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HYPERLINK("http://141.218.60.56/~jnz1568/getInfo.php?workbook=07_01.xlsx&amp;sheet=E0&amp;row=16&amp;col=10&amp;number=5043964.05&amp;sourceID=2","5043964.05")</f>
        <v>5043964.05</v>
      </c>
      <c r="K16" s="4" t="str">
        <f>HYPERLINK("http://141.218.60.56/~jnz1568/getInfo.php?workbook=07_01.xlsx&amp;sheet=E0&amp;row=16&amp;col=11&amp;number=5044303.9797&amp;sourceID=11","5044303.9797")</f>
        <v>5044303.9797</v>
      </c>
      <c r="L16" s="4" t="str">
        <f>HYPERLINK("http://141.218.60.56/~jnz1568/getInfo.php?workbook=07_01.xlsx&amp;sheet=E0&amp;row=16&amp;col=12&amp;number=5043964.6472&amp;sourceID=12","5043964.6472")</f>
        <v>5043964.6472</v>
      </c>
      <c r="M16" s="4" t="str">
        <f>HYPERLINK("http://141.218.60.56/~jnz1568/getInfo.php?workbook=07_01.xlsx&amp;sheet=E0&amp;row=16&amp;col=13&amp;number=5044501.49626&amp;sourceID=30","5044501.49626")</f>
        <v>5044501.49626</v>
      </c>
      <c r="N16" s="4" t="str">
        <f>HYPERLINK("http://141.218.60.56/~jnz1568/getInfo.php?workbook=07_01.xlsx&amp;sheet=E0&amp;row=16&amp;col=14&amp;number=5044165.70008&amp;sourceID=30","5044165.70008")</f>
        <v>5044165.70008</v>
      </c>
      <c r="O16" s="4" t="str">
        <f>HYPERLINK("http://141.218.60.56/~jnz1568/getInfo.php?workbook=07_01.xlsx&amp;sheet=E0&amp;row=16&amp;col=15&amp;number=5044499&amp;sourceID=13","5044499")</f>
        <v>5044499</v>
      </c>
    </row>
    <row r="17" spans="1:15">
      <c r="A17" s="3">
        <v>7</v>
      </c>
      <c r="B17" s="3">
        <v>1</v>
      </c>
      <c r="C17" s="3">
        <f/>
        <v>0</v>
      </c>
      <c r="D17" s="3" t="s">
        <v>29</v>
      </c>
      <c r="E17" s="3" t="s">
        <v>30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HYPERLINK("http://141.218.60.56/~jnz1568/getInfo.php?workbook=07_01.xlsx&amp;sheet=E0&amp;row=17&amp;col=10&amp;number=5044000.44&amp;sourceID=2","5044000.44")</f>
        <v>5044000.44</v>
      </c>
      <c r="K17" s="4" t="str">
        <f>HYPERLINK("http://141.218.60.56/~jnz1568/getInfo.php?workbook=07_01.xlsx&amp;sheet=E0&amp;row=17&amp;col=11&amp;number=5044340.535&amp;sourceID=11","5044340.535")</f>
        <v>5044340.535</v>
      </c>
      <c r="L17" s="4" t="str">
        <f>HYPERLINK("http://141.218.60.56/~jnz1568/getInfo.php?workbook=07_01.xlsx&amp;sheet=E0&amp;row=17&amp;col=12&amp;number=5044001.0345&amp;sourceID=12","5044001.0345")</f>
        <v>5044001.0345</v>
      </c>
      <c r="M17" s="4" t="str">
        <f>HYPERLINK("http://141.218.60.56/~jnz1568/getInfo.php?workbook=07_01.xlsx&amp;sheet=E0&amp;row=17&amp;col=13&amp;number=5044538.80695&amp;sourceID=30","5044538.80695")</f>
        <v>5044538.80695</v>
      </c>
      <c r="N17" s="4" t="str">
        <f>HYPERLINK("http://141.218.60.56/~jnz1568/getInfo.php?workbook=07_01.xlsx&amp;sheet=E0&amp;row=17&amp;col=14&amp;number=5044203.01077&amp;sourceID=30","5044203.01077")</f>
        <v>5044203.01077</v>
      </c>
      <c r="O17" s="4" t="str">
        <f>HYPERLINK("http://141.218.60.56/~jnz1568/getInfo.php?workbook=07_01.xlsx&amp;sheet=E0&amp;row=17&amp;col=15&amp;number=5044536&amp;sourceID=13","5044536")</f>
        <v>5044536</v>
      </c>
    </row>
    <row r="18" spans="1:15">
      <c r="A18" s="3">
        <v>7</v>
      </c>
      <c r="B18" s="3">
        <v>1</v>
      </c>
      <c r="C18" s="3">
        <f/>
        <v>0</v>
      </c>
      <c r="D18" s="3" t="s">
        <v>28</v>
      </c>
      <c r="E18" s="3" t="s">
        <v>25</v>
      </c>
      <c r="F18" s="3">
        <v>2</v>
      </c>
      <c r="G18" s="3">
        <v>2</v>
      </c>
      <c r="H18" s="3">
        <v>0</v>
      </c>
      <c r="I18" s="3">
        <v>2.5</v>
      </c>
      <c r="J18" s="4" t="str">
        <f>HYPERLINK("http://141.218.60.56/~jnz1568/getInfo.php?workbook=07_01.xlsx&amp;sheet=E0&amp;row=18&amp;col=10&amp;number=5044000.5&amp;sourceID=2","5044000.5")</f>
        <v>5044000.5</v>
      </c>
      <c r="K18" s="4" t="str">
        <f>HYPERLINK("http://141.218.60.56/~jnz1568/getInfo.php?workbook=07_01.xlsx&amp;sheet=E0&amp;row=18&amp;col=11&amp;number=5044340.535&amp;sourceID=11","5044340.535")</f>
        <v>5044340.535</v>
      </c>
      <c r="L18" s="4" t="str">
        <f>HYPERLINK("http://141.218.60.56/~jnz1568/getInfo.php?workbook=07_01.xlsx&amp;sheet=E0&amp;row=18&amp;col=12&amp;number=5044001.1002&amp;sourceID=12","5044001.1002")</f>
        <v>5044001.1002</v>
      </c>
      <c r="M18" s="4" t="str">
        <f>HYPERLINK("http://141.218.60.56/~jnz1568/getInfo.php?workbook=07_01.xlsx&amp;sheet=E0&amp;row=18&amp;col=13&amp;number=5044538.80695&amp;sourceID=30","5044538.80695")</f>
        <v>5044538.80695</v>
      </c>
      <c r="N18" s="4" t="str">
        <f>HYPERLINK("http://141.218.60.56/~jnz1568/getInfo.php?workbook=07_01.xlsx&amp;sheet=E0&amp;row=18&amp;col=14&amp;number=5044203.01077&amp;sourceID=30","5044203.01077")</f>
        <v>5044203.01077</v>
      </c>
      <c r="O18" s="4" t="str">
        <f>HYPERLINK("http://141.218.60.56/~jnz1568/getInfo.php?workbook=07_01.xlsx&amp;sheet=E0&amp;row=18&amp;col=15&amp;number=5044536&amp;sourceID=13","5044536")</f>
        <v>5044536</v>
      </c>
    </row>
    <row r="19" spans="1:15">
      <c r="A19" s="3">
        <v>7</v>
      </c>
      <c r="B19" s="3">
        <v>1</v>
      </c>
      <c r="C19" s="3">
        <f/>
        <v>0</v>
      </c>
      <c r="D19" s="3" t="s">
        <v>29</v>
      </c>
      <c r="E19" s="3" t="s">
        <v>30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HYPERLINK("http://141.218.60.56/~jnz1568/getInfo.php?workbook=07_01.xlsx&amp;sheet=E0&amp;row=19&amp;col=10&amp;number=5044018.75&amp;sourceID=2","5044018.75")</f>
        <v>5044018.75</v>
      </c>
      <c r="K19" s="4" t="str">
        <f>HYPERLINK("http://141.218.60.56/~jnz1568/getInfo.php?workbook=07_01.xlsx&amp;sheet=E0&amp;row=19&amp;col=11&amp;number=5044358.8071&amp;sourceID=11","5044358.8071")</f>
        <v>5044358.8071</v>
      </c>
      <c r="L19" s="4" t="str">
        <f>HYPERLINK("http://141.218.60.56/~jnz1568/getInfo.php?workbook=07_01.xlsx&amp;sheet=E0&amp;row=19&amp;col=12&amp;number=5044019.349&amp;sourceID=12","5044019.349")</f>
        <v>5044019.349</v>
      </c>
      <c r="M19" s="4" t="str">
        <f>HYPERLINK("http://141.218.60.56/~jnz1568/getInfo.php?workbook=07_01.xlsx&amp;sheet=E0&amp;row=19&amp;col=13&amp;number=5044556.36492&amp;sourceID=30","5044556.36492")</f>
        <v>5044556.36492</v>
      </c>
      <c r="N19" s="4" t="str">
        <f>HYPERLINK("http://141.218.60.56/~jnz1568/getInfo.php?workbook=07_01.xlsx&amp;sheet=E0&amp;row=19&amp;col=14&amp;number=5044220.56874&amp;sourceID=30","5044220.56874")</f>
        <v>5044220.56874</v>
      </c>
      <c r="O19" s="4" t="str">
        <f>HYPERLINK("http://141.218.60.56/~jnz1568/getInfo.php?workbook=07_01.xlsx&amp;sheet=E0&amp;row=19&amp;col=15&amp;number=5044554&amp;sourceID=13","5044554")</f>
        <v>5044554</v>
      </c>
    </row>
    <row r="20" spans="1:15">
      <c r="A20" s="3">
        <v>7</v>
      </c>
      <c r="B20" s="3">
        <v>1</v>
      </c>
      <c r="C20" s="3">
        <f/>
        <v>0</v>
      </c>
      <c r="D20" s="3" t="s">
        <v>31</v>
      </c>
      <c r="E20" s="3" t="s">
        <v>20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HYPERLINK("http://141.218.60.56/~jnz1568/getInfo.php?workbook=07_01.xlsx&amp;sheet=E0&amp;row=20&amp;col=10&amp;number=5164917.53&amp;sourceID=2","5164917.53")</f>
        <v>5164917.53</v>
      </c>
      <c r="K20" s="4" t="str">
        <f>HYPERLINK("http://141.218.60.56/~jnz1568/getInfo.php?workbook=07_01.xlsx&amp;sheet=E0&amp;row=20&amp;col=11&amp;number=5165257.6535&amp;sourceID=11","5165257.6535")</f>
        <v>5165257.6535</v>
      </c>
      <c r="L20" s="4" t="str">
        <f>HYPERLINK("http://141.218.60.56/~jnz1568/getInfo.php?workbook=07_01.xlsx&amp;sheet=E0&amp;row=20&amp;col=12&amp;number=5164918.1264&amp;sourceID=12","5164918.1264")</f>
        <v>5164918.1264</v>
      </c>
      <c r="M20" s="4" t="str">
        <f>HYPERLINK("http://141.218.60.56/~jnz1568/getInfo.php?workbook=07_01.xlsx&amp;sheet=E0&amp;row=20&amp;col=13&amp;number=5165460.54985&amp;sourceID=30","5165460.54985")</f>
        <v>5165460.54985</v>
      </c>
      <c r="N20" s="4" t="str">
        <f>HYPERLINK("http://141.218.60.56/~jnz1568/getInfo.php?workbook=07_01.xlsx&amp;sheet=E0&amp;row=20&amp;col=14&amp;number=5165124.75367&amp;sourceID=30","5165124.75367")</f>
        <v>5165124.75367</v>
      </c>
      <c r="O20" s="4" t="str">
        <f>HYPERLINK("http://141.218.60.56/~jnz1568/getInfo.php?workbook=07_01.xlsx&amp;sheet=E0&amp;row=20&amp;col=15&amp;number=&amp;sourceID=13","")</f>
        <v/>
      </c>
    </row>
    <row r="21" spans="1:15">
      <c r="A21" s="3">
        <v>7</v>
      </c>
      <c r="B21" s="3">
        <v>1</v>
      </c>
      <c r="C21" s="3">
        <f/>
        <v>0</v>
      </c>
      <c r="D21" s="3" t="s">
        <v>32</v>
      </c>
      <c r="E21" s="3" t="s">
        <v>18</v>
      </c>
      <c r="F21" s="3">
        <v>2</v>
      </c>
      <c r="G21" s="3">
        <v>0</v>
      </c>
      <c r="H21" s="3">
        <v>0</v>
      </c>
      <c r="I21" s="3">
        <v>0.5</v>
      </c>
      <c r="J21" s="4" t="str">
        <f>HYPERLINK("http://141.218.60.56/~jnz1568/getInfo.php?workbook=07_01.xlsx&amp;sheet=E0&amp;row=21&amp;col=10&amp;number=5164920.48&amp;sourceID=2","5164920.48")</f>
        <v>5164920.48</v>
      </c>
      <c r="K21" s="4" t="str">
        <f>HYPERLINK("http://141.218.60.56/~jnz1568/getInfo.php?workbook=07_01.xlsx&amp;sheet=E0&amp;row=21&amp;col=11&amp;number=5165257.6535&amp;sourceID=11","5165257.6535")</f>
        <v>5165257.6535</v>
      </c>
      <c r="L21" s="4" t="str">
        <f>HYPERLINK("http://141.218.60.56/~jnz1568/getInfo.php?workbook=07_01.xlsx&amp;sheet=E0&amp;row=21&amp;col=12&amp;number=5164921.0792&amp;sourceID=12","5164921.0792")</f>
        <v>5164921.0792</v>
      </c>
      <c r="M21" s="4" t="str">
        <f>HYPERLINK("http://141.218.60.56/~jnz1568/getInfo.php?workbook=07_01.xlsx&amp;sheet=E0&amp;row=21&amp;col=13&amp;number=5165460.54985&amp;sourceID=30","5165460.54985")</f>
        <v>5165460.54985</v>
      </c>
      <c r="N21" s="4" t="str">
        <f>HYPERLINK("http://141.218.60.56/~jnz1568/getInfo.php?workbook=07_01.xlsx&amp;sheet=E0&amp;row=21&amp;col=14&amp;number=5165126.94841&amp;sourceID=30","5165126.94841")</f>
        <v>5165126.94841</v>
      </c>
      <c r="O21" s="4" t="str">
        <f>HYPERLINK("http://141.218.60.56/~jnz1568/getInfo.php?workbook=07_01.xlsx&amp;sheet=E0&amp;row=21&amp;col=15&amp;number=&amp;sourceID=13","")</f>
        <v/>
      </c>
    </row>
    <row r="22" spans="1:15">
      <c r="A22" s="3">
        <v>7</v>
      </c>
      <c r="B22" s="3">
        <v>1</v>
      </c>
      <c r="C22" s="3">
        <f/>
        <v>0</v>
      </c>
      <c r="D22" s="3" t="s">
        <v>33</v>
      </c>
      <c r="E22" s="3" t="s">
        <v>25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HYPERLINK("http://141.218.60.56/~jnz1568/getInfo.php?workbook=07_01.xlsx&amp;sheet=E0&amp;row=22&amp;col=10&amp;number=5164973.77&amp;sourceID=2","5164973.77")</f>
        <v>5164973.77</v>
      </c>
      <c r="K22" s="4" t="str">
        <f>HYPERLINK("http://141.218.60.56/~jnz1568/getInfo.php?workbook=07_01.xlsx&amp;sheet=E0&amp;row=22&amp;col=11&amp;number=5165313.8622&amp;sourceID=11","5165313.8622")</f>
        <v>5165313.8622</v>
      </c>
      <c r="L22" s="4" t="str">
        <f>HYPERLINK("http://141.218.60.56/~jnz1568/getInfo.php?workbook=07_01.xlsx&amp;sheet=E0&amp;row=22&amp;col=12&amp;number=5164974.3663&amp;sourceID=12","5164974.3663")</f>
        <v>5164974.3663</v>
      </c>
      <c r="M22" s="4" t="str">
        <f>HYPERLINK("http://141.218.60.56/~jnz1568/getInfo.php?workbook=07_01.xlsx&amp;sheet=E0&amp;row=22&amp;col=13&amp;number=5165516.51588&amp;sourceID=30","5165516.51588")</f>
        <v>5165516.51588</v>
      </c>
      <c r="N22" s="4" t="str">
        <f>HYPERLINK("http://141.218.60.56/~jnz1568/getInfo.php?workbook=07_01.xlsx&amp;sheet=E0&amp;row=22&amp;col=14&amp;number=5165180.7197&amp;sourceID=30","5165180.7197")</f>
        <v>5165180.7197</v>
      </c>
      <c r="O22" s="4" t="str">
        <f>HYPERLINK("http://141.218.60.56/~jnz1568/getInfo.php?workbook=07_01.xlsx&amp;sheet=E0&amp;row=22&amp;col=15&amp;number=&amp;sourceID=13","")</f>
        <v/>
      </c>
    </row>
    <row r="23" spans="1:15">
      <c r="A23" s="3">
        <v>7</v>
      </c>
      <c r="B23" s="3">
        <v>1</v>
      </c>
      <c r="C23" s="3">
        <f/>
        <v>0</v>
      </c>
      <c r="D23" s="3" t="s">
        <v>31</v>
      </c>
      <c r="E23" s="3" t="s">
        <v>20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HYPERLINK("http://141.218.60.56/~jnz1568/getInfo.php?workbook=07_01.xlsx&amp;sheet=E0&amp;row=23&amp;col=10&amp;number=5164973.86&amp;sourceID=2","5164973.86")</f>
        <v>5164973.86</v>
      </c>
      <c r="K23" s="4" t="str">
        <f>HYPERLINK("http://141.218.60.56/~jnz1568/getInfo.php?workbook=07_01.xlsx&amp;sheet=E0&amp;row=23&amp;col=11&amp;number=5165313.8622&amp;sourceID=11","5165313.8622")</f>
        <v>5165313.8622</v>
      </c>
      <c r="L23" s="4" t="str">
        <f>HYPERLINK("http://141.218.60.56/~jnz1568/getInfo.php?workbook=07_01.xlsx&amp;sheet=E0&amp;row=23&amp;col=12&amp;number=5164974.4626&amp;sourceID=12","5164974.4626")</f>
        <v>5164974.4626</v>
      </c>
      <c r="M23" s="4" t="str">
        <f>HYPERLINK("http://141.218.60.56/~jnz1568/getInfo.php?workbook=07_01.xlsx&amp;sheet=E0&amp;row=23&amp;col=13&amp;number=5165516.51588&amp;sourceID=30","5165516.51588")</f>
        <v>5165516.51588</v>
      </c>
      <c r="N23" s="4" t="str">
        <f>HYPERLINK("http://141.218.60.56/~jnz1568/getInfo.php?workbook=07_01.xlsx&amp;sheet=E0&amp;row=23&amp;col=14&amp;number=5165180.7197&amp;sourceID=30","5165180.7197")</f>
        <v>5165180.7197</v>
      </c>
      <c r="O23" s="4" t="str">
        <f>HYPERLINK("http://141.218.60.56/~jnz1568/getInfo.php?workbook=07_01.xlsx&amp;sheet=E0&amp;row=23&amp;col=15&amp;number=&amp;sourceID=13","")</f>
        <v/>
      </c>
    </row>
    <row r="24" spans="1:15">
      <c r="A24" s="3">
        <v>7</v>
      </c>
      <c r="B24" s="3">
        <v>1</v>
      </c>
      <c r="C24" s="3">
        <f/>
        <v>0</v>
      </c>
      <c r="D24" s="3" t="s">
        <v>34</v>
      </c>
      <c r="E24" s="3" t="s">
        <v>30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HYPERLINK("http://141.218.60.56/~jnz1568/getInfo.php?workbook=07_01.xlsx&amp;sheet=E0&amp;row=24&amp;col=10&amp;number=5164992.49&amp;sourceID=2","5164992.49")</f>
        <v>5164992.49</v>
      </c>
      <c r="K24" s="4" t="str">
        <f>HYPERLINK("http://141.218.60.56/~jnz1568/getInfo.php?workbook=07_01.xlsx&amp;sheet=E0&amp;row=24&amp;col=11&amp;number=5165332.5786&amp;sourceID=11","5165332.5786")</f>
        <v>5165332.5786</v>
      </c>
      <c r="L24" s="4" t="str">
        <f>HYPERLINK("http://141.218.60.56/~jnz1568/getInfo.php?workbook=07_01.xlsx&amp;sheet=E0&amp;row=24&amp;col=12&amp;number=5164993.092&amp;sourceID=12","5164993.092")</f>
        <v>5164993.092</v>
      </c>
      <c r="M24" s="4" t="str">
        <f>HYPERLINK("http://141.218.60.56/~jnz1568/getInfo.php?workbook=07_01.xlsx&amp;sheet=E0&amp;row=24&amp;col=13&amp;number=5165535.17123&amp;sourceID=30","5165535.17123")</f>
        <v>5165535.17123</v>
      </c>
      <c r="N24" s="4" t="str">
        <f>HYPERLINK("http://141.218.60.56/~jnz1568/getInfo.php?workbook=07_01.xlsx&amp;sheet=E0&amp;row=24&amp;col=14&amp;number=5165199.37504&amp;sourceID=30","5165199.37504")</f>
        <v>5165199.37504</v>
      </c>
      <c r="O24" s="4" t="str">
        <f>HYPERLINK("http://141.218.60.56/~jnz1568/getInfo.php?workbook=07_01.xlsx&amp;sheet=E0&amp;row=24&amp;col=15&amp;number=&amp;sourceID=13","")</f>
        <v/>
      </c>
    </row>
    <row r="25" spans="1:15">
      <c r="A25" s="3">
        <v>7</v>
      </c>
      <c r="B25" s="3">
        <v>1</v>
      </c>
      <c r="C25" s="3">
        <f/>
        <v>0</v>
      </c>
      <c r="D25" s="3" t="s">
        <v>33</v>
      </c>
      <c r="E25" s="3" t="s">
        <v>25</v>
      </c>
      <c r="F25" s="3">
        <v>2</v>
      </c>
      <c r="G25" s="3">
        <v>2</v>
      </c>
      <c r="H25" s="3">
        <v>0</v>
      </c>
      <c r="I25" s="3">
        <v>2.5</v>
      </c>
      <c r="J25" s="4" t="str">
        <f>HYPERLINK("http://141.218.60.56/~jnz1568/getInfo.php?workbook=07_01.xlsx&amp;sheet=E0&amp;row=25&amp;col=10&amp;number=5164992.53&amp;sourceID=2","5164992.53")</f>
        <v>5164992.53</v>
      </c>
      <c r="K25" s="4" t="str">
        <f>HYPERLINK("http://141.218.60.56/~jnz1568/getInfo.php?workbook=07_01.xlsx&amp;sheet=E0&amp;row=25&amp;col=11&amp;number=5165332.5786&amp;sourceID=11","5165332.5786")</f>
        <v>5165332.5786</v>
      </c>
      <c r="L25" s="4" t="str">
        <f>HYPERLINK("http://141.218.60.56/~jnz1568/getInfo.php?workbook=07_01.xlsx&amp;sheet=E0&amp;row=25&amp;col=12&amp;number=5164993.1261&amp;sourceID=12","5164993.1261")</f>
        <v>5164993.1261</v>
      </c>
      <c r="M25" s="4" t="str">
        <f>HYPERLINK("http://141.218.60.56/~jnz1568/getInfo.php?workbook=07_01.xlsx&amp;sheet=E0&amp;row=25&amp;col=13&amp;number=5165535.17123&amp;sourceID=30","5165535.17123")</f>
        <v>5165535.17123</v>
      </c>
      <c r="N25" s="4" t="str">
        <f>HYPERLINK("http://141.218.60.56/~jnz1568/getInfo.php?workbook=07_01.xlsx&amp;sheet=E0&amp;row=25&amp;col=14&amp;number=5165199.37504&amp;sourceID=30","5165199.37504")</f>
        <v>5165199.37504</v>
      </c>
      <c r="O25" s="4" t="str">
        <f>HYPERLINK("http://141.218.60.56/~jnz1568/getInfo.php?workbook=07_01.xlsx&amp;sheet=E0&amp;row=25&amp;col=15&amp;number=&amp;sourceID=13","")</f>
        <v/>
      </c>
    </row>
    <row r="26" spans="1:15">
      <c r="A26" s="3">
        <v>7</v>
      </c>
      <c r="B26" s="3">
        <v>1</v>
      </c>
      <c r="C26" s="3">
        <f/>
        <v>0</v>
      </c>
      <c r="D26" s="3" t="s">
        <v>35</v>
      </c>
      <c r="E26" s="3" t="s">
        <v>36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HYPERLINK("http://141.218.60.56/~jnz1568/getInfo.php?workbook=07_01.xlsx&amp;sheet=E0&amp;row=26&amp;col=10&amp;number=5165001.85&amp;sourceID=2","5165001.85")</f>
        <v>5165001.85</v>
      </c>
      <c r="K26" s="4" t="str">
        <f>HYPERLINK("http://141.218.60.56/~jnz1568/getInfo.php?workbook=07_01.xlsx&amp;sheet=E0&amp;row=26&amp;col=11&amp;number=5165341.9342&amp;sourceID=11","5165341.9342")</f>
        <v>5165341.9342</v>
      </c>
      <c r="L26" s="4" t="str">
        <f>HYPERLINK("http://141.218.60.56/~jnz1568/getInfo.php?workbook=07_01.xlsx&amp;sheet=E0&amp;row=26&amp;col=12&amp;number=5165002.4516&amp;sourceID=12","5165002.4516")</f>
        <v>5165002.4516</v>
      </c>
      <c r="M26" s="4" t="str">
        <f>HYPERLINK("http://141.218.60.56/~jnz1568/getInfo.php?workbook=07_01.xlsx&amp;sheet=E0&amp;row=26&amp;col=13&amp;number=5165543.95021&amp;sourceID=30","5165543.95021")</f>
        <v>5165543.95021</v>
      </c>
      <c r="N26" s="4" t="str">
        <f>HYPERLINK("http://141.218.60.56/~jnz1568/getInfo.php?workbook=07_01.xlsx&amp;sheet=E0&amp;row=26&amp;col=14&amp;number=5165209.2514&amp;sourceID=30","5165209.2514")</f>
        <v>5165209.2514</v>
      </c>
      <c r="O26" s="4" t="str">
        <f>HYPERLINK("http://141.218.60.56/~jnz1568/getInfo.php?workbook=07_01.xlsx&amp;sheet=E0&amp;row=26&amp;col=15&amp;number=&amp;sourceID=13","")</f>
        <v/>
      </c>
    </row>
    <row r="27" spans="1:15">
      <c r="A27" s="3">
        <v>7</v>
      </c>
      <c r="B27" s="3">
        <v>1</v>
      </c>
      <c r="C27" s="3">
        <f/>
        <v>0</v>
      </c>
      <c r="D27" s="3" t="s">
        <v>34</v>
      </c>
      <c r="E27" s="3" t="s">
        <v>30</v>
      </c>
      <c r="F27" s="3">
        <v>2</v>
      </c>
      <c r="G27" s="3">
        <v>3</v>
      </c>
      <c r="H27" s="3">
        <v>1</v>
      </c>
      <c r="I27" s="3">
        <v>3.5</v>
      </c>
      <c r="J27" s="4" t="str">
        <f>HYPERLINK("http://141.218.60.56/~jnz1568/getInfo.php?workbook=07_01.xlsx&amp;sheet=E0&amp;row=27&amp;col=10&amp;number=5165001.87&amp;sourceID=2","5165001.87")</f>
        <v>5165001.87</v>
      </c>
      <c r="K27" s="4" t="str">
        <f>HYPERLINK("http://141.218.60.56/~jnz1568/getInfo.php?workbook=07_01.xlsx&amp;sheet=E0&amp;row=27&amp;col=11&amp;number=5165341.9342&amp;sourceID=11","5165341.9342")</f>
        <v>5165341.9342</v>
      </c>
      <c r="L27" s="4" t="str">
        <f>HYPERLINK("http://141.218.60.56/~jnz1568/getInfo.php?workbook=07_01.xlsx&amp;sheet=E0&amp;row=27&amp;col=12&amp;number=5165002.4693&amp;sourceID=12","5165002.4693")</f>
        <v>5165002.4693</v>
      </c>
      <c r="M27" s="4" t="str">
        <f>HYPERLINK("http://141.218.60.56/~jnz1568/getInfo.php?workbook=07_01.xlsx&amp;sheet=E0&amp;row=27&amp;col=13&amp;number=5165543.95021&amp;sourceID=30","5165543.95021")</f>
        <v>5165543.95021</v>
      </c>
      <c r="N27" s="4" t="str">
        <f>HYPERLINK("http://141.218.60.56/~jnz1568/getInfo.php?workbook=07_01.xlsx&amp;sheet=E0&amp;row=27&amp;col=14&amp;number=5165209.2514&amp;sourceID=30","5165209.2514")</f>
        <v>5165209.2514</v>
      </c>
      <c r="O27" s="4" t="str">
        <f>HYPERLINK("http://141.218.60.56/~jnz1568/getInfo.php?workbook=07_01.xlsx&amp;sheet=E0&amp;row=27&amp;col=15&amp;number=&amp;sourceID=13","")</f>
        <v/>
      </c>
    </row>
    <row r="28" spans="1:15">
      <c r="A28" s="3">
        <v>7</v>
      </c>
      <c r="B28" s="3">
        <v>1</v>
      </c>
      <c r="C28" s="3">
        <f/>
        <v>0</v>
      </c>
      <c r="D28" s="3" t="s">
        <v>35</v>
      </c>
      <c r="E28" s="3" t="s">
        <v>36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HYPERLINK("http://141.218.60.56/~jnz1568/getInfo.php?workbook=07_01.xlsx&amp;sheet=E0&amp;row=28&amp;col=10&amp;number=5165007.48&amp;sourceID=2","5165007.48")</f>
        <v>5165007.48</v>
      </c>
      <c r="K28" s="4" t="str">
        <f>HYPERLINK("http://141.218.60.56/~jnz1568/getInfo.php?workbook=07_01.xlsx&amp;sheet=E0&amp;row=28&amp;col=11&amp;number=5165347.5469&amp;sourceID=11","5165347.5469")</f>
        <v>5165347.5469</v>
      </c>
      <c r="L28" s="4" t="str">
        <f>HYPERLINK("http://141.218.60.56/~jnz1568/getInfo.php?workbook=07_01.xlsx&amp;sheet=E0&amp;row=28&amp;col=12&amp;number=5165008.0773&amp;sourceID=12","5165008.0773")</f>
        <v>5165008.0773</v>
      </c>
      <c r="M28" s="4" t="str">
        <f>HYPERLINK("http://141.218.60.56/~jnz1568/getInfo.php?workbook=07_01.xlsx&amp;sheet=E0&amp;row=28&amp;col=13&amp;number=5165550.53445&amp;sourceID=30","5165550.53445")</f>
        <v>5165550.53445</v>
      </c>
      <c r="N28" s="4" t="str">
        <f>HYPERLINK("http://141.218.60.56/~jnz1568/getInfo.php?workbook=07_01.xlsx&amp;sheet=E0&amp;row=28&amp;col=14&amp;number=5165214.73826&amp;sourceID=30","5165214.73826")</f>
        <v>5165214.73826</v>
      </c>
      <c r="O28" s="4" t="str">
        <f>HYPERLINK("http://141.218.60.56/~jnz1568/getInfo.php?workbook=07_01.xlsx&amp;sheet=E0&amp;row=28&amp;col=15&amp;number=&amp;sourceID=13","")</f>
        <v/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84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5.7109375" customWidth="1"/>
    <col min="7" max="7" width="14.7109375" customWidth="1"/>
    <col min="8" max="8" width="11.7109375" customWidth="1"/>
    <col min="9" max="9" width="11.7109375" customWidth="1"/>
    <col min="10" max="10" width="11.7109375" customWidth="1"/>
    <col min="11" max="11" width="11.7109375" customWidth="1"/>
    <col min="12" max="12" width="11.7109375" customWidth="1"/>
    <col min="13" max="13" width="14.7109375" customWidth="1"/>
    <col min="14" max="14" width="14.7109375" customWidth="1"/>
    <col min="15" max="15" width="11.7109375" customWidth="1"/>
    <col min="16" max="16" width="11.7109375" customWidth="1"/>
    <col min="17" max="17" width="11.7109375" customWidth="1"/>
    <col min="18" max="18" width="11.7109375" customWidth="1"/>
    <col min="19" max="19" width="11.7109375" customWidth="1"/>
    <col min="20" max="20" width="15.7109375" customWidth="1"/>
    <col min="21" max="21" width="14.7109375" customWidth="1"/>
    <col min="22" max="22" width="10.7109375" customWidth="1"/>
    <col min="23" max="23" width="10.7109375" customWidth="1"/>
    <col min="24" max="24" width="10.7109375" customWidth="1"/>
    <col min="25" max="25" width="15.7109375" customWidth="1"/>
    <col min="26" max="26" width="14.7109375" customWidth="1"/>
    <col min="27" max="27" width="10.7109375" customWidth="1"/>
    <col min="28" max="28" width="10.7109375" customWidth="1"/>
    <col min="29" max="29" width="10.7109375" customWidth="1"/>
    <col min="30" max="30" width="10.7109375" customWidth="1"/>
  </cols>
  <sheetData>
    <row r="1" spans="1:30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2"/>
      <c r="B2" s="2"/>
      <c r="C2" s="2"/>
      <c r="D2" s="2"/>
      <c r="E2" s="2"/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4</v>
      </c>
      <c r="U2" s="2" t="s">
        <v>4</v>
      </c>
      <c r="V2" s="2" t="s">
        <v>4</v>
      </c>
      <c r="W2" s="2" t="s">
        <v>4</v>
      </c>
      <c r="X2" s="2" t="s">
        <v>4</v>
      </c>
      <c r="Y2" s="2" t="s">
        <v>5</v>
      </c>
      <c r="Z2" s="2" t="s">
        <v>5</v>
      </c>
      <c r="AA2" s="2" t="s">
        <v>5</v>
      </c>
      <c r="AB2" s="2" t="s">
        <v>5</v>
      </c>
      <c r="AC2" s="2" t="s">
        <v>5</v>
      </c>
      <c r="AD2" s="2" t="s">
        <v>5</v>
      </c>
    </row>
    <row r="3" spans="1:30">
      <c r="A3" s="2" t="s">
        <v>6</v>
      </c>
      <c r="B3" s="2" t="s">
        <v>7</v>
      </c>
      <c r="C3" s="2" t="s">
        <v>38</v>
      </c>
      <c r="D3" s="2" t="s">
        <v>8</v>
      </c>
      <c r="E3" s="2" t="s">
        <v>39</v>
      </c>
      <c r="F3" s="2" t="s">
        <v>40</v>
      </c>
      <c r="G3" s="2" t="s">
        <v>41</v>
      </c>
      <c r="H3" s="2" t="s">
        <v>42</v>
      </c>
      <c r="I3" s="2" t="s">
        <v>43</v>
      </c>
      <c r="J3" s="2" t="s">
        <v>44</v>
      </c>
      <c r="K3" s="2" t="s">
        <v>45</v>
      </c>
      <c r="L3" s="2" t="s">
        <v>46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40</v>
      </c>
      <c r="U3" s="2" t="s">
        <v>41</v>
      </c>
      <c r="V3" s="2" t="s">
        <v>42</v>
      </c>
      <c r="W3" s="2" t="s">
        <v>44</v>
      </c>
      <c r="X3" s="2" t="s">
        <v>45</v>
      </c>
      <c r="Y3" s="2" t="s">
        <v>40</v>
      </c>
      <c r="Z3" s="2" t="s">
        <v>41</v>
      </c>
      <c r="AA3" s="2" t="s">
        <v>42</v>
      </c>
      <c r="AB3" s="2" t="s">
        <v>43</v>
      </c>
      <c r="AC3" s="2" t="s">
        <v>44</v>
      </c>
      <c r="AD3" s="2" t="s">
        <v>45</v>
      </c>
    </row>
    <row r="4" spans="1:30">
      <c r="A4" s="3">
        <v>7</v>
      </c>
      <c r="B4" s="3">
        <v>1</v>
      </c>
      <c r="C4" s="3">
        <v>2</v>
      </c>
      <c r="D4" s="3">
        <v>1</v>
      </c>
      <c r="E4" s="3">
        <f>((1/(INDEX(E0!J$4:J$28,C4,1)-INDEX(E0!J$4:J$28,D4,1))))*100000000</f>
        <v>0</v>
      </c>
      <c r="F4" s="4" t="str">
        <f>HYPERLINK("http://141.218.60.56/~jnz1568/getInfo.php?workbook=07_01.xlsx&amp;sheet=A0&amp;row=4&amp;col=6&amp;number==SUM(G4:L4)&amp;sourceID=11","=SUM(G4:L4)")</f>
        <v>=SUM(G4:L4)</v>
      </c>
      <c r="G4" s="4" t="str">
        <f>HYPERLINK("http://141.218.60.56/~jnz1568/getInfo.php?workbook=07_01.xlsx&amp;sheet=A0&amp;row=4&amp;col=7&amp;number=1505400000000&amp;sourceID=11","1505400000000")</f>
        <v>1505400000000</v>
      </c>
      <c r="H4" s="4" t="str">
        <f>HYPERLINK("http://141.218.60.56/~jnz1568/getInfo.php?workbook=07_01.xlsx&amp;sheet=A0&amp;row=4&amp;col=8&amp;number=&amp;sourceID=11","")</f>
        <v/>
      </c>
      <c r="I4" s="4" t="str">
        <f>HYPERLINK("http://141.218.60.56/~jnz1568/getInfo.php?workbook=07_01.xlsx&amp;sheet=A0&amp;row=4&amp;col=9&amp;number=&amp;sourceID=11","")</f>
        <v/>
      </c>
      <c r="J4" s="4" t="str">
        <f>HYPERLINK("http://141.218.60.56/~jnz1568/getInfo.php?workbook=07_01.xlsx&amp;sheet=A0&amp;row=4&amp;col=10&amp;number=&amp;sourceID=11","")</f>
        <v/>
      </c>
      <c r="K4" s="4" t="str">
        <f>HYPERLINK("http://141.218.60.56/~jnz1568/getInfo.php?workbook=07_01.xlsx&amp;sheet=A0&amp;row=4&amp;col=11&amp;number=&amp;sourceID=11","")</f>
        <v/>
      </c>
      <c r="L4" s="4" t="str">
        <f>HYPERLINK("http://141.218.60.56/~jnz1568/getInfo.php?workbook=07_01.xlsx&amp;sheet=A0&amp;row=4&amp;col=12&amp;number=&amp;sourceID=11","")</f>
        <v/>
      </c>
      <c r="M4" s="4" t="str">
        <f>HYPERLINK("http://141.218.60.56/~jnz1568/getInfo.php?workbook=07_01.xlsx&amp;sheet=A0&amp;row=4&amp;col=13&amp;number=1505500000000&amp;sourceID=12","1505500000000")</f>
        <v>1505500000000</v>
      </c>
      <c r="N4" s="4" t="str">
        <f>HYPERLINK("http://141.218.60.56/~jnz1568/getInfo.php?workbook=07_01.xlsx&amp;sheet=A0&amp;row=4&amp;col=14&amp;number=1505500000000&amp;sourceID=12","1505500000000")</f>
        <v>1505500000000</v>
      </c>
      <c r="O4" s="4" t="str">
        <f>HYPERLINK("http://141.218.60.56/~jnz1568/getInfo.php?workbook=07_01.xlsx&amp;sheet=A0&amp;row=4&amp;col=15&amp;number=&amp;sourceID=12","")</f>
        <v/>
      </c>
      <c r="P4" s="4" t="str">
        <f>HYPERLINK("http://141.218.60.56/~jnz1568/getInfo.php?workbook=07_01.xlsx&amp;sheet=A0&amp;row=4&amp;col=16&amp;number=&amp;sourceID=12","")</f>
        <v/>
      </c>
      <c r="Q4" s="4" t="str">
        <f>HYPERLINK("http://141.218.60.56/~jnz1568/getInfo.php?workbook=07_01.xlsx&amp;sheet=A0&amp;row=4&amp;col=17&amp;number=&amp;sourceID=12","")</f>
        <v/>
      </c>
      <c r="R4" s="4" t="str">
        <f>HYPERLINK("http://141.218.60.56/~jnz1568/getInfo.php?workbook=07_01.xlsx&amp;sheet=A0&amp;row=4&amp;col=18&amp;number=&amp;sourceID=12","")</f>
        <v/>
      </c>
      <c r="S4" s="4" t="str">
        <f>HYPERLINK("http://141.218.60.56/~jnz1568/getInfo.php?workbook=07_01.xlsx&amp;sheet=A0&amp;row=4&amp;col=19&amp;number=&amp;sourceID=12","")</f>
        <v/>
      </c>
      <c r="T4" s="4" t="str">
        <f>HYPERLINK("http://141.218.60.56/~jnz1568/getInfo.php?workbook=07_01.xlsx&amp;sheet=A0&amp;row=4&amp;col=20&amp;number==SUM(U4:X4)&amp;sourceID=30","=SUM(U4:X4)")</f>
        <v>=SUM(U4:X4)</v>
      </c>
      <c r="U4" s="4" t="str">
        <f>HYPERLINK("http://141.218.60.56/~jnz1568/getInfo.php?workbook=07_01.xlsx&amp;sheet=A0&amp;row=4&amp;col=21&amp;number=1505000000000&amp;sourceID=30","1505000000000")</f>
        <v>1505000000000</v>
      </c>
      <c r="V4" s="4" t="str">
        <f>HYPERLINK("http://141.218.60.56/~jnz1568/getInfo.php?workbook=07_01.xlsx&amp;sheet=A0&amp;row=4&amp;col=22&amp;number=&amp;sourceID=30","")</f>
        <v/>
      </c>
      <c r="W4" s="4" t="str">
        <f>HYPERLINK("http://141.218.60.56/~jnz1568/getInfo.php?workbook=07_01.xlsx&amp;sheet=A0&amp;row=4&amp;col=23&amp;number=&amp;sourceID=30","")</f>
        <v/>
      </c>
      <c r="X4" s="4" t="str">
        <f>HYPERLINK("http://141.218.60.56/~jnz1568/getInfo.php?workbook=07_01.xlsx&amp;sheet=A0&amp;row=4&amp;col=24&amp;number=&amp;sourceID=30","")</f>
        <v/>
      </c>
      <c r="Y4" s="4" t="str">
        <f>HYPERLINK("http://141.218.60.56/~jnz1568/getInfo.php?workbook=07_01.xlsx&amp;sheet=A0&amp;row=4&amp;col=25&amp;number==SUM(Z4:AD4)&amp;sourceID=13","=SUM(Z4:AD4)")</f>
        <v>=SUM(Z4:AD4)</v>
      </c>
      <c r="Z4" s="4" t="str">
        <f>HYPERLINK("http://141.218.60.56/~jnz1568/getInfo.php?workbook=07_01.xlsx&amp;sheet=A0&amp;row=4&amp;col=26&amp;number=1500000000000&amp;sourceID=13","1500000000000")</f>
        <v>1500000000000</v>
      </c>
      <c r="AA4" s="4" t="str">
        <f>HYPERLINK("http://141.218.60.56/~jnz1568/getInfo.php?workbook=07_01.xlsx&amp;sheet=A0&amp;row=4&amp;col=27&amp;number=&amp;sourceID=13","")</f>
        <v/>
      </c>
      <c r="AB4" s="4" t="str">
        <f>HYPERLINK("http://141.218.60.56/~jnz1568/getInfo.php?workbook=07_01.xlsx&amp;sheet=A0&amp;row=4&amp;col=28&amp;number=&amp;sourceID=13","")</f>
        <v/>
      </c>
      <c r="AC4" s="4" t="str">
        <f>HYPERLINK("http://141.218.60.56/~jnz1568/getInfo.php?workbook=07_01.xlsx&amp;sheet=A0&amp;row=4&amp;col=29&amp;number=&amp;sourceID=13","")</f>
        <v/>
      </c>
      <c r="AD4" s="4" t="str">
        <f>HYPERLINK("http://141.218.60.56/~jnz1568/getInfo.php?workbook=07_01.xlsx&amp;sheet=A0&amp;row=4&amp;col=30&amp;number=&amp;sourceID=13","")</f>
        <v/>
      </c>
    </row>
    <row r="5" spans="1:30">
      <c r="A5" s="3">
        <v>7</v>
      </c>
      <c r="B5" s="3">
        <v>1</v>
      </c>
      <c r="C5" s="3">
        <v>3</v>
      </c>
      <c r="D5" s="3">
        <v>1</v>
      </c>
      <c r="E5" s="3">
        <f>((1/(INDEX(E0!J$4:J$28,C5,1)-INDEX(E0!J$4:J$28,D5,1))))*100000000</f>
        <v>0</v>
      </c>
      <c r="F5" s="4" t="str">
        <f>HYPERLINK("http://141.218.60.56/~jnz1568/getInfo.php?workbook=07_01.xlsx&amp;sheet=A0&amp;row=5&amp;col=6&amp;number=&amp;sourceID=11","")</f>
        <v/>
      </c>
      <c r="G5" s="4" t="str">
        <f>HYPERLINK("http://141.218.60.56/~jnz1568/getInfo.php?workbook=07_01.xlsx&amp;sheet=A0&amp;row=5&amp;col=7&amp;number=&amp;sourceID=11","")</f>
        <v/>
      </c>
      <c r="H5" s="4" t="str">
        <f>HYPERLINK("http://141.218.60.56/~jnz1568/getInfo.php?workbook=07_01.xlsx&amp;sheet=A0&amp;row=5&amp;col=8&amp;number=&amp;sourceID=11","")</f>
        <v/>
      </c>
      <c r="I5" s="4" t="str">
        <f>HYPERLINK("http://141.218.60.56/~jnz1568/getInfo.php?workbook=07_01.xlsx&amp;sheet=A0&amp;row=5&amp;col=9&amp;number=&amp;sourceID=11","")</f>
        <v/>
      </c>
      <c r="J5" s="4" t="str">
        <f>HYPERLINK("http://141.218.60.56/~jnz1568/getInfo.php?workbook=07_01.xlsx&amp;sheet=A0&amp;row=5&amp;col=10&amp;number=706.94&amp;sourceID=11","706.94")</f>
        <v>706.94</v>
      </c>
      <c r="K5" s="4" t="str">
        <f>HYPERLINK("http://141.218.60.56/~jnz1568/getInfo.php?workbook=07_01.xlsx&amp;sheet=A0&amp;row=5&amp;col=11&amp;number=&amp;sourceID=11","")</f>
        <v/>
      </c>
      <c r="L5" s="4" t="str">
        <f>HYPERLINK("http://141.218.60.56/~jnz1568/getInfo.php?workbook=07_01.xlsx&amp;sheet=A0&amp;row=5&amp;col=12&amp;number=&amp;sourceID=11","")</f>
        <v/>
      </c>
      <c r="M5" s="4" t="str">
        <f>HYPERLINK("http://141.218.60.56/~jnz1568/getInfo.php?workbook=07_01.xlsx&amp;sheet=A0&amp;row=5&amp;col=13&amp;number=&amp;sourceID=12","")</f>
        <v/>
      </c>
      <c r="N5" s="4" t="str">
        <f>HYPERLINK("http://141.218.60.56/~jnz1568/getInfo.php?workbook=07_01.xlsx&amp;sheet=A0&amp;row=5&amp;col=14&amp;number=&amp;sourceID=12","")</f>
        <v/>
      </c>
      <c r="O5" s="4" t="str">
        <f>HYPERLINK("http://141.218.60.56/~jnz1568/getInfo.php?workbook=07_01.xlsx&amp;sheet=A0&amp;row=5&amp;col=15&amp;number=&amp;sourceID=12","")</f>
        <v/>
      </c>
      <c r="P5" s="4" t="str">
        <f>HYPERLINK("http://141.218.60.56/~jnz1568/getInfo.php?workbook=07_01.xlsx&amp;sheet=A0&amp;row=5&amp;col=16&amp;number=&amp;sourceID=12","")</f>
        <v/>
      </c>
      <c r="Q5" s="4" t="str">
        <f>HYPERLINK("http://141.218.60.56/~jnz1568/getInfo.php?workbook=07_01.xlsx&amp;sheet=A0&amp;row=5&amp;col=17&amp;number=706.97&amp;sourceID=12","706.97")</f>
        <v>706.97</v>
      </c>
      <c r="R5" s="4" t="str">
        <f>HYPERLINK("http://141.218.60.56/~jnz1568/getInfo.php?workbook=07_01.xlsx&amp;sheet=A0&amp;row=5&amp;col=18&amp;number=&amp;sourceID=12","")</f>
        <v/>
      </c>
      <c r="S5" s="4" t="str">
        <f>HYPERLINK("http://141.218.60.56/~jnz1568/getInfo.php?workbook=07_01.xlsx&amp;sheet=A0&amp;row=5&amp;col=19&amp;number=&amp;sourceID=12","")</f>
        <v/>
      </c>
      <c r="T5" s="4" t="str">
        <f>HYPERLINK("http://141.218.60.56/~jnz1568/getInfo.php?workbook=07_01.xlsx&amp;sheet=A0&amp;row=5&amp;col=20&amp;number=&amp;sourceID=30","")</f>
        <v/>
      </c>
      <c r="U5" s="4" t="str">
        <f>HYPERLINK("http://141.218.60.56/~jnz1568/getInfo.php?workbook=07_01.xlsx&amp;sheet=A0&amp;row=5&amp;col=21&amp;number=&amp;sourceID=30","")</f>
        <v/>
      </c>
      <c r="V5" s="4" t="str">
        <f>HYPERLINK("http://141.218.60.56/~jnz1568/getInfo.php?workbook=07_01.xlsx&amp;sheet=A0&amp;row=5&amp;col=22&amp;number=&amp;sourceID=30","")</f>
        <v/>
      </c>
      <c r="W5" s="4" t="str">
        <f>HYPERLINK("http://141.218.60.56/~jnz1568/getInfo.php?workbook=07_01.xlsx&amp;sheet=A0&amp;row=5&amp;col=23&amp;number=707&amp;sourceID=30","707")</f>
        <v>707</v>
      </c>
      <c r="X5" s="4" t="str">
        <f>HYPERLINK("http://141.218.60.56/~jnz1568/getInfo.php?workbook=07_01.xlsx&amp;sheet=A0&amp;row=5&amp;col=24&amp;number=&amp;sourceID=30","")</f>
        <v/>
      </c>
      <c r="Y5" s="4" t="str">
        <f>HYPERLINK("http://141.218.60.56/~jnz1568/getInfo.php?workbook=07_01.xlsx&amp;sheet=A0&amp;row=5&amp;col=25&amp;number=&amp;sourceID=13","")</f>
        <v/>
      </c>
      <c r="Z5" s="4" t="str">
        <f>HYPERLINK("http://141.218.60.56/~jnz1568/getInfo.php?workbook=07_01.xlsx&amp;sheet=A0&amp;row=5&amp;col=26&amp;number=&amp;sourceID=13","")</f>
        <v/>
      </c>
      <c r="AA5" s="4" t="str">
        <f>HYPERLINK("http://141.218.60.56/~jnz1568/getInfo.php?workbook=07_01.xlsx&amp;sheet=A0&amp;row=5&amp;col=27&amp;number=&amp;sourceID=13","")</f>
        <v/>
      </c>
      <c r="AB5" s="4" t="str">
        <f>HYPERLINK("http://141.218.60.56/~jnz1568/getInfo.php?workbook=07_01.xlsx&amp;sheet=A0&amp;row=5&amp;col=28&amp;number=&amp;sourceID=13","")</f>
        <v/>
      </c>
      <c r="AC5" s="4" t="str">
        <f>HYPERLINK("http://141.218.60.56/~jnz1568/getInfo.php?workbook=07_01.xlsx&amp;sheet=A0&amp;row=5&amp;col=29&amp;number=708&amp;sourceID=13","708")</f>
        <v>708</v>
      </c>
      <c r="AD5" s="4" t="str">
        <f>HYPERLINK("http://141.218.60.56/~jnz1568/getInfo.php?workbook=07_01.xlsx&amp;sheet=A0&amp;row=5&amp;col=30&amp;number=&amp;sourceID=13","")</f>
        <v/>
      </c>
    </row>
    <row r="6" spans="1:30">
      <c r="A6" s="3">
        <v>7</v>
      </c>
      <c r="B6" s="3">
        <v>1</v>
      </c>
      <c r="C6" s="3">
        <v>4</v>
      </c>
      <c r="D6" s="3">
        <v>1</v>
      </c>
      <c r="E6" s="3">
        <f>((1/(INDEX(E0!J$4:J$28,C6,1)-INDEX(E0!J$4:J$28,D6,1))))*100000000</f>
        <v>0</v>
      </c>
      <c r="F6" s="4" t="str">
        <f>HYPERLINK("http://141.218.60.56/~jnz1568/getInfo.php?workbook=07_01.xlsx&amp;sheet=A0&amp;row=6&amp;col=6&amp;number==SUM(G6:L6)&amp;sourceID=11","=SUM(G6:L6)")</f>
        <v>=SUM(G6:L6)</v>
      </c>
      <c r="G6" s="4" t="str">
        <f>HYPERLINK("http://141.218.60.56/~jnz1568/getInfo.php?workbook=07_01.xlsx&amp;sheet=A0&amp;row=6&amp;col=7&amp;number=1504100000000&amp;sourceID=11","1504100000000")</f>
        <v>1504100000000</v>
      </c>
      <c r="H6" s="4" t="str">
        <f>HYPERLINK("http://141.218.60.56/~jnz1568/getInfo.php?workbook=07_01.xlsx&amp;sheet=A0&amp;row=6&amp;col=8&amp;number=&amp;sourceID=11","")</f>
        <v/>
      </c>
      <c r="I6" s="4" t="str">
        <f>HYPERLINK("http://141.218.60.56/~jnz1568/getInfo.php?workbook=07_01.xlsx&amp;sheet=A0&amp;row=6&amp;col=9&amp;number=&amp;sourceID=11","")</f>
        <v/>
      </c>
      <c r="J6" s="4" t="str">
        <f>HYPERLINK("http://141.218.60.56/~jnz1568/getInfo.php?workbook=07_01.xlsx&amp;sheet=A0&amp;row=6&amp;col=10&amp;number=&amp;sourceID=11","")</f>
        <v/>
      </c>
      <c r="K6" s="4" t="str">
        <f>HYPERLINK("http://141.218.60.56/~jnz1568/getInfo.php?workbook=07_01.xlsx&amp;sheet=A0&amp;row=6&amp;col=11&amp;number=270370&amp;sourceID=11","270370")</f>
        <v>270370</v>
      </c>
      <c r="L6" s="4" t="str">
        <f>HYPERLINK("http://141.218.60.56/~jnz1568/getInfo.php?workbook=07_01.xlsx&amp;sheet=A0&amp;row=6&amp;col=12&amp;number=&amp;sourceID=11","")</f>
        <v/>
      </c>
      <c r="M6" s="4" t="str">
        <f>HYPERLINK("http://141.218.60.56/~jnz1568/getInfo.php?workbook=07_01.xlsx&amp;sheet=A0&amp;row=6&amp;col=13&amp;number=1504100000000&amp;sourceID=12","1504100000000")</f>
        <v>1504100000000</v>
      </c>
      <c r="N6" s="4" t="str">
        <f>HYPERLINK("http://141.218.60.56/~jnz1568/getInfo.php?workbook=07_01.xlsx&amp;sheet=A0&amp;row=6&amp;col=14&amp;number=1504100000000&amp;sourceID=12","1504100000000")</f>
        <v>1504100000000</v>
      </c>
      <c r="O6" s="4" t="str">
        <f>HYPERLINK("http://141.218.60.56/~jnz1568/getInfo.php?workbook=07_01.xlsx&amp;sheet=A0&amp;row=6&amp;col=15&amp;number=&amp;sourceID=12","")</f>
        <v/>
      </c>
      <c r="P6" s="4" t="str">
        <f>HYPERLINK("http://141.218.60.56/~jnz1568/getInfo.php?workbook=07_01.xlsx&amp;sheet=A0&amp;row=6&amp;col=16&amp;number=&amp;sourceID=12","")</f>
        <v/>
      </c>
      <c r="Q6" s="4" t="str">
        <f>HYPERLINK("http://141.218.60.56/~jnz1568/getInfo.php?workbook=07_01.xlsx&amp;sheet=A0&amp;row=6&amp;col=17&amp;number=&amp;sourceID=12","")</f>
        <v/>
      </c>
      <c r="R6" s="4" t="str">
        <f>HYPERLINK("http://141.218.60.56/~jnz1568/getInfo.php?workbook=07_01.xlsx&amp;sheet=A0&amp;row=6&amp;col=18&amp;number=270380&amp;sourceID=12","270380")</f>
        <v>270380</v>
      </c>
      <c r="S6" s="4" t="str">
        <f>HYPERLINK("http://141.218.60.56/~jnz1568/getInfo.php?workbook=07_01.xlsx&amp;sheet=A0&amp;row=6&amp;col=19&amp;number=&amp;sourceID=12","")</f>
        <v/>
      </c>
      <c r="T6" s="4" t="str">
        <f>HYPERLINK("http://141.218.60.56/~jnz1568/getInfo.php?workbook=07_01.xlsx&amp;sheet=A0&amp;row=6&amp;col=20&amp;number==SUM(U6:X6)&amp;sourceID=30","=SUM(U6:X6)")</f>
        <v>=SUM(U6:X6)</v>
      </c>
      <c r="U6" s="4" t="str">
        <f>HYPERLINK("http://141.218.60.56/~jnz1568/getInfo.php?workbook=07_01.xlsx&amp;sheet=A0&amp;row=6&amp;col=21&amp;number=1504000000000&amp;sourceID=30","1504000000000")</f>
        <v>1504000000000</v>
      </c>
      <c r="V6" s="4" t="str">
        <f>HYPERLINK("http://141.218.60.56/~jnz1568/getInfo.php?workbook=07_01.xlsx&amp;sheet=A0&amp;row=6&amp;col=22&amp;number=&amp;sourceID=30","")</f>
        <v/>
      </c>
      <c r="W6" s="4" t="str">
        <f>HYPERLINK("http://141.218.60.56/~jnz1568/getInfo.php?workbook=07_01.xlsx&amp;sheet=A0&amp;row=6&amp;col=23&amp;number=&amp;sourceID=30","")</f>
        <v/>
      </c>
      <c r="X6" s="4" t="str">
        <f>HYPERLINK("http://141.218.60.56/~jnz1568/getInfo.php?workbook=07_01.xlsx&amp;sheet=A0&amp;row=6&amp;col=24&amp;number=270400&amp;sourceID=30","270400")</f>
        <v>270400</v>
      </c>
      <c r="Y6" s="4" t="str">
        <f>HYPERLINK("http://141.218.60.56/~jnz1568/getInfo.php?workbook=07_01.xlsx&amp;sheet=A0&amp;row=6&amp;col=25&amp;number==SUM(Z6:AD6)&amp;sourceID=13","=SUM(Z6:AD6)")</f>
        <v>=SUM(Z6:AD6)</v>
      </c>
      <c r="Z6" s="4" t="str">
        <f>HYPERLINK("http://141.218.60.56/~jnz1568/getInfo.php?workbook=07_01.xlsx&amp;sheet=A0&amp;row=6&amp;col=26&amp;number=1500000000000&amp;sourceID=13","1500000000000")</f>
        <v>1500000000000</v>
      </c>
      <c r="AA6" s="4" t="str">
        <f>HYPERLINK("http://141.218.60.56/~jnz1568/getInfo.php?workbook=07_01.xlsx&amp;sheet=A0&amp;row=6&amp;col=27&amp;number=&amp;sourceID=13","")</f>
        <v/>
      </c>
      <c r="AB6" s="4" t="str">
        <f>HYPERLINK("http://141.218.60.56/~jnz1568/getInfo.php?workbook=07_01.xlsx&amp;sheet=A0&amp;row=6&amp;col=28&amp;number=&amp;sourceID=13","")</f>
        <v/>
      </c>
      <c r="AC6" s="4" t="str">
        <f>HYPERLINK("http://141.218.60.56/~jnz1568/getInfo.php?workbook=07_01.xlsx&amp;sheet=A0&amp;row=6&amp;col=29&amp;number=&amp;sourceID=13","")</f>
        <v/>
      </c>
      <c r="AD6" s="4" t="str">
        <f>HYPERLINK("http://141.218.60.56/~jnz1568/getInfo.php?workbook=07_01.xlsx&amp;sheet=A0&amp;row=6&amp;col=30&amp;number=&amp;sourceID=13","")</f>
        <v/>
      </c>
    </row>
    <row r="7" spans="1:30">
      <c r="A7" s="3">
        <v>7</v>
      </c>
      <c r="B7" s="3">
        <v>1</v>
      </c>
      <c r="C7" s="3">
        <v>4</v>
      </c>
      <c r="D7" s="3">
        <v>2</v>
      </c>
      <c r="E7" s="3">
        <f>((1/(INDEX(E0!J$4:J$28,C7,1)-INDEX(E0!J$4:J$28,D7,1))))*100000000</f>
        <v>0</v>
      </c>
      <c r="F7" s="4" t="str">
        <f>HYPERLINK("http://141.218.60.56/~jnz1568/getInfo.php?workbook=07_01.xlsx&amp;sheet=A0&amp;row=7&amp;col=6&amp;number==&amp;sourceID=11","=")</f>
        <v>=</v>
      </c>
      <c r="G7" s="4" t="str">
        <f>HYPERLINK("http://141.218.60.56/~jnz1568/getInfo.php?workbook=07_01.xlsx&amp;sheet=A0&amp;row=7&amp;col=7&amp;number=&amp;sourceID=11","")</f>
        <v/>
      </c>
      <c r="H7" s="4" t="str">
        <f>HYPERLINK("http://141.218.60.56/~jnz1568/getInfo.php?workbook=07_01.xlsx&amp;sheet=A0&amp;row=7&amp;col=8&amp;number=4.3772e-09&amp;sourceID=11","4.3772e-09")</f>
        <v>4.3772e-09</v>
      </c>
      <c r="I7" s="4" t="str">
        <f>HYPERLINK("http://141.218.60.56/~jnz1568/getInfo.php?workbook=07_01.xlsx&amp;sheet=A0&amp;row=7&amp;col=9&amp;number=&amp;sourceID=11","")</f>
        <v/>
      </c>
      <c r="J7" s="4" t="str">
        <f>HYPERLINK("http://141.218.60.56/~jnz1568/getInfo.php?workbook=07_01.xlsx&amp;sheet=A0&amp;row=7&amp;col=10&amp;number=0.0060905&amp;sourceID=11","0.0060905")</f>
        <v>0.0060905</v>
      </c>
      <c r="K7" s="4" t="str">
        <f>HYPERLINK("http://141.218.60.56/~jnz1568/getInfo.php?workbook=07_01.xlsx&amp;sheet=A0&amp;row=7&amp;col=11&amp;number=&amp;sourceID=11","")</f>
        <v/>
      </c>
      <c r="L7" s="4" t="str">
        <f>HYPERLINK("http://141.218.60.56/~jnz1568/getInfo.php?workbook=07_01.xlsx&amp;sheet=A0&amp;row=7&amp;col=12&amp;number=&amp;sourceID=11","")</f>
        <v/>
      </c>
      <c r="M7" s="4" t="str">
        <f>HYPERLINK("http://141.218.60.56/~jnz1568/getInfo.php?workbook=07_01.xlsx&amp;sheet=A0&amp;row=7&amp;col=13&amp;number=0.0060908&amp;sourceID=12","0.0060908")</f>
        <v>0.0060908</v>
      </c>
      <c r="N7" s="4" t="str">
        <f>HYPERLINK("http://141.218.60.56/~jnz1568/getInfo.php?workbook=07_01.xlsx&amp;sheet=A0&amp;row=7&amp;col=14&amp;number=&amp;sourceID=12","")</f>
        <v/>
      </c>
      <c r="O7" s="4" t="str">
        <f>HYPERLINK("http://141.218.60.56/~jnz1568/getInfo.php?workbook=07_01.xlsx&amp;sheet=A0&amp;row=7&amp;col=15&amp;number=4.3774e-09&amp;sourceID=12","4.3774e-09")</f>
        <v>4.3774e-09</v>
      </c>
      <c r="P7" s="4" t="str">
        <f>HYPERLINK("http://141.218.60.56/~jnz1568/getInfo.php?workbook=07_01.xlsx&amp;sheet=A0&amp;row=7&amp;col=16&amp;number=&amp;sourceID=12","")</f>
        <v/>
      </c>
      <c r="Q7" s="4" t="str">
        <f>HYPERLINK("http://141.218.60.56/~jnz1568/getInfo.php?workbook=07_01.xlsx&amp;sheet=A0&amp;row=7&amp;col=17&amp;number=0.0060908&amp;sourceID=12","0.0060908")</f>
        <v>0.0060908</v>
      </c>
      <c r="R7" s="4" t="str">
        <f>HYPERLINK("http://141.218.60.56/~jnz1568/getInfo.php?workbook=07_01.xlsx&amp;sheet=A0&amp;row=7&amp;col=18&amp;number=&amp;sourceID=12","")</f>
        <v/>
      </c>
      <c r="S7" s="4" t="str">
        <f>HYPERLINK("http://141.218.60.56/~jnz1568/getInfo.php?workbook=07_01.xlsx&amp;sheet=A0&amp;row=7&amp;col=19&amp;number=&amp;sourceID=12","")</f>
        <v/>
      </c>
      <c r="T7" s="4" t="str">
        <f>HYPERLINK("http://141.218.60.56/~jnz1568/getInfo.php?workbook=07_01.xlsx&amp;sheet=A0&amp;row=7&amp;col=20&amp;number==&amp;sourceID=30","=")</f>
        <v>=</v>
      </c>
      <c r="U7" s="4" t="str">
        <f>HYPERLINK("http://141.218.60.56/~jnz1568/getInfo.php?workbook=07_01.xlsx&amp;sheet=A0&amp;row=7&amp;col=21&amp;number=&amp;sourceID=30","")</f>
        <v/>
      </c>
      <c r="V7" s="4" t="str">
        <f>HYPERLINK("http://141.218.60.56/~jnz1568/getInfo.php?workbook=07_01.xlsx&amp;sheet=A0&amp;row=7&amp;col=22&amp;number=4.377e-09&amp;sourceID=30","4.377e-09")</f>
        <v>4.377e-09</v>
      </c>
      <c r="W7" s="4" t="str">
        <f>HYPERLINK("http://141.218.60.56/~jnz1568/getInfo.php?workbook=07_01.xlsx&amp;sheet=A0&amp;row=7&amp;col=23&amp;number=0.006091&amp;sourceID=30","0.006091")</f>
        <v>0.006091</v>
      </c>
      <c r="X7" s="4" t="str">
        <f>HYPERLINK("http://141.218.60.56/~jnz1568/getInfo.php?workbook=07_01.xlsx&amp;sheet=A0&amp;row=7&amp;col=24&amp;number=&amp;sourceID=30","")</f>
        <v/>
      </c>
      <c r="Y7" s="4" t="str">
        <f>HYPERLINK("http://141.218.60.56/~jnz1568/getInfo.php?workbook=07_01.xlsx&amp;sheet=A0&amp;row=7&amp;col=25&amp;number==&amp;sourceID=13","=")</f>
        <v>=</v>
      </c>
      <c r="Z7" s="4" t="str">
        <f>HYPERLINK("http://141.218.60.56/~jnz1568/getInfo.php?workbook=07_01.xlsx&amp;sheet=A0&amp;row=7&amp;col=26&amp;number=&amp;sourceID=13","")</f>
        <v/>
      </c>
      <c r="AA7" s="4" t="str">
        <f>HYPERLINK("http://141.218.60.56/~jnz1568/getInfo.php?workbook=07_01.xlsx&amp;sheet=A0&amp;row=7&amp;col=27&amp;number=4.36e-09&amp;sourceID=13","4.36e-09")</f>
        <v>4.36e-09</v>
      </c>
      <c r="AB7" s="4" t="str">
        <f>HYPERLINK("http://141.218.60.56/~jnz1568/getInfo.php?workbook=07_01.xlsx&amp;sheet=A0&amp;row=7&amp;col=28&amp;number=&amp;sourceID=13","")</f>
        <v/>
      </c>
      <c r="AC7" s="4" t="str">
        <f>HYPERLINK("http://141.218.60.56/~jnz1568/getInfo.php?workbook=07_01.xlsx&amp;sheet=A0&amp;row=7&amp;col=29&amp;number=0.00607&amp;sourceID=13","0.00607")</f>
        <v>0.00607</v>
      </c>
      <c r="AD7" s="4" t="str">
        <f>HYPERLINK("http://141.218.60.56/~jnz1568/getInfo.php?workbook=07_01.xlsx&amp;sheet=A0&amp;row=7&amp;col=30&amp;number=&amp;sourceID=13","")</f>
        <v/>
      </c>
    </row>
    <row r="8" spans="1:30">
      <c r="A8" s="3">
        <v>7</v>
      </c>
      <c r="B8" s="3">
        <v>1</v>
      </c>
      <c r="C8" s="3">
        <v>4</v>
      </c>
      <c r="D8" s="3">
        <v>3</v>
      </c>
      <c r="E8" s="3">
        <f>((1/(INDEX(E0!J$4:J$28,C8,1)-INDEX(E0!J$4:J$28,D8,1))))*100000000</f>
        <v>0</v>
      </c>
      <c r="F8" s="4" t="str">
        <f>HYPERLINK("http://141.218.60.56/~jnz1568/getInfo.php?workbook=07_01.xlsx&amp;sheet=A0&amp;row=8&amp;col=6&amp;number==&amp;sourceID=11","=")</f>
        <v>=</v>
      </c>
      <c r="G8" s="4" t="str">
        <f>HYPERLINK("http://141.218.60.56/~jnz1568/getInfo.php?workbook=07_01.xlsx&amp;sheet=A0&amp;row=8&amp;col=7&amp;number=251.95&amp;sourceID=11","251.95")</f>
        <v>251.95</v>
      </c>
      <c r="H8" s="4" t="str">
        <f>HYPERLINK("http://141.218.60.56/~jnz1568/getInfo.php?workbook=07_01.xlsx&amp;sheet=A0&amp;row=8&amp;col=8&amp;number=&amp;sourceID=11","")</f>
        <v/>
      </c>
      <c r="I8" s="4" t="str">
        <f>HYPERLINK("http://141.218.60.56/~jnz1568/getInfo.php?workbook=07_01.xlsx&amp;sheet=A0&amp;row=8&amp;col=9&amp;number=&amp;sourceID=11","")</f>
        <v/>
      </c>
      <c r="J8" s="4" t="str">
        <f>HYPERLINK("http://141.218.60.56/~jnz1568/getInfo.php?workbook=07_01.xlsx&amp;sheet=A0&amp;row=8&amp;col=10&amp;number=&amp;sourceID=11","")</f>
        <v/>
      </c>
      <c r="K8" s="4" t="str">
        <f>HYPERLINK("http://141.218.60.56/~jnz1568/getInfo.php?workbook=07_01.xlsx&amp;sheet=A0&amp;row=8&amp;col=11&amp;number=2.145e-12&amp;sourceID=11","2.145e-12")</f>
        <v>2.145e-12</v>
      </c>
      <c r="L8" s="4" t="str">
        <f>HYPERLINK("http://141.218.60.56/~jnz1568/getInfo.php?workbook=07_01.xlsx&amp;sheet=A0&amp;row=8&amp;col=12&amp;number=&amp;sourceID=11","")</f>
        <v/>
      </c>
      <c r="M8" s="4" t="str">
        <f>HYPERLINK("http://141.218.60.56/~jnz1568/getInfo.php?workbook=07_01.xlsx&amp;sheet=A0&amp;row=8&amp;col=13&amp;number=251.96&amp;sourceID=12","251.96")</f>
        <v>251.96</v>
      </c>
      <c r="N8" s="4" t="str">
        <f>HYPERLINK("http://141.218.60.56/~jnz1568/getInfo.php?workbook=07_01.xlsx&amp;sheet=A0&amp;row=8&amp;col=14&amp;number=251.96&amp;sourceID=12","251.96")</f>
        <v>251.96</v>
      </c>
      <c r="O8" s="4" t="str">
        <f>HYPERLINK("http://141.218.60.56/~jnz1568/getInfo.php?workbook=07_01.xlsx&amp;sheet=A0&amp;row=8&amp;col=15&amp;number=&amp;sourceID=12","")</f>
        <v/>
      </c>
      <c r="P8" s="4" t="str">
        <f>HYPERLINK("http://141.218.60.56/~jnz1568/getInfo.php?workbook=07_01.xlsx&amp;sheet=A0&amp;row=8&amp;col=16&amp;number=&amp;sourceID=12","")</f>
        <v/>
      </c>
      <c r="Q8" s="4" t="str">
        <f>HYPERLINK("http://141.218.60.56/~jnz1568/getInfo.php?workbook=07_01.xlsx&amp;sheet=A0&amp;row=8&amp;col=17&amp;number=&amp;sourceID=12","")</f>
        <v/>
      </c>
      <c r="R8" s="4" t="str">
        <f>HYPERLINK("http://141.218.60.56/~jnz1568/getInfo.php?workbook=07_01.xlsx&amp;sheet=A0&amp;row=8&amp;col=18&amp;number=2.145e-12&amp;sourceID=12","2.145e-12")</f>
        <v>2.145e-12</v>
      </c>
      <c r="S8" s="4" t="str">
        <f>HYPERLINK("http://141.218.60.56/~jnz1568/getInfo.php?workbook=07_01.xlsx&amp;sheet=A0&amp;row=8&amp;col=19&amp;number=&amp;sourceID=12","")</f>
        <v/>
      </c>
      <c r="T8" s="4" t="str">
        <f>HYPERLINK("http://141.218.60.56/~jnz1568/getInfo.php?workbook=07_01.xlsx&amp;sheet=A0&amp;row=8&amp;col=20&amp;number==&amp;sourceID=30","=")</f>
        <v>=</v>
      </c>
      <c r="U8" s="4" t="str">
        <f>HYPERLINK("http://141.218.60.56/~jnz1568/getInfo.php?workbook=07_01.xlsx&amp;sheet=A0&amp;row=8&amp;col=21&amp;number=252&amp;sourceID=30","252")</f>
        <v>252</v>
      </c>
      <c r="V8" s="4" t="str">
        <f>HYPERLINK("http://141.218.60.56/~jnz1568/getInfo.php?workbook=07_01.xlsx&amp;sheet=A0&amp;row=8&amp;col=22&amp;number=&amp;sourceID=30","")</f>
        <v/>
      </c>
      <c r="W8" s="4" t="str">
        <f>HYPERLINK("http://141.218.60.56/~jnz1568/getInfo.php?workbook=07_01.xlsx&amp;sheet=A0&amp;row=8&amp;col=23&amp;number=&amp;sourceID=30","")</f>
        <v/>
      </c>
      <c r="X8" s="4" t="str">
        <f>HYPERLINK("http://141.218.60.56/~jnz1568/getInfo.php?workbook=07_01.xlsx&amp;sheet=A0&amp;row=8&amp;col=24&amp;number=2.145e-12&amp;sourceID=30","2.145e-12")</f>
        <v>2.145e-12</v>
      </c>
      <c r="Y8" s="4" t="str">
        <f>HYPERLINK("http://141.218.60.56/~jnz1568/getInfo.php?workbook=07_01.xlsx&amp;sheet=A0&amp;row=8&amp;col=25&amp;number==&amp;sourceID=13","=")</f>
        <v>=</v>
      </c>
      <c r="Z8" s="4" t="str">
        <f>HYPERLINK("http://141.218.60.56/~jnz1568/getInfo.php?workbook=07_01.xlsx&amp;sheet=A0&amp;row=8&amp;col=26&amp;number=249&amp;sourceID=13","249")</f>
        <v>249</v>
      </c>
      <c r="AA8" s="4" t="str">
        <f>HYPERLINK("http://141.218.60.56/~jnz1568/getInfo.php?workbook=07_01.xlsx&amp;sheet=A0&amp;row=8&amp;col=27&amp;number=&amp;sourceID=13","")</f>
        <v/>
      </c>
      <c r="AB8" s="4" t="str">
        <f>HYPERLINK("http://141.218.60.56/~jnz1568/getInfo.php?workbook=07_01.xlsx&amp;sheet=A0&amp;row=8&amp;col=28&amp;number=&amp;sourceID=13","")</f>
        <v/>
      </c>
      <c r="AC8" s="4" t="str">
        <f>HYPERLINK("http://141.218.60.56/~jnz1568/getInfo.php?workbook=07_01.xlsx&amp;sheet=A0&amp;row=8&amp;col=29&amp;number=&amp;sourceID=13","")</f>
        <v/>
      </c>
      <c r="AD8" s="4" t="str">
        <f>HYPERLINK("http://141.218.60.56/~jnz1568/getInfo.php?workbook=07_01.xlsx&amp;sheet=A0&amp;row=8&amp;col=30&amp;number=&amp;sourceID=13","")</f>
        <v/>
      </c>
    </row>
    <row r="9" spans="1:30">
      <c r="A9" s="3">
        <v>7</v>
      </c>
      <c r="B9" s="3">
        <v>1</v>
      </c>
      <c r="C9" s="3">
        <v>5</v>
      </c>
      <c r="D9" s="3">
        <v>1</v>
      </c>
      <c r="E9" s="3">
        <f>((1/(INDEX(E0!J$4:J$28,C9,1)-INDEX(E0!J$4:J$28,D9,1))))*100000000</f>
        <v>0</v>
      </c>
      <c r="F9" s="4" t="str">
        <f>HYPERLINK("http://141.218.60.56/~jnz1568/getInfo.php?workbook=07_01.xlsx&amp;sheet=A0&amp;row=9&amp;col=6&amp;number==&amp;sourceID=11","=")</f>
        <v>=</v>
      </c>
      <c r="G9" s="4" t="str">
        <f>HYPERLINK("http://141.218.60.56/~jnz1568/getInfo.php?workbook=07_01.xlsx&amp;sheet=A0&amp;row=9&amp;col=7&amp;number=401610000000&amp;sourceID=11","401610000000")</f>
        <v>401610000000</v>
      </c>
      <c r="H9" s="4" t="str">
        <f>HYPERLINK("http://141.218.60.56/~jnz1568/getInfo.php?workbook=07_01.xlsx&amp;sheet=A0&amp;row=9&amp;col=8&amp;number=&amp;sourceID=11","")</f>
        <v/>
      </c>
      <c r="I9" s="4" t="str">
        <f>HYPERLINK("http://141.218.60.56/~jnz1568/getInfo.php?workbook=07_01.xlsx&amp;sheet=A0&amp;row=9&amp;col=9&amp;number=&amp;sourceID=11","")</f>
        <v/>
      </c>
      <c r="J9" s="4" t="str">
        <f>HYPERLINK("http://141.218.60.56/~jnz1568/getInfo.php?workbook=07_01.xlsx&amp;sheet=A0&amp;row=9&amp;col=10&amp;number=&amp;sourceID=11","")</f>
        <v/>
      </c>
      <c r="K9" s="4" t="str">
        <f>HYPERLINK("http://141.218.60.56/~jnz1568/getInfo.php?workbook=07_01.xlsx&amp;sheet=A0&amp;row=9&amp;col=11&amp;number=&amp;sourceID=11","")</f>
        <v/>
      </c>
      <c r="L9" s="4" t="str">
        <f>HYPERLINK("http://141.218.60.56/~jnz1568/getInfo.php?workbook=07_01.xlsx&amp;sheet=A0&amp;row=9&amp;col=12&amp;number=&amp;sourceID=11","")</f>
        <v/>
      </c>
      <c r="M9" s="4" t="str">
        <f>HYPERLINK("http://141.218.60.56/~jnz1568/getInfo.php?workbook=07_01.xlsx&amp;sheet=A0&amp;row=9&amp;col=13&amp;number=401630000000&amp;sourceID=12","401630000000")</f>
        <v>401630000000</v>
      </c>
      <c r="N9" s="4" t="str">
        <f>HYPERLINK("http://141.218.60.56/~jnz1568/getInfo.php?workbook=07_01.xlsx&amp;sheet=A0&amp;row=9&amp;col=14&amp;number=401630000000&amp;sourceID=12","401630000000")</f>
        <v>401630000000</v>
      </c>
      <c r="O9" s="4" t="str">
        <f>HYPERLINK("http://141.218.60.56/~jnz1568/getInfo.php?workbook=07_01.xlsx&amp;sheet=A0&amp;row=9&amp;col=15&amp;number=&amp;sourceID=12","")</f>
        <v/>
      </c>
      <c r="P9" s="4" t="str">
        <f>HYPERLINK("http://141.218.60.56/~jnz1568/getInfo.php?workbook=07_01.xlsx&amp;sheet=A0&amp;row=9&amp;col=16&amp;number=&amp;sourceID=12","")</f>
        <v/>
      </c>
      <c r="Q9" s="4" t="str">
        <f>HYPERLINK("http://141.218.60.56/~jnz1568/getInfo.php?workbook=07_01.xlsx&amp;sheet=A0&amp;row=9&amp;col=17&amp;number=&amp;sourceID=12","")</f>
        <v/>
      </c>
      <c r="R9" s="4" t="str">
        <f>HYPERLINK("http://141.218.60.56/~jnz1568/getInfo.php?workbook=07_01.xlsx&amp;sheet=A0&amp;row=9&amp;col=18&amp;number=&amp;sourceID=12","")</f>
        <v/>
      </c>
      <c r="S9" s="4" t="str">
        <f>HYPERLINK("http://141.218.60.56/~jnz1568/getInfo.php?workbook=07_01.xlsx&amp;sheet=A0&amp;row=9&amp;col=19&amp;number=&amp;sourceID=12","")</f>
        <v/>
      </c>
      <c r="T9" s="4" t="str">
        <f>HYPERLINK("http://141.218.60.56/~jnz1568/getInfo.php?workbook=07_01.xlsx&amp;sheet=A0&amp;row=9&amp;col=20&amp;number==&amp;sourceID=30","=")</f>
        <v>=</v>
      </c>
      <c r="U9" s="4" t="str">
        <f>HYPERLINK("http://141.218.60.56/~jnz1568/getInfo.php?workbook=07_01.xlsx&amp;sheet=A0&amp;row=9&amp;col=21&amp;number=401600000000&amp;sourceID=30","401600000000")</f>
        <v>401600000000</v>
      </c>
      <c r="V9" s="4" t="str">
        <f>HYPERLINK("http://141.218.60.56/~jnz1568/getInfo.php?workbook=07_01.xlsx&amp;sheet=A0&amp;row=9&amp;col=22&amp;number=&amp;sourceID=30","")</f>
        <v/>
      </c>
      <c r="W9" s="4" t="str">
        <f>HYPERLINK("http://141.218.60.56/~jnz1568/getInfo.php?workbook=07_01.xlsx&amp;sheet=A0&amp;row=9&amp;col=23&amp;number=&amp;sourceID=30","")</f>
        <v/>
      </c>
      <c r="X9" s="4" t="str">
        <f>HYPERLINK("http://141.218.60.56/~jnz1568/getInfo.php?workbook=07_01.xlsx&amp;sheet=A0&amp;row=9&amp;col=24&amp;number=&amp;sourceID=30","")</f>
        <v/>
      </c>
      <c r="Y9" s="4" t="str">
        <f>HYPERLINK("http://141.218.60.56/~jnz1568/getInfo.php?workbook=07_01.xlsx&amp;sheet=A0&amp;row=9&amp;col=25&amp;number==&amp;sourceID=13","=")</f>
        <v>=</v>
      </c>
      <c r="Z9" s="4" t="str">
        <f>HYPERLINK("http://141.218.60.56/~jnz1568/getInfo.php?workbook=07_01.xlsx&amp;sheet=A0&amp;row=9&amp;col=26&amp;number=399000000000&amp;sourceID=13","399000000000")</f>
        <v>399000000000</v>
      </c>
      <c r="AA9" s="4" t="str">
        <f>HYPERLINK("http://141.218.60.56/~jnz1568/getInfo.php?workbook=07_01.xlsx&amp;sheet=A0&amp;row=9&amp;col=27&amp;number=&amp;sourceID=13","")</f>
        <v/>
      </c>
      <c r="AB9" s="4" t="str">
        <f>HYPERLINK("http://141.218.60.56/~jnz1568/getInfo.php?workbook=07_01.xlsx&amp;sheet=A0&amp;row=9&amp;col=28&amp;number=&amp;sourceID=13","")</f>
        <v/>
      </c>
      <c r="AC9" s="4" t="str">
        <f>HYPERLINK("http://141.218.60.56/~jnz1568/getInfo.php?workbook=07_01.xlsx&amp;sheet=A0&amp;row=9&amp;col=29&amp;number=&amp;sourceID=13","")</f>
        <v/>
      </c>
      <c r="AD9" s="4" t="str">
        <f>HYPERLINK("http://141.218.60.56/~jnz1568/getInfo.php?workbook=07_01.xlsx&amp;sheet=A0&amp;row=9&amp;col=30&amp;number=&amp;sourceID=13","")</f>
        <v/>
      </c>
    </row>
    <row r="10" spans="1:30">
      <c r="A10" s="3">
        <v>7</v>
      </c>
      <c r="B10" s="3">
        <v>1</v>
      </c>
      <c r="C10" s="3">
        <v>5</v>
      </c>
      <c r="D10" s="3">
        <v>2</v>
      </c>
      <c r="E10" s="3">
        <f>((1/(INDEX(E0!J$4:J$28,C10,1)-INDEX(E0!J$4:J$28,D10,1))))*100000000</f>
        <v>0</v>
      </c>
      <c r="F10" s="4" t="str">
        <f>HYPERLINK("http://141.218.60.56/~jnz1568/getInfo.php?workbook=07_01.xlsx&amp;sheet=A0&amp;row=10&amp;col=6&amp;number==&amp;sourceID=11","=")</f>
        <v>=</v>
      </c>
      <c r="G10" s="4" t="str">
        <f>HYPERLINK("http://141.218.60.56/~jnz1568/getInfo.php?workbook=07_01.xlsx&amp;sheet=A0&amp;row=10&amp;col=7&amp;number=&amp;sourceID=11","")</f>
        <v/>
      </c>
      <c r="H10" s="4" t="str">
        <f>HYPERLINK("http://141.218.60.56/~jnz1568/getInfo.php?workbook=07_01.xlsx&amp;sheet=A0&amp;row=10&amp;col=8&amp;number=&amp;sourceID=11","")</f>
        <v/>
      </c>
      <c r="I10" s="4" t="str">
        <f>HYPERLINK("http://141.218.60.56/~jnz1568/getInfo.php?workbook=07_01.xlsx&amp;sheet=A0&amp;row=10&amp;col=9&amp;number=&amp;sourceID=11","")</f>
        <v/>
      </c>
      <c r="J10" s="4" t="str">
        <f>HYPERLINK("http://141.218.60.56/~jnz1568/getInfo.php?workbook=07_01.xlsx&amp;sheet=A0&amp;row=10&amp;col=10&amp;number=0.13918&amp;sourceID=11","0.13918")</f>
        <v>0.13918</v>
      </c>
      <c r="K10" s="4" t="str">
        <f>HYPERLINK("http://141.218.60.56/~jnz1568/getInfo.php?workbook=07_01.xlsx&amp;sheet=A0&amp;row=10&amp;col=11&amp;number=&amp;sourceID=11","")</f>
        <v/>
      </c>
      <c r="L10" s="4" t="str">
        <f>HYPERLINK("http://141.218.60.56/~jnz1568/getInfo.php?workbook=07_01.xlsx&amp;sheet=A0&amp;row=10&amp;col=12&amp;number=&amp;sourceID=11","")</f>
        <v/>
      </c>
      <c r="M10" s="4" t="str">
        <f>HYPERLINK("http://141.218.60.56/~jnz1568/getInfo.php?workbook=07_01.xlsx&amp;sheet=A0&amp;row=10&amp;col=13&amp;number=0.13919&amp;sourceID=12","0.13919")</f>
        <v>0.13919</v>
      </c>
      <c r="N10" s="4" t="str">
        <f>HYPERLINK("http://141.218.60.56/~jnz1568/getInfo.php?workbook=07_01.xlsx&amp;sheet=A0&amp;row=10&amp;col=14&amp;number=&amp;sourceID=12","")</f>
        <v/>
      </c>
      <c r="O10" s="4" t="str">
        <f>HYPERLINK("http://141.218.60.56/~jnz1568/getInfo.php?workbook=07_01.xlsx&amp;sheet=A0&amp;row=10&amp;col=15&amp;number=&amp;sourceID=12","")</f>
        <v/>
      </c>
      <c r="P10" s="4" t="str">
        <f>HYPERLINK("http://141.218.60.56/~jnz1568/getInfo.php?workbook=07_01.xlsx&amp;sheet=A0&amp;row=10&amp;col=16&amp;number=&amp;sourceID=12","")</f>
        <v/>
      </c>
      <c r="Q10" s="4" t="str">
        <f>HYPERLINK("http://141.218.60.56/~jnz1568/getInfo.php?workbook=07_01.xlsx&amp;sheet=A0&amp;row=10&amp;col=17&amp;number=0.13919&amp;sourceID=12","0.13919")</f>
        <v>0.13919</v>
      </c>
      <c r="R10" s="4" t="str">
        <f>HYPERLINK("http://141.218.60.56/~jnz1568/getInfo.php?workbook=07_01.xlsx&amp;sheet=A0&amp;row=10&amp;col=18&amp;number=&amp;sourceID=12","")</f>
        <v/>
      </c>
      <c r="S10" s="4" t="str">
        <f>HYPERLINK("http://141.218.60.56/~jnz1568/getInfo.php?workbook=07_01.xlsx&amp;sheet=A0&amp;row=10&amp;col=19&amp;number=&amp;sourceID=12","")</f>
        <v/>
      </c>
      <c r="T10" s="4" t="str">
        <f>HYPERLINK("http://141.218.60.56/~jnz1568/getInfo.php?workbook=07_01.xlsx&amp;sheet=A0&amp;row=10&amp;col=20&amp;number==&amp;sourceID=30","=")</f>
        <v>=</v>
      </c>
      <c r="U10" s="4" t="str">
        <f>HYPERLINK("http://141.218.60.56/~jnz1568/getInfo.php?workbook=07_01.xlsx&amp;sheet=A0&amp;row=10&amp;col=21&amp;number=&amp;sourceID=30","")</f>
        <v/>
      </c>
      <c r="V10" s="4" t="str">
        <f>HYPERLINK("http://141.218.60.56/~jnz1568/getInfo.php?workbook=07_01.xlsx&amp;sheet=A0&amp;row=10&amp;col=22&amp;number=&amp;sourceID=30","")</f>
        <v/>
      </c>
      <c r="W10" s="4" t="str">
        <f>HYPERLINK("http://141.218.60.56/~jnz1568/getInfo.php?workbook=07_01.xlsx&amp;sheet=A0&amp;row=10&amp;col=23&amp;number=0.1392&amp;sourceID=30","0.1392")</f>
        <v>0.1392</v>
      </c>
      <c r="X10" s="4" t="str">
        <f>HYPERLINK("http://141.218.60.56/~jnz1568/getInfo.php?workbook=07_01.xlsx&amp;sheet=A0&amp;row=10&amp;col=24&amp;number=&amp;sourceID=30","")</f>
        <v/>
      </c>
      <c r="Y10" s="4" t="str">
        <f>HYPERLINK("http://141.218.60.56/~jnz1568/getInfo.php?workbook=07_01.xlsx&amp;sheet=A0&amp;row=10&amp;col=25&amp;number==&amp;sourceID=13","=")</f>
        <v>=</v>
      </c>
      <c r="Z10" s="4" t="str">
        <f>HYPERLINK("http://141.218.60.56/~jnz1568/getInfo.php?workbook=07_01.xlsx&amp;sheet=A0&amp;row=10&amp;col=26&amp;number=&amp;sourceID=13","")</f>
        <v/>
      </c>
      <c r="AA10" s="4" t="str">
        <f>HYPERLINK("http://141.218.60.56/~jnz1568/getInfo.php?workbook=07_01.xlsx&amp;sheet=A0&amp;row=10&amp;col=27&amp;number=&amp;sourceID=13","")</f>
        <v/>
      </c>
      <c r="AB10" s="4" t="str">
        <f>HYPERLINK("http://141.218.60.56/~jnz1568/getInfo.php?workbook=07_01.xlsx&amp;sheet=A0&amp;row=10&amp;col=28&amp;number=&amp;sourceID=13","")</f>
        <v/>
      </c>
      <c r="AC10" s="4" t="str">
        <f>HYPERLINK("http://141.218.60.56/~jnz1568/getInfo.php?workbook=07_01.xlsx&amp;sheet=A0&amp;row=10&amp;col=29&amp;number=0.139&amp;sourceID=13","0.139")</f>
        <v>0.139</v>
      </c>
      <c r="AD10" s="4" t="str">
        <f>HYPERLINK("http://141.218.60.56/~jnz1568/getInfo.php?workbook=07_01.xlsx&amp;sheet=A0&amp;row=10&amp;col=30&amp;number=&amp;sourceID=13","")</f>
        <v/>
      </c>
    </row>
    <row r="11" spans="1:30">
      <c r="A11" s="3">
        <v>7</v>
      </c>
      <c r="B11" s="3">
        <v>1</v>
      </c>
      <c r="C11" s="3">
        <v>5</v>
      </c>
      <c r="D11" s="3">
        <v>3</v>
      </c>
      <c r="E11" s="3">
        <f>((1/(INDEX(E0!J$4:J$28,C11,1)-INDEX(E0!J$4:J$28,D11,1))))*100000000</f>
        <v>0</v>
      </c>
      <c r="F11" s="4" t="str">
        <f>HYPERLINK("http://141.218.60.56/~jnz1568/getInfo.php?workbook=07_01.xlsx&amp;sheet=A0&amp;row=11&amp;col=6&amp;number==&amp;sourceID=11","=")</f>
        <v>=</v>
      </c>
      <c r="G11" s="4" t="str">
        <f>HYPERLINK("http://141.218.60.56/~jnz1568/getInfo.php?workbook=07_01.xlsx&amp;sheet=A0&amp;row=11&amp;col=7&amp;number=54020000000&amp;sourceID=11","54020000000")</f>
        <v>54020000000</v>
      </c>
      <c r="H11" s="4" t="str">
        <f>HYPERLINK("http://141.218.60.56/~jnz1568/getInfo.php?workbook=07_01.xlsx&amp;sheet=A0&amp;row=11&amp;col=8&amp;number=&amp;sourceID=11","")</f>
        <v/>
      </c>
      <c r="I11" s="4" t="str">
        <f>HYPERLINK("http://141.218.60.56/~jnz1568/getInfo.php?workbook=07_01.xlsx&amp;sheet=A0&amp;row=11&amp;col=9&amp;number=&amp;sourceID=11","")</f>
        <v/>
      </c>
      <c r="J11" s="4" t="str">
        <f>HYPERLINK("http://141.218.60.56/~jnz1568/getInfo.php?workbook=07_01.xlsx&amp;sheet=A0&amp;row=11&amp;col=10&amp;number=&amp;sourceID=11","")</f>
        <v/>
      </c>
      <c r="K11" s="4" t="str">
        <f>HYPERLINK("http://141.218.60.56/~jnz1568/getInfo.php?workbook=07_01.xlsx&amp;sheet=A0&amp;row=11&amp;col=11&amp;number=&amp;sourceID=11","")</f>
        <v/>
      </c>
      <c r="L11" s="4" t="str">
        <f>HYPERLINK("http://141.218.60.56/~jnz1568/getInfo.php?workbook=07_01.xlsx&amp;sheet=A0&amp;row=11&amp;col=12&amp;number=&amp;sourceID=11","")</f>
        <v/>
      </c>
      <c r="M11" s="4" t="str">
        <f>HYPERLINK("http://141.218.60.56/~jnz1568/getInfo.php?workbook=07_01.xlsx&amp;sheet=A0&amp;row=11&amp;col=13&amp;number=54022000000&amp;sourceID=12","54022000000")</f>
        <v>54022000000</v>
      </c>
      <c r="N11" s="4" t="str">
        <f>HYPERLINK("http://141.218.60.56/~jnz1568/getInfo.php?workbook=07_01.xlsx&amp;sheet=A0&amp;row=11&amp;col=14&amp;number=54022000000&amp;sourceID=12","54022000000")</f>
        <v>54022000000</v>
      </c>
      <c r="O11" s="4" t="str">
        <f>HYPERLINK("http://141.218.60.56/~jnz1568/getInfo.php?workbook=07_01.xlsx&amp;sheet=A0&amp;row=11&amp;col=15&amp;number=&amp;sourceID=12","")</f>
        <v/>
      </c>
      <c r="P11" s="4" t="str">
        <f>HYPERLINK("http://141.218.60.56/~jnz1568/getInfo.php?workbook=07_01.xlsx&amp;sheet=A0&amp;row=11&amp;col=16&amp;number=&amp;sourceID=12","")</f>
        <v/>
      </c>
      <c r="Q11" s="4" t="str">
        <f>HYPERLINK("http://141.218.60.56/~jnz1568/getInfo.php?workbook=07_01.xlsx&amp;sheet=A0&amp;row=11&amp;col=17&amp;number=&amp;sourceID=12","")</f>
        <v/>
      </c>
      <c r="R11" s="4" t="str">
        <f>HYPERLINK("http://141.218.60.56/~jnz1568/getInfo.php?workbook=07_01.xlsx&amp;sheet=A0&amp;row=11&amp;col=18&amp;number=&amp;sourceID=12","")</f>
        <v/>
      </c>
      <c r="S11" s="4" t="str">
        <f>HYPERLINK("http://141.218.60.56/~jnz1568/getInfo.php?workbook=07_01.xlsx&amp;sheet=A0&amp;row=11&amp;col=19&amp;number=&amp;sourceID=12","")</f>
        <v/>
      </c>
      <c r="T11" s="4" t="str">
        <f>HYPERLINK("http://141.218.60.56/~jnz1568/getInfo.php?workbook=07_01.xlsx&amp;sheet=A0&amp;row=11&amp;col=20&amp;number==&amp;sourceID=30","=")</f>
        <v>=</v>
      </c>
      <c r="U11" s="4" t="str">
        <f>HYPERLINK("http://141.218.60.56/~jnz1568/getInfo.php?workbook=07_01.xlsx&amp;sheet=A0&amp;row=11&amp;col=21&amp;number=54020000000&amp;sourceID=30","54020000000")</f>
        <v>54020000000</v>
      </c>
      <c r="V11" s="4" t="str">
        <f>HYPERLINK("http://141.218.60.56/~jnz1568/getInfo.php?workbook=07_01.xlsx&amp;sheet=A0&amp;row=11&amp;col=22&amp;number=&amp;sourceID=30","")</f>
        <v/>
      </c>
      <c r="W11" s="4" t="str">
        <f>HYPERLINK("http://141.218.60.56/~jnz1568/getInfo.php?workbook=07_01.xlsx&amp;sheet=A0&amp;row=11&amp;col=23&amp;number=&amp;sourceID=30","")</f>
        <v/>
      </c>
      <c r="X11" s="4" t="str">
        <f>HYPERLINK("http://141.218.60.56/~jnz1568/getInfo.php?workbook=07_01.xlsx&amp;sheet=A0&amp;row=11&amp;col=24&amp;number=&amp;sourceID=30","")</f>
        <v/>
      </c>
      <c r="Y11" s="4" t="str">
        <f>HYPERLINK("http://141.218.60.56/~jnz1568/getInfo.php?workbook=07_01.xlsx&amp;sheet=A0&amp;row=11&amp;col=25&amp;number==&amp;sourceID=13","=")</f>
        <v>=</v>
      </c>
      <c r="Z11" s="4" t="str">
        <f>HYPERLINK("http://141.218.60.56/~jnz1568/getInfo.php?workbook=07_01.xlsx&amp;sheet=A0&amp;row=11&amp;col=26&amp;number=53900000000&amp;sourceID=13","53900000000")</f>
        <v>53900000000</v>
      </c>
      <c r="AA11" s="4" t="str">
        <f>HYPERLINK("http://141.218.60.56/~jnz1568/getInfo.php?workbook=07_01.xlsx&amp;sheet=A0&amp;row=11&amp;col=27&amp;number=&amp;sourceID=13","")</f>
        <v/>
      </c>
      <c r="AB11" s="4" t="str">
        <f>HYPERLINK("http://141.218.60.56/~jnz1568/getInfo.php?workbook=07_01.xlsx&amp;sheet=A0&amp;row=11&amp;col=28&amp;number=&amp;sourceID=13","")</f>
        <v/>
      </c>
      <c r="AC11" s="4" t="str">
        <f>HYPERLINK("http://141.218.60.56/~jnz1568/getInfo.php?workbook=07_01.xlsx&amp;sheet=A0&amp;row=11&amp;col=29&amp;number=&amp;sourceID=13","")</f>
        <v/>
      </c>
      <c r="AD11" s="4" t="str">
        <f>HYPERLINK("http://141.218.60.56/~jnz1568/getInfo.php?workbook=07_01.xlsx&amp;sheet=A0&amp;row=11&amp;col=30&amp;number=&amp;sourceID=13","")</f>
        <v/>
      </c>
    </row>
    <row r="12" spans="1:30">
      <c r="A12" s="3">
        <v>7</v>
      </c>
      <c r="B12" s="3">
        <v>1</v>
      </c>
      <c r="C12" s="3">
        <v>5</v>
      </c>
      <c r="D12" s="3">
        <v>4</v>
      </c>
      <c r="E12" s="3">
        <f>((1/(INDEX(E0!J$4:J$28,C12,1)-INDEX(E0!J$4:J$28,D12,1))))*100000000</f>
        <v>0</v>
      </c>
      <c r="F12" s="4" t="str">
        <f>HYPERLINK("http://141.218.60.56/~jnz1568/getInfo.php?workbook=07_01.xlsx&amp;sheet=A0&amp;row=12&amp;col=6&amp;number==&amp;sourceID=11","=")</f>
        <v>=</v>
      </c>
      <c r="G12" s="4" t="str">
        <f>HYPERLINK("http://141.218.60.56/~jnz1568/getInfo.php?workbook=07_01.xlsx&amp;sheet=A0&amp;row=12&amp;col=7&amp;number=&amp;sourceID=11","")</f>
        <v/>
      </c>
      <c r="H12" s="4" t="str">
        <f>HYPERLINK("http://141.218.60.56/~jnz1568/getInfo.php?workbook=07_01.xlsx&amp;sheet=A0&amp;row=12&amp;col=8&amp;number=2815300&amp;sourceID=11","2815300")</f>
        <v>2815300</v>
      </c>
      <c r="I12" s="4" t="str">
        <f>HYPERLINK("http://141.218.60.56/~jnz1568/getInfo.php?workbook=07_01.xlsx&amp;sheet=A0&amp;row=12&amp;col=9&amp;number=&amp;sourceID=11","")</f>
        <v/>
      </c>
      <c r="J12" s="4" t="str">
        <f>HYPERLINK("http://141.218.60.56/~jnz1568/getInfo.php?workbook=07_01.xlsx&amp;sheet=A0&amp;row=12&amp;col=10&amp;number=3.651&amp;sourceID=11","3.651")</f>
        <v>3.651</v>
      </c>
      <c r="K12" s="4" t="str">
        <f>HYPERLINK("http://141.218.60.56/~jnz1568/getInfo.php?workbook=07_01.xlsx&amp;sheet=A0&amp;row=12&amp;col=11&amp;number=&amp;sourceID=11","")</f>
        <v/>
      </c>
      <c r="L12" s="4" t="str">
        <f>HYPERLINK("http://141.218.60.56/~jnz1568/getInfo.php?workbook=07_01.xlsx&amp;sheet=A0&amp;row=12&amp;col=12&amp;number=&amp;sourceID=11","")</f>
        <v/>
      </c>
      <c r="M12" s="4" t="str">
        <f>HYPERLINK("http://141.218.60.56/~jnz1568/getInfo.php?workbook=07_01.xlsx&amp;sheet=A0&amp;row=12&amp;col=13&amp;number=2815400&amp;sourceID=12","2815400")</f>
        <v>2815400</v>
      </c>
      <c r="N12" s="4" t="str">
        <f>HYPERLINK("http://141.218.60.56/~jnz1568/getInfo.php?workbook=07_01.xlsx&amp;sheet=A0&amp;row=12&amp;col=14&amp;number=&amp;sourceID=12","")</f>
        <v/>
      </c>
      <c r="O12" s="4" t="str">
        <f>HYPERLINK("http://141.218.60.56/~jnz1568/getInfo.php?workbook=07_01.xlsx&amp;sheet=A0&amp;row=12&amp;col=15&amp;number=2815400&amp;sourceID=12","2815400")</f>
        <v>2815400</v>
      </c>
      <c r="P12" s="4" t="str">
        <f>HYPERLINK("http://141.218.60.56/~jnz1568/getInfo.php?workbook=07_01.xlsx&amp;sheet=A0&amp;row=12&amp;col=16&amp;number=&amp;sourceID=12","")</f>
        <v/>
      </c>
      <c r="Q12" s="4" t="str">
        <f>HYPERLINK("http://141.218.60.56/~jnz1568/getInfo.php?workbook=07_01.xlsx&amp;sheet=A0&amp;row=12&amp;col=17&amp;number=3.6511&amp;sourceID=12","3.6511")</f>
        <v>3.6511</v>
      </c>
      <c r="R12" s="4" t="str">
        <f>HYPERLINK("http://141.218.60.56/~jnz1568/getInfo.php?workbook=07_01.xlsx&amp;sheet=A0&amp;row=12&amp;col=18&amp;number=&amp;sourceID=12","")</f>
        <v/>
      </c>
      <c r="S12" s="4" t="str">
        <f>HYPERLINK("http://141.218.60.56/~jnz1568/getInfo.php?workbook=07_01.xlsx&amp;sheet=A0&amp;row=12&amp;col=19&amp;number=&amp;sourceID=12","")</f>
        <v/>
      </c>
      <c r="T12" s="4" t="str">
        <f>HYPERLINK("http://141.218.60.56/~jnz1568/getInfo.php?workbook=07_01.xlsx&amp;sheet=A0&amp;row=12&amp;col=20&amp;number==&amp;sourceID=30","=")</f>
        <v>=</v>
      </c>
      <c r="U12" s="4" t="str">
        <f>HYPERLINK("http://141.218.60.56/~jnz1568/getInfo.php?workbook=07_01.xlsx&amp;sheet=A0&amp;row=12&amp;col=21&amp;number=&amp;sourceID=30","")</f>
        <v/>
      </c>
      <c r="V12" s="4" t="str">
        <f>HYPERLINK("http://141.218.60.56/~jnz1568/getInfo.php?workbook=07_01.xlsx&amp;sheet=A0&amp;row=12&amp;col=22&amp;number=2815000&amp;sourceID=30","2815000")</f>
        <v>2815000</v>
      </c>
      <c r="W12" s="4" t="str">
        <f>HYPERLINK("http://141.218.60.56/~jnz1568/getInfo.php?workbook=07_01.xlsx&amp;sheet=A0&amp;row=12&amp;col=23&amp;number=3.651&amp;sourceID=30","3.651")</f>
        <v>3.651</v>
      </c>
      <c r="X12" s="4" t="str">
        <f>HYPERLINK("http://141.218.60.56/~jnz1568/getInfo.php?workbook=07_01.xlsx&amp;sheet=A0&amp;row=12&amp;col=24&amp;number=&amp;sourceID=30","")</f>
        <v/>
      </c>
      <c r="Y12" s="4" t="str">
        <f>HYPERLINK("http://141.218.60.56/~jnz1568/getInfo.php?workbook=07_01.xlsx&amp;sheet=A0&amp;row=12&amp;col=25&amp;number==&amp;sourceID=13","=")</f>
        <v>=</v>
      </c>
      <c r="Z12" s="4" t="str">
        <f>HYPERLINK("http://141.218.60.56/~jnz1568/getInfo.php?workbook=07_01.xlsx&amp;sheet=A0&amp;row=12&amp;col=26&amp;number=&amp;sourceID=13","")</f>
        <v/>
      </c>
      <c r="AA12" s="4" t="str">
        <f>HYPERLINK("http://141.218.60.56/~jnz1568/getInfo.php?workbook=07_01.xlsx&amp;sheet=A0&amp;row=12&amp;col=27&amp;number=2810000&amp;sourceID=13","2810000")</f>
        <v>2810000</v>
      </c>
      <c r="AB12" s="4" t="str">
        <f>HYPERLINK("http://141.218.60.56/~jnz1568/getInfo.php?workbook=07_01.xlsx&amp;sheet=A0&amp;row=12&amp;col=28&amp;number=&amp;sourceID=13","")</f>
        <v/>
      </c>
      <c r="AC12" s="4" t="str">
        <f>HYPERLINK("http://141.218.60.56/~jnz1568/getInfo.php?workbook=07_01.xlsx&amp;sheet=A0&amp;row=12&amp;col=29&amp;number=3.99&amp;sourceID=13","3.99")</f>
        <v>3.99</v>
      </c>
      <c r="AD12" s="4" t="str">
        <f>HYPERLINK("http://141.218.60.56/~jnz1568/getInfo.php?workbook=07_01.xlsx&amp;sheet=A0&amp;row=12&amp;col=30&amp;number=&amp;sourceID=13","")</f>
        <v/>
      </c>
    </row>
    <row r="13" spans="1:30">
      <c r="A13" s="3">
        <v>7</v>
      </c>
      <c r="B13" s="3">
        <v>1</v>
      </c>
      <c r="C13" s="3">
        <v>6</v>
      </c>
      <c r="D13" s="3">
        <v>1</v>
      </c>
      <c r="E13" s="3">
        <f>((1/(INDEX(E0!J$4:J$28,C13,1)-INDEX(E0!J$4:J$28,D13,1))))*100000000</f>
        <v>0</v>
      </c>
      <c r="F13" s="4" t="str">
        <f>HYPERLINK("http://141.218.60.56/~jnz1568/getInfo.php?workbook=07_01.xlsx&amp;sheet=A0&amp;row=13&amp;col=6&amp;number==&amp;sourceID=11","=")</f>
        <v>=</v>
      </c>
      <c r="G13" s="4" t="str">
        <f>HYPERLINK("http://141.218.60.56/~jnz1568/getInfo.php?workbook=07_01.xlsx&amp;sheet=A0&amp;row=13&amp;col=7&amp;number=&amp;sourceID=11","")</f>
        <v/>
      </c>
      <c r="H13" s="4" t="str">
        <f>HYPERLINK("http://141.218.60.56/~jnz1568/getInfo.php?workbook=07_01.xlsx&amp;sheet=A0&amp;row=13&amp;col=8&amp;number=&amp;sourceID=11","")</f>
        <v/>
      </c>
      <c r="I13" s="4" t="str">
        <f>HYPERLINK("http://141.218.60.56/~jnz1568/getInfo.php?workbook=07_01.xlsx&amp;sheet=A0&amp;row=13&amp;col=9&amp;number=&amp;sourceID=11","")</f>
        <v/>
      </c>
      <c r="J13" s="4" t="str">
        <f>HYPERLINK("http://141.218.60.56/~jnz1568/getInfo.php?workbook=07_01.xlsx&amp;sheet=A0&amp;row=13&amp;col=10&amp;number=314.11&amp;sourceID=11","314.11")</f>
        <v>314.11</v>
      </c>
      <c r="K13" s="4" t="str">
        <f>HYPERLINK("http://141.218.60.56/~jnz1568/getInfo.php?workbook=07_01.xlsx&amp;sheet=A0&amp;row=13&amp;col=11&amp;number=&amp;sourceID=11","")</f>
        <v/>
      </c>
      <c r="L13" s="4" t="str">
        <f>HYPERLINK("http://141.218.60.56/~jnz1568/getInfo.php?workbook=07_01.xlsx&amp;sheet=A0&amp;row=13&amp;col=12&amp;number=&amp;sourceID=11","")</f>
        <v/>
      </c>
      <c r="M13" s="4" t="str">
        <f>HYPERLINK("http://141.218.60.56/~jnz1568/getInfo.php?workbook=07_01.xlsx&amp;sheet=A0&amp;row=13&amp;col=13&amp;number=314.13&amp;sourceID=12","314.13")</f>
        <v>314.13</v>
      </c>
      <c r="N13" s="4" t="str">
        <f>HYPERLINK("http://141.218.60.56/~jnz1568/getInfo.php?workbook=07_01.xlsx&amp;sheet=A0&amp;row=13&amp;col=14&amp;number=&amp;sourceID=12","")</f>
        <v/>
      </c>
      <c r="O13" s="4" t="str">
        <f>HYPERLINK("http://141.218.60.56/~jnz1568/getInfo.php?workbook=07_01.xlsx&amp;sheet=A0&amp;row=13&amp;col=15&amp;number=&amp;sourceID=12","")</f>
        <v/>
      </c>
      <c r="P13" s="4" t="str">
        <f>HYPERLINK("http://141.218.60.56/~jnz1568/getInfo.php?workbook=07_01.xlsx&amp;sheet=A0&amp;row=13&amp;col=16&amp;number=&amp;sourceID=12","")</f>
        <v/>
      </c>
      <c r="Q13" s="4" t="str">
        <f>HYPERLINK("http://141.218.60.56/~jnz1568/getInfo.php?workbook=07_01.xlsx&amp;sheet=A0&amp;row=13&amp;col=17&amp;number=314.13&amp;sourceID=12","314.13")</f>
        <v>314.13</v>
      </c>
      <c r="R13" s="4" t="str">
        <f>HYPERLINK("http://141.218.60.56/~jnz1568/getInfo.php?workbook=07_01.xlsx&amp;sheet=A0&amp;row=13&amp;col=18&amp;number=&amp;sourceID=12","")</f>
        <v/>
      </c>
      <c r="S13" s="4" t="str">
        <f>HYPERLINK("http://141.218.60.56/~jnz1568/getInfo.php?workbook=07_01.xlsx&amp;sheet=A0&amp;row=13&amp;col=19&amp;number=&amp;sourceID=12","")</f>
        <v/>
      </c>
      <c r="T13" s="4" t="str">
        <f>HYPERLINK("http://141.218.60.56/~jnz1568/getInfo.php?workbook=07_01.xlsx&amp;sheet=A0&amp;row=13&amp;col=20&amp;number==&amp;sourceID=30","=")</f>
        <v>=</v>
      </c>
      <c r="U13" s="4" t="str">
        <f>HYPERLINK("http://141.218.60.56/~jnz1568/getInfo.php?workbook=07_01.xlsx&amp;sheet=A0&amp;row=13&amp;col=21&amp;number=&amp;sourceID=30","")</f>
        <v/>
      </c>
      <c r="V13" s="4" t="str">
        <f>HYPERLINK("http://141.218.60.56/~jnz1568/getInfo.php?workbook=07_01.xlsx&amp;sheet=A0&amp;row=13&amp;col=22&amp;number=&amp;sourceID=30","")</f>
        <v/>
      </c>
      <c r="W13" s="4" t="str">
        <f>HYPERLINK("http://141.218.60.56/~jnz1568/getInfo.php?workbook=07_01.xlsx&amp;sheet=A0&amp;row=13&amp;col=23&amp;number=314.1&amp;sourceID=30","314.1")</f>
        <v>314.1</v>
      </c>
      <c r="X13" s="4" t="str">
        <f>HYPERLINK("http://141.218.60.56/~jnz1568/getInfo.php?workbook=07_01.xlsx&amp;sheet=A0&amp;row=13&amp;col=24&amp;number=&amp;sourceID=30","")</f>
        <v/>
      </c>
      <c r="Y13" s="4" t="str">
        <f>HYPERLINK("http://141.218.60.56/~jnz1568/getInfo.php?workbook=07_01.xlsx&amp;sheet=A0&amp;row=13&amp;col=25&amp;number==&amp;sourceID=13","=")</f>
        <v>=</v>
      </c>
      <c r="Z13" s="4" t="str">
        <f>HYPERLINK("http://141.218.60.56/~jnz1568/getInfo.php?workbook=07_01.xlsx&amp;sheet=A0&amp;row=13&amp;col=26&amp;number=&amp;sourceID=13","")</f>
        <v/>
      </c>
      <c r="AA13" s="4" t="str">
        <f>HYPERLINK("http://141.218.60.56/~jnz1568/getInfo.php?workbook=07_01.xlsx&amp;sheet=A0&amp;row=13&amp;col=27&amp;number=&amp;sourceID=13","")</f>
        <v/>
      </c>
      <c r="AB13" s="4" t="str">
        <f>HYPERLINK("http://141.218.60.56/~jnz1568/getInfo.php?workbook=07_01.xlsx&amp;sheet=A0&amp;row=13&amp;col=28&amp;number=&amp;sourceID=13","")</f>
        <v/>
      </c>
      <c r="AC13" s="4" t="str">
        <f>HYPERLINK("http://141.218.60.56/~jnz1568/getInfo.php?workbook=07_01.xlsx&amp;sheet=A0&amp;row=13&amp;col=29&amp;number=318&amp;sourceID=13","318")</f>
        <v>318</v>
      </c>
      <c r="AD13" s="4" t="str">
        <f>HYPERLINK("http://141.218.60.56/~jnz1568/getInfo.php?workbook=07_01.xlsx&amp;sheet=A0&amp;row=13&amp;col=30&amp;number=&amp;sourceID=13","")</f>
        <v/>
      </c>
    </row>
    <row r="14" spans="1:30">
      <c r="A14" s="3">
        <v>7</v>
      </c>
      <c r="B14" s="3">
        <v>1</v>
      </c>
      <c r="C14" s="3">
        <v>6</v>
      </c>
      <c r="D14" s="3">
        <v>2</v>
      </c>
      <c r="E14" s="3">
        <f>((1/(INDEX(E0!J$4:J$28,C14,1)-INDEX(E0!J$4:J$28,D14,1))))*100000000</f>
        <v>0</v>
      </c>
      <c r="F14" s="4" t="str">
        <f>HYPERLINK("http://141.218.60.56/~jnz1568/getInfo.php?workbook=07_01.xlsx&amp;sheet=A0&amp;row=14&amp;col=6&amp;number==&amp;sourceID=11","=")</f>
        <v>=</v>
      </c>
      <c r="G14" s="4" t="str">
        <f>HYPERLINK("http://141.218.60.56/~jnz1568/getInfo.php?workbook=07_01.xlsx&amp;sheet=A0&amp;row=14&amp;col=7&amp;number=5063800000&amp;sourceID=11","5063800000")</f>
        <v>5063800000</v>
      </c>
      <c r="H14" s="4" t="str">
        <f>HYPERLINK("http://141.218.60.56/~jnz1568/getInfo.php?workbook=07_01.xlsx&amp;sheet=A0&amp;row=14&amp;col=8&amp;number=&amp;sourceID=11","")</f>
        <v/>
      </c>
      <c r="I14" s="4" t="str">
        <f>HYPERLINK("http://141.218.60.56/~jnz1568/getInfo.php?workbook=07_01.xlsx&amp;sheet=A0&amp;row=14&amp;col=9&amp;number=&amp;sourceID=11","")</f>
        <v/>
      </c>
      <c r="J14" s="4" t="str">
        <f>HYPERLINK("http://141.218.60.56/~jnz1568/getInfo.php?workbook=07_01.xlsx&amp;sheet=A0&amp;row=14&amp;col=10&amp;number=&amp;sourceID=11","")</f>
        <v/>
      </c>
      <c r="K14" s="4" t="str">
        <f>HYPERLINK("http://141.218.60.56/~jnz1568/getInfo.php?workbook=07_01.xlsx&amp;sheet=A0&amp;row=14&amp;col=11&amp;number=&amp;sourceID=11","")</f>
        <v/>
      </c>
      <c r="L14" s="4" t="str">
        <f>HYPERLINK("http://141.218.60.56/~jnz1568/getInfo.php?workbook=07_01.xlsx&amp;sheet=A0&amp;row=14&amp;col=12&amp;number=&amp;sourceID=11","")</f>
        <v/>
      </c>
      <c r="M14" s="4" t="str">
        <f>HYPERLINK("http://141.218.60.56/~jnz1568/getInfo.php?workbook=07_01.xlsx&amp;sheet=A0&amp;row=14&amp;col=13&amp;number=5064000000&amp;sourceID=12","5064000000")</f>
        <v>5064000000</v>
      </c>
      <c r="N14" s="4" t="str">
        <f>HYPERLINK("http://141.218.60.56/~jnz1568/getInfo.php?workbook=07_01.xlsx&amp;sheet=A0&amp;row=14&amp;col=14&amp;number=5064000000&amp;sourceID=12","5064000000")</f>
        <v>5064000000</v>
      </c>
      <c r="O14" s="4" t="str">
        <f>HYPERLINK("http://141.218.60.56/~jnz1568/getInfo.php?workbook=07_01.xlsx&amp;sheet=A0&amp;row=14&amp;col=15&amp;number=&amp;sourceID=12","")</f>
        <v/>
      </c>
      <c r="P14" s="4" t="str">
        <f>HYPERLINK("http://141.218.60.56/~jnz1568/getInfo.php?workbook=07_01.xlsx&amp;sheet=A0&amp;row=14&amp;col=16&amp;number=&amp;sourceID=12","")</f>
        <v/>
      </c>
      <c r="Q14" s="4" t="str">
        <f>HYPERLINK("http://141.218.60.56/~jnz1568/getInfo.php?workbook=07_01.xlsx&amp;sheet=A0&amp;row=14&amp;col=17&amp;number=&amp;sourceID=12","")</f>
        <v/>
      </c>
      <c r="R14" s="4" t="str">
        <f>HYPERLINK("http://141.218.60.56/~jnz1568/getInfo.php?workbook=07_01.xlsx&amp;sheet=A0&amp;row=14&amp;col=18&amp;number=&amp;sourceID=12","")</f>
        <v/>
      </c>
      <c r="S14" s="4" t="str">
        <f>HYPERLINK("http://141.218.60.56/~jnz1568/getInfo.php?workbook=07_01.xlsx&amp;sheet=A0&amp;row=14&amp;col=19&amp;number=&amp;sourceID=12","")</f>
        <v/>
      </c>
      <c r="T14" s="4" t="str">
        <f>HYPERLINK("http://141.218.60.56/~jnz1568/getInfo.php?workbook=07_01.xlsx&amp;sheet=A0&amp;row=14&amp;col=20&amp;number==&amp;sourceID=30","=")</f>
        <v>=</v>
      </c>
      <c r="U14" s="4" t="str">
        <f>HYPERLINK("http://141.218.60.56/~jnz1568/getInfo.php?workbook=07_01.xlsx&amp;sheet=A0&amp;row=14&amp;col=21&amp;number=5064000000&amp;sourceID=30","5064000000")</f>
        <v>5064000000</v>
      </c>
      <c r="V14" s="4" t="str">
        <f>HYPERLINK("http://141.218.60.56/~jnz1568/getInfo.php?workbook=07_01.xlsx&amp;sheet=A0&amp;row=14&amp;col=22&amp;number=&amp;sourceID=30","")</f>
        <v/>
      </c>
      <c r="W14" s="4" t="str">
        <f>HYPERLINK("http://141.218.60.56/~jnz1568/getInfo.php?workbook=07_01.xlsx&amp;sheet=A0&amp;row=14&amp;col=23&amp;number=&amp;sourceID=30","")</f>
        <v/>
      </c>
      <c r="X14" s="4" t="str">
        <f>HYPERLINK("http://141.218.60.56/~jnz1568/getInfo.php?workbook=07_01.xlsx&amp;sheet=A0&amp;row=14&amp;col=24&amp;number=&amp;sourceID=30","")</f>
        <v/>
      </c>
      <c r="Y14" s="4" t="str">
        <f>HYPERLINK("http://141.218.60.56/~jnz1568/getInfo.php?workbook=07_01.xlsx&amp;sheet=A0&amp;row=14&amp;col=25&amp;number==&amp;sourceID=13","=")</f>
        <v>=</v>
      </c>
      <c r="Z14" s="4" t="str">
        <f>HYPERLINK("http://141.218.60.56/~jnz1568/getInfo.php?workbook=07_01.xlsx&amp;sheet=A0&amp;row=14&amp;col=26&amp;number=5030000000&amp;sourceID=13","5030000000")</f>
        <v>5030000000</v>
      </c>
      <c r="AA14" s="4" t="str">
        <f>HYPERLINK("http://141.218.60.56/~jnz1568/getInfo.php?workbook=07_01.xlsx&amp;sheet=A0&amp;row=14&amp;col=27&amp;number=&amp;sourceID=13","")</f>
        <v/>
      </c>
      <c r="AB14" s="4" t="str">
        <f>HYPERLINK("http://141.218.60.56/~jnz1568/getInfo.php?workbook=07_01.xlsx&amp;sheet=A0&amp;row=14&amp;col=28&amp;number=&amp;sourceID=13","")</f>
        <v/>
      </c>
      <c r="AC14" s="4" t="str">
        <f>HYPERLINK("http://141.218.60.56/~jnz1568/getInfo.php?workbook=07_01.xlsx&amp;sheet=A0&amp;row=14&amp;col=29&amp;number=&amp;sourceID=13","")</f>
        <v/>
      </c>
      <c r="AD14" s="4" t="str">
        <f>HYPERLINK("http://141.218.60.56/~jnz1568/getInfo.php?workbook=07_01.xlsx&amp;sheet=A0&amp;row=14&amp;col=30&amp;number=&amp;sourceID=13","")</f>
        <v/>
      </c>
    </row>
    <row r="15" spans="1:30">
      <c r="A15" s="3">
        <v>7</v>
      </c>
      <c r="B15" s="3">
        <v>1</v>
      </c>
      <c r="C15" s="3">
        <v>6</v>
      </c>
      <c r="D15" s="3">
        <v>3</v>
      </c>
      <c r="E15" s="3">
        <f>((1/(INDEX(E0!J$4:J$28,C15,1)-INDEX(E0!J$4:J$28,D15,1))))*100000000</f>
        <v>0</v>
      </c>
      <c r="F15" s="4" t="str">
        <f>HYPERLINK("http://141.218.60.56/~jnz1568/getInfo.php?workbook=07_01.xlsx&amp;sheet=A0&amp;row=15&amp;col=6&amp;number==&amp;sourceID=11","=")</f>
        <v>=</v>
      </c>
      <c r="G15" s="4" t="str">
        <f>HYPERLINK("http://141.218.60.56/~jnz1568/getInfo.php?workbook=07_01.xlsx&amp;sheet=A0&amp;row=15&amp;col=7&amp;number=&amp;sourceID=11","")</f>
        <v/>
      </c>
      <c r="H15" s="4" t="str">
        <f>HYPERLINK("http://141.218.60.56/~jnz1568/getInfo.php?workbook=07_01.xlsx&amp;sheet=A0&amp;row=15&amp;col=8&amp;number=&amp;sourceID=11","")</f>
        <v/>
      </c>
      <c r="I15" s="4" t="str">
        <f>HYPERLINK("http://141.218.60.56/~jnz1568/getInfo.php?workbook=07_01.xlsx&amp;sheet=A0&amp;row=15&amp;col=9&amp;number=&amp;sourceID=11","")</f>
        <v/>
      </c>
      <c r="J15" s="4" t="str">
        <f>HYPERLINK("http://141.218.60.56/~jnz1568/getInfo.php?workbook=07_01.xlsx&amp;sheet=A0&amp;row=15&amp;col=10&amp;number=0.5326&amp;sourceID=11","0.5326")</f>
        <v>0.5326</v>
      </c>
      <c r="K15" s="4" t="str">
        <f>HYPERLINK("http://141.218.60.56/~jnz1568/getInfo.php?workbook=07_01.xlsx&amp;sheet=A0&amp;row=15&amp;col=11&amp;number=&amp;sourceID=11","")</f>
        <v/>
      </c>
      <c r="L15" s="4" t="str">
        <f>HYPERLINK("http://141.218.60.56/~jnz1568/getInfo.php?workbook=07_01.xlsx&amp;sheet=A0&amp;row=15&amp;col=12&amp;number=&amp;sourceID=11","")</f>
        <v/>
      </c>
      <c r="M15" s="4" t="str">
        <f>HYPERLINK("http://141.218.60.56/~jnz1568/getInfo.php?workbook=07_01.xlsx&amp;sheet=A0&amp;row=15&amp;col=13&amp;number=0.53262&amp;sourceID=12","0.53262")</f>
        <v>0.53262</v>
      </c>
      <c r="N15" s="4" t="str">
        <f>HYPERLINK("http://141.218.60.56/~jnz1568/getInfo.php?workbook=07_01.xlsx&amp;sheet=A0&amp;row=15&amp;col=14&amp;number=&amp;sourceID=12","")</f>
        <v/>
      </c>
      <c r="O15" s="4" t="str">
        <f>HYPERLINK("http://141.218.60.56/~jnz1568/getInfo.php?workbook=07_01.xlsx&amp;sheet=A0&amp;row=15&amp;col=15&amp;number=&amp;sourceID=12","")</f>
        <v/>
      </c>
      <c r="P15" s="4" t="str">
        <f>HYPERLINK("http://141.218.60.56/~jnz1568/getInfo.php?workbook=07_01.xlsx&amp;sheet=A0&amp;row=15&amp;col=16&amp;number=&amp;sourceID=12","")</f>
        <v/>
      </c>
      <c r="Q15" s="4" t="str">
        <f>HYPERLINK("http://141.218.60.56/~jnz1568/getInfo.php?workbook=07_01.xlsx&amp;sheet=A0&amp;row=15&amp;col=17&amp;number=0.53262&amp;sourceID=12","0.53262")</f>
        <v>0.53262</v>
      </c>
      <c r="R15" s="4" t="str">
        <f>HYPERLINK("http://141.218.60.56/~jnz1568/getInfo.php?workbook=07_01.xlsx&amp;sheet=A0&amp;row=15&amp;col=18&amp;number=&amp;sourceID=12","")</f>
        <v/>
      </c>
      <c r="S15" s="4" t="str">
        <f>HYPERLINK("http://141.218.60.56/~jnz1568/getInfo.php?workbook=07_01.xlsx&amp;sheet=A0&amp;row=15&amp;col=19&amp;number=&amp;sourceID=12","")</f>
        <v/>
      </c>
      <c r="T15" s="4" t="str">
        <f>HYPERLINK("http://141.218.60.56/~jnz1568/getInfo.php?workbook=07_01.xlsx&amp;sheet=A0&amp;row=15&amp;col=20&amp;number==&amp;sourceID=30","=")</f>
        <v>=</v>
      </c>
      <c r="U15" s="4" t="str">
        <f>HYPERLINK("http://141.218.60.56/~jnz1568/getInfo.php?workbook=07_01.xlsx&amp;sheet=A0&amp;row=15&amp;col=21&amp;number=&amp;sourceID=30","")</f>
        <v/>
      </c>
      <c r="V15" s="4" t="str">
        <f>HYPERLINK("http://141.218.60.56/~jnz1568/getInfo.php?workbook=07_01.xlsx&amp;sheet=A0&amp;row=15&amp;col=22&amp;number=&amp;sourceID=30","")</f>
        <v/>
      </c>
      <c r="W15" s="4" t="str">
        <f>HYPERLINK("http://141.218.60.56/~jnz1568/getInfo.php?workbook=07_01.xlsx&amp;sheet=A0&amp;row=15&amp;col=23&amp;number=0.5325&amp;sourceID=30","0.5325")</f>
        <v>0.5325</v>
      </c>
      <c r="X15" s="4" t="str">
        <f>HYPERLINK("http://141.218.60.56/~jnz1568/getInfo.php?workbook=07_01.xlsx&amp;sheet=A0&amp;row=15&amp;col=24&amp;number=&amp;sourceID=30","")</f>
        <v/>
      </c>
      <c r="Y15" s="4" t="str">
        <f>HYPERLINK("http://141.218.60.56/~jnz1568/getInfo.php?workbook=07_01.xlsx&amp;sheet=A0&amp;row=15&amp;col=25&amp;number==&amp;sourceID=13","=")</f>
        <v>=</v>
      </c>
      <c r="Z15" s="4" t="str">
        <f>HYPERLINK("http://141.218.60.56/~jnz1568/getInfo.php?workbook=07_01.xlsx&amp;sheet=A0&amp;row=15&amp;col=26&amp;number=&amp;sourceID=13","")</f>
        <v/>
      </c>
      <c r="AA15" s="4" t="str">
        <f>HYPERLINK("http://141.218.60.56/~jnz1568/getInfo.php?workbook=07_01.xlsx&amp;sheet=A0&amp;row=15&amp;col=27&amp;number=&amp;sourceID=13","")</f>
        <v/>
      </c>
      <c r="AB15" s="4" t="str">
        <f>HYPERLINK("http://141.218.60.56/~jnz1568/getInfo.php?workbook=07_01.xlsx&amp;sheet=A0&amp;row=15&amp;col=28&amp;number=&amp;sourceID=13","")</f>
        <v/>
      </c>
      <c r="AC15" s="4" t="str">
        <f>HYPERLINK("http://141.218.60.56/~jnz1568/getInfo.php?workbook=07_01.xlsx&amp;sheet=A0&amp;row=15&amp;col=29&amp;number=0.53&amp;sourceID=13","0.53")</f>
        <v>0.53</v>
      </c>
      <c r="AD15" s="4" t="str">
        <f>HYPERLINK("http://141.218.60.56/~jnz1568/getInfo.php?workbook=07_01.xlsx&amp;sheet=A0&amp;row=15&amp;col=30&amp;number=&amp;sourceID=13","")</f>
        <v/>
      </c>
    </row>
    <row r="16" spans="1:30">
      <c r="A16" s="3">
        <v>7</v>
      </c>
      <c r="B16" s="3">
        <v>1</v>
      </c>
      <c r="C16" s="3">
        <v>6</v>
      </c>
      <c r="D16" s="3">
        <v>4</v>
      </c>
      <c r="E16" s="3">
        <f>((1/(INDEX(E0!J$4:J$28,C16,1)-INDEX(E0!J$4:J$28,D16,1))))*100000000</f>
        <v>0</v>
      </c>
      <c r="F16" s="4" t="str">
        <f>HYPERLINK("http://141.218.60.56/~jnz1568/getInfo.php?workbook=07_01.xlsx&amp;sheet=A0&amp;row=16&amp;col=6&amp;number==&amp;sourceID=11","=")</f>
        <v>=</v>
      </c>
      <c r="G16" s="4" t="str">
        <f>HYPERLINK("http://141.218.60.56/~jnz1568/getInfo.php?workbook=07_01.xlsx&amp;sheet=A0&amp;row=16&amp;col=7&amp;number=10183000000&amp;sourceID=11","10183000000")</f>
        <v>10183000000</v>
      </c>
      <c r="H16" s="4" t="str">
        <f>HYPERLINK("http://141.218.60.56/~jnz1568/getInfo.php?workbook=07_01.xlsx&amp;sheet=A0&amp;row=16&amp;col=8&amp;number=&amp;sourceID=11","")</f>
        <v/>
      </c>
      <c r="I16" s="4" t="str">
        <f>HYPERLINK("http://141.218.60.56/~jnz1568/getInfo.php?workbook=07_01.xlsx&amp;sheet=A0&amp;row=16&amp;col=9&amp;number=&amp;sourceID=11","")</f>
        <v/>
      </c>
      <c r="J16" s="4" t="str">
        <f>HYPERLINK("http://141.218.60.56/~jnz1568/getInfo.php?workbook=07_01.xlsx&amp;sheet=A0&amp;row=16&amp;col=10&amp;number=&amp;sourceID=11","")</f>
        <v/>
      </c>
      <c r="K16" s="4" t="str">
        <f>HYPERLINK("http://141.218.60.56/~jnz1568/getInfo.php?workbook=07_01.xlsx&amp;sheet=A0&amp;row=16&amp;col=11&amp;number=62.693&amp;sourceID=11","62.693")</f>
        <v>62.693</v>
      </c>
      <c r="L16" s="4" t="str">
        <f>HYPERLINK("http://141.218.60.56/~jnz1568/getInfo.php?workbook=07_01.xlsx&amp;sheet=A0&amp;row=16&amp;col=12&amp;number=&amp;sourceID=11","")</f>
        <v/>
      </c>
      <c r="M16" s="4" t="str">
        <f>HYPERLINK("http://141.218.60.56/~jnz1568/getInfo.php?workbook=07_01.xlsx&amp;sheet=A0&amp;row=16&amp;col=13&amp;number=10183000000&amp;sourceID=12","10183000000")</f>
        <v>10183000000</v>
      </c>
      <c r="N16" s="4" t="str">
        <f>HYPERLINK("http://141.218.60.56/~jnz1568/getInfo.php?workbook=07_01.xlsx&amp;sheet=A0&amp;row=16&amp;col=14&amp;number=10183000000&amp;sourceID=12","10183000000")</f>
        <v>10183000000</v>
      </c>
      <c r="O16" s="4" t="str">
        <f>HYPERLINK("http://141.218.60.56/~jnz1568/getInfo.php?workbook=07_01.xlsx&amp;sheet=A0&amp;row=16&amp;col=15&amp;number=&amp;sourceID=12","")</f>
        <v/>
      </c>
      <c r="P16" s="4" t="str">
        <f>HYPERLINK("http://141.218.60.56/~jnz1568/getInfo.php?workbook=07_01.xlsx&amp;sheet=A0&amp;row=16&amp;col=16&amp;number=&amp;sourceID=12","")</f>
        <v/>
      </c>
      <c r="Q16" s="4" t="str">
        <f>HYPERLINK("http://141.218.60.56/~jnz1568/getInfo.php?workbook=07_01.xlsx&amp;sheet=A0&amp;row=16&amp;col=17&amp;number=&amp;sourceID=12","")</f>
        <v/>
      </c>
      <c r="R16" s="4" t="str">
        <f>HYPERLINK("http://141.218.60.56/~jnz1568/getInfo.php?workbook=07_01.xlsx&amp;sheet=A0&amp;row=16&amp;col=18&amp;number=62.695&amp;sourceID=12","62.695")</f>
        <v>62.695</v>
      </c>
      <c r="S16" s="4" t="str">
        <f>HYPERLINK("http://141.218.60.56/~jnz1568/getInfo.php?workbook=07_01.xlsx&amp;sheet=A0&amp;row=16&amp;col=19&amp;number=&amp;sourceID=12","")</f>
        <v/>
      </c>
      <c r="T16" s="4" t="str">
        <f>HYPERLINK("http://141.218.60.56/~jnz1568/getInfo.php?workbook=07_01.xlsx&amp;sheet=A0&amp;row=16&amp;col=20&amp;number==&amp;sourceID=30","=")</f>
        <v>=</v>
      </c>
      <c r="U16" s="4" t="str">
        <f>HYPERLINK("http://141.218.60.56/~jnz1568/getInfo.php?workbook=07_01.xlsx&amp;sheet=A0&amp;row=16&amp;col=21&amp;number=10180000000&amp;sourceID=30","10180000000")</f>
        <v>10180000000</v>
      </c>
      <c r="V16" s="4" t="str">
        <f>HYPERLINK("http://141.218.60.56/~jnz1568/getInfo.php?workbook=07_01.xlsx&amp;sheet=A0&amp;row=16&amp;col=22&amp;number=&amp;sourceID=30","")</f>
        <v/>
      </c>
      <c r="W16" s="4" t="str">
        <f>HYPERLINK("http://141.218.60.56/~jnz1568/getInfo.php?workbook=07_01.xlsx&amp;sheet=A0&amp;row=16&amp;col=23&amp;number=&amp;sourceID=30","")</f>
        <v/>
      </c>
      <c r="X16" s="4" t="str">
        <f>HYPERLINK("http://141.218.60.56/~jnz1568/getInfo.php?workbook=07_01.xlsx&amp;sheet=A0&amp;row=16&amp;col=24&amp;number=62.69&amp;sourceID=30","62.69")</f>
        <v>62.69</v>
      </c>
      <c r="Y16" s="4" t="str">
        <f>HYPERLINK("http://141.218.60.56/~jnz1568/getInfo.php?workbook=07_01.xlsx&amp;sheet=A0&amp;row=16&amp;col=25&amp;number==&amp;sourceID=13","=")</f>
        <v>=</v>
      </c>
      <c r="Z16" s="4" t="str">
        <f>HYPERLINK("http://141.218.60.56/~jnz1568/getInfo.php?workbook=07_01.xlsx&amp;sheet=A0&amp;row=16&amp;col=26&amp;number=10100000000&amp;sourceID=13","10100000000")</f>
        <v>10100000000</v>
      </c>
      <c r="AA16" s="4" t="str">
        <f>HYPERLINK("http://141.218.60.56/~jnz1568/getInfo.php?workbook=07_01.xlsx&amp;sheet=A0&amp;row=16&amp;col=27&amp;number=&amp;sourceID=13","")</f>
        <v/>
      </c>
      <c r="AB16" s="4" t="str">
        <f>HYPERLINK("http://141.218.60.56/~jnz1568/getInfo.php?workbook=07_01.xlsx&amp;sheet=A0&amp;row=16&amp;col=28&amp;number=&amp;sourceID=13","")</f>
        <v/>
      </c>
      <c r="AC16" s="4" t="str">
        <f>HYPERLINK("http://141.218.60.56/~jnz1568/getInfo.php?workbook=07_01.xlsx&amp;sheet=A0&amp;row=16&amp;col=29&amp;number=&amp;sourceID=13","")</f>
        <v/>
      </c>
      <c r="AD16" s="4" t="str">
        <f>HYPERLINK("http://141.218.60.56/~jnz1568/getInfo.php?workbook=07_01.xlsx&amp;sheet=A0&amp;row=16&amp;col=30&amp;number=&amp;sourceID=13","")</f>
        <v/>
      </c>
    </row>
    <row r="17" spans="1:30">
      <c r="A17" s="3">
        <v>7</v>
      </c>
      <c r="B17" s="3">
        <v>1</v>
      </c>
      <c r="C17" s="3">
        <v>7</v>
      </c>
      <c r="D17" s="3">
        <v>1</v>
      </c>
      <c r="E17" s="3">
        <f>((1/(INDEX(E0!J$4:J$28,C17,1)-INDEX(E0!J$4:J$28,D17,1))))*100000000</f>
        <v>0</v>
      </c>
      <c r="F17" s="4" t="str">
        <f>HYPERLINK("http://141.218.60.56/~jnz1568/getInfo.php?workbook=07_01.xlsx&amp;sheet=A0&amp;row=17&amp;col=6&amp;number==&amp;sourceID=11","=")</f>
        <v>=</v>
      </c>
      <c r="G17" s="4" t="str">
        <f>HYPERLINK("http://141.218.60.56/~jnz1568/getInfo.php?workbook=07_01.xlsx&amp;sheet=A0&amp;row=17&amp;col=7&amp;number=&amp;sourceID=11","")</f>
        <v/>
      </c>
      <c r="H17" s="4" t="str">
        <f>HYPERLINK("http://141.218.60.56/~jnz1568/getInfo.php?workbook=07_01.xlsx&amp;sheet=A0&amp;row=17&amp;col=8&amp;number=69835000&amp;sourceID=11","69835000")</f>
        <v>69835000</v>
      </c>
      <c r="I17" s="4" t="str">
        <f>HYPERLINK("http://141.218.60.56/~jnz1568/getInfo.php?workbook=07_01.xlsx&amp;sheet=A0&amp;row=17&amp;col=9&amp;number=&amp;sourceID=11","")</f>
        <v/>
      </c>
      <c r="J17" s="4" t="str">
        <f>HYPERLINK("http://141.218.60.56/~jnz1568/getInfo.php?workbook=07_01.xlsx&amp;sheet=A0&amp;row=17&amp;col=10&amp;number=1.9596&amp;sourceID=11","1.9596")</f>
        <v>1.9596</v>
      </c>
      <c r="K17" s="4" t="str">
        <f>HYPERLINK("http://141.218.60.56/~jnz1568/getInfo.php?workbook=07_01.xlsx&amp;sheet=A0&amp;row=17&amp;col=11&amp;number=&amp;sourceID=11","")</f>
        <v/>
      </c>
      <c r="L17" s="4" t="str">
        <f>HYPERLINK("http://141.218.60.56/~jnz1568/getInfo.php?workbook=07_01.xlsx&amp;sheet=A0&amp;row=17&amp;col=12&amp;number=&amp;sourceID=11","")</f>
        <v/>
      </c>
      <c r="M17" s="4" t="str">
        <f>HYPERLINK("http://141.218.60.56/~jnz1568/getInfo.php?workbook=07_01.xlsx&amp;sheet=A0&amp;row=17&amp;col=13&amp;number=69837000&amp;sourceID=12","69837000")</f>
        <v>69837000</v>
      </c>
      <c r="N17" s="4" t="str">
        <f>HYPERLINK("http://141.218.60.56/~jnz1568/getInfo.php?workbook=07_01.xlsx&amp;sheet=A0&amp;row=17&amp;col=14&amp;number=&amp;sourceID=12","")</f>
        <v/>
      </c>
      <c r="O17" s="4" t="str">
        <f>HYPERLINK("http://141.218.60.56/~jnz1568/getInfo.php?workbook=07_01.xlsx&amp;sheet=A0&amp;row=17&amp;col=15&amp;number=69837000&amp;sourceID=12","69837000")</f>
        <v>69837000</v>
      </c>
      <c r="P17" s="4" t="str">
        <f>HYPERLINK("http://141.218.60.56/~jnz1568/getInfo.php?workbook=07_01.xlsx&amp;sheet=A0&amp;row=17&amp;col=16&amp;number=&amp;sourceID=12","")</f>
        <v/>
      </c>
      <c r="Q17" s="4" t="str">
        <f>HYPERLINK("http://141.218.60.56/~jnz1568/getInfo.php?workbook=07_01.xlsx&amp;sheet=A0&amp;row=17&amp;col=17&amp;number=1.9594&amp;sourceID=12","1.9594")</f>
        <v>1.9594</v>
      </c>
      <c r="R17" s="4" t="str">
        <f>HYPERLINK("http://141.218.60.56/~jnz1568/getInfo.php?workbook=07_01.xlsx&amp;sheet=A0&amp;row=17&amp;col=18&amp;number=&amp;sourceID=12","")</f>
        <v/>
      </c>
      <c r="S17" s="4" t="str">
        <f>HYPERLINK("http://141.218.60.56/~jnz1568/getInfo.php?workbook=07_01.xlsx&amp;sheet=A0&amp;row=17&amp;col=19&amp;number=&amp;sourceID=12","")</f>
        <v/>
      </c>
      <c r="T17" s="4" t="str">
        <f>HYPERLINK("http://141.218.60.56/~jnz1568/getInfo.php?workbook=07_01.xlsx&amp;sheet=A0&amp;row=17&amp;col=20&amp;number==&amp;sourceID=30","=")</f>
        <v>=</v>
      </c>
      <c r="U17" s="4" t="str">
        <f>HYPERLINK("http://141.218.60.56/~jnz1568/getInfo.php?workbook=07_01.xlsx&amp;sheet=A0&amp;row=17&amp;col=21&amp;number=&amp;sourceID=30","")</f>
        <v/>
      </c>
      <c r="V17" s="4" t="str">
        <f>HYPERLINK("http://141.218.60.56/~jnz1568/getInfo.php?workbook=07_01.xlsx&amp;sheet=A0&amp;row=17&amp;col=22&amp;number=69840000&amp;sourceID=30","69840000")</f>
        <v>69840000</v>
      </c>
      <c r="W17" s="4" t="str">
        <f>HYPERLINK("http://141.218.60.56/~jnz1568/getInfo.php?workbook=07_01.xlsx&amp;sheet=A0&amp;row=17&amp;col=23&amp;number=1.96&amp;sourceID=30","1.96")</f>
        <v>1.96</v>
      </c>
      <c r="X17" s="4" t="str">
        <f>HYPERLINK("http://141.218.60.56/~jnz1568/getInfo.php?workbook=07_01.xlsx&amp;sheet=A0&amp;row=17&amp;col=24&amp;number=&amp;sourceID=30","")</f>
        <v/>
      </c>
      <c r="Y17" s="4" t="str">
        <f>HYPERLINK("http://141.218.60.56/~jnz1568/getInfo.php?workbook=07_01.xlsx&amp;sheet=A0&amp;row=17&amp;col=25&amp;number==&amp;sourceID=13","=")</f>
        <v>=</v>
      </c>
      <c r="Z17" s="4" t="str">
        <f>HYPERLINK("http://141.218.60.56/~jnz1568/getInfo.php?workbook=07_01.xlsx&amp;sheet=A0&amp;row=17&amp;col=26&amp;number=&amp;sourceID=13","")</f>
        <v/>
      </c>
      <c r="AA17" s="4" t="str">
        <f>HYPERLINK("http://141.218.60.56/~jnz1568/getInfo.php?workbook=07_01.xlsx&amp;sheet=A0&amp;row=17&amp;col=27&amp;number=70300000&amp;sourceID=13","70300000")</f>
        <v>70300000</v>
      </c>
      <c r="AB17" s="4" t="str">
        <f>HYPERLINK("http://141.218.60.56/~jnz1568/getInfo.php?workbook=07_01.xlsx&amp;sheet=A0&amp;row=17&amp;col=28&amp;number=&amp;sourceID=13","")</f>
        <v/>
      </c>
      <c r="AC17" s="4" t="str">
        <f>HYPERLINK("http://141.218.60.56/~jnz1568/getInfo.php?workbook=07_01.xlsx&amp;sheet=A0&amp;row=17&amp;col=29&amp;number=5.41&amp;sourceID=13","5.41")</f>
        <v>5.41</v>
      </c>
      <c r="AD17" s="4" t="str">
        <f>HYPERLINK("http://141.218.60.56/~jnz1568/getInfo.php?workbook=07_01.xlsx&amp;sheet=A0&amp;row=17&amp;col=30&amp;number=&amp;sourceID=13","")</f>
        <v/>
      </c>
    </row>
    <row r="18" spans="1:30">
      <c r="A18" s="3">
        <v>7</v>
      </c>
      <c r="B18" s="3">
        <v>1</v>
      </c>
      <c r="C18" s="3">
        <v>7</v>
      </c>
      <c r="D18" s="3">
        <v>2</v>
      </c>
      <c r="E18" s="3">
        <f>((1/(INDEX(E0!J$4:J$28,C18,1)-INDEX(E0!J$4:J$28,D18,1))))*100000000</f>
        <v>0</v>
      </c>
      <c r="F18" s="4" t="str">
        <f>HYPERLINK("http://141.218.60.56/~jnz1568/getInfo.php?workbook=07_01.xlsx&amp;sheet=A0&amp;row=18&amp;col=6&amp;number==&amp;sourceID=11","=")</f>
        <v>=</v>
      </c>
      <c r="G18" s="4" t="str">
        <f>HYPERLINK("http://141.218.60.56/~jnz1568/getInfo.php?workbook=07_01.xlsx&amp;sheet=A0&amp;row=18&amp;col=7&amp;number=129560000000&amp;sourceID=11","129560000000")</f>
        <v>129560000000</v>
      </c>
      <c r="H18" s="4" t="str">
        <f>HYPERLINK("http://141.218.60.56/~jnz1568/getInfo.php?workbook=07_01.xlsx&amp;sheet=A0&amp;row=18&amp;col=8&amp;number=&amp;sourceID=11","")</f>
        <v/>
      </c>
      <c r="I18" s="4" t="str">
        <f>HYPERLINK("http://141.218.60.56/~jnz1568/getInfo.php?workbook=07_01.xlsx&amp;sheet=A0&amp;row=18&amp;col=9&amp;number=&amp;sourceID=11","")</f>
        <v/>
      </c>
      <c r="J18" s="4" t="str">
        <f>HYPERLINK("http://141.218.60.56/~jnz1568/getInfo.php?workbook=07_01.xlsx&amp;sheet=A0&amp;row=18&amp;col=10&amp;number=&amp;sourceID=11","")</f>
        <v/>
      </c>
      <c r="K18" s="4" t="str">
        <f>HYPERLINK("http://141.218.60.56/~jnz1568/getInfo.php?workbook=07_01.xlsx&amp;sheet=A0&amp;row=18&amp;col=11&amp;number=31.97&amp;sourceID=11","31.97")</f>
        <v>31.97</v>
      </c>
      <c r="L18" s="4" t="str">
        <f>HYPERLINK("http://141.218.60.56/~jnz1568/getInfo.php?workbook=07_01.xlsx&amp;sheet=A0&amp;row=18&amp;col=12&amp;number=&amp;sourceID=11","")</f>
        <v/>
      </c>
      <c r="M18" s="4" t="str">
        <f>HYPERLINK("http://141.218.60.56/~jnz1568/getInfo.php?workbook=07_01.xlsx&amp;sheet=A0&amp;row=18&amp;col=13&amp;number=129570000000&amp;sourceID=12","129570000000")</f>
        <v>129570000000</v>
      </c>
      <c r="N18" s="4" t="str">
        <f>HYPERLINK("http://141.218.60.56/~jnz1568/getInfo.php?workbook=07_01.xlsx&amp;sheet=A0&amp;row=18&amp;col=14&amp;number=129570000000&amp;sourceID=12","129570000000")</f>
        <v>129570000000</v>
      </c>
      <c r="O18" s="4" t="str">
        <f>HYPERLINK("http://141.218.60.56/~jnz1568/getInfo.php?workbook=07_01.xlsx&amp;sheet=A0&amp;row=18&amp;col=15&amp;number=&amp;sourceID=12","")</f>
        <v/>
      </c>
      <c r="P18" s="4" t="str">
        <f>HYPERLINK("http://141.218.60.56/~jnz1568/getInfo.php?workbook=07_01.xlsx&amp;sheet=A0&amp;row=18&amp;col=16&amp;number=&amp;sourceID=12","")</f>
        <v/>
      </c>
      <c r="Q18" s="4" t="str">
        <f>HYPERLINK("http://141.218.60.56/~jnz1568/getInfo.php?workbook=07_01.xlsx&amp;sheet=A0&amp;row=18&amp;col=17&amp;number=&amp;sourceID=12","")</f>
        <v/>
      </c>
      <c r="R18" s="4" t="str">
        <f>HYPERLINK("http://141.218.60.56/~jnz1568/getInfo.php?workbook=07_01.xlsx&amp;sheet=A0&amp;row=18&amp;col=18&amp;number=31.971&amp;sourceID=12","31.971")</f>
        <v>31.971</v>
      </c>
      <c r="S18" s="4" t="str">
        <f>HYPERLINK("http://141.218.60.56/~jnz1568/getInfo.php?workbook=07_01.xlsx&amp;sheet=A0&amp;row=18&amp;col=19&amp;number=&amp;sourceID=12","")</f>
        <v/>
      </c>
      <c r="T18" s="4" t="str">
        <f>HYPERLINK("http://141.218.60.56/~jnz1568/getInfo.php?workbook=07_01.xlsx&amp;sheet=A0&amp;row=18&amp;col=20&amp;number==&amp;sourceID=30","=")</f>
        <v>=</v>
      </c>
      <c r="U18" s="4" t="str">
        <f>HYPERLINK("http://141.218.60.56/~jnz1568/getInfo.php?workbook=07_01.xlsx&amp;sheet=A0&amp;row=18&amp;col=21&amp;number=129600000000&amp;sourceID=30","129600000000")</f>
        <v>129600000000</v>
      </c>
      <c r="V18" s="4" t="str">
        <f>HYPERLINK("http://141.218.60.56/~jnz1568/getInfo.php?workbook=07_01.xlsx&amp;sheet=A0&amp;row=18&amp;col=22&amp;number=&amp;sourceID=30","")</f>
        <v/>
      </c>
      <c r="W18" s="4" t="str">
        <f>HYPERLINK("http://141.218.60.56/~jnz1568/getInfo.php?workbook=07_01.xlsx&amp;sheet=A0&amp;row=18&amp;col=23&amp;number=&amp;sourceID=30","")</f>
        <v/>
      </c>
      <c r="X18" s="4" t="str">
        <f>HYPERLINK("http://141.218.60.56/~jnz1568/getInfo.php?workbook=07_01.xlsx&amp;sheet=A0&amp;row=18&amp;col=24&amp;number=31.97&amp;sourceID=30","31.97")</f>
        <v>31.97</v>
      </c>
      <c r="Y18" s="4" t="str">
        <f>HYPERLINK("http://141.218.60.56/~jnz1568/getInfo.php?workbook=07_01.xlsx&amp;sheet=A0&amp;row=18&amp;col=25&amp;number==&amp;sourceID=13","=")</f>
        <v>=</v>
      </c>
      <c r="Z18" s="4" t="str">
        <f>HYPERLINK("http://141.218.60.56/~jnz1568/getInfo.php?workbook=07_01.xlsx&amp;sheet=A0&amp;row=18&amp;col=26&amp;number=129000000000&amp;sourceID=13","129000000000")</f>
        <v>129000000000</v>
      </c>
      <c r="AA18" s="4" t="str">
        <f>HYPERLINK("http://141.218.60.56/~jnz1568/getInfo.php?workbook=07_01.xlsx&amp;sheet=A0&amp;row=18&amp;col=27&amp;number=&amp;sourceID=13","")</f>
        <v/>
      </c>
      <c r="AB18" s="4" t="str">
        <f>HYPERLINK("http://141.218.60.56/~jnz1568/getInfo.php?workbook=07_01.xlsx&amp;sheet=A0&amp;row=18&amp;col=28&amp;number=&amp;sourceID=13","")</f>
        <v/>
      </c>
      <c r="AC18" s="4" t="str">
        <f>HYPERLINK("http://141.218.60.56/~jnz1568/getInfo.php?workbook=07_01.xlsx&amp;sheet=A0&amp;row=18&amp;col=29&amp;number=&amp;sourceID=13","")</f>
        <v/>
      </c>
      <c r="AD18" s="4" t="str">
        <f>HYPERLINK("http://141.218.60.56/~jnz1568/getInfo.php?workbook=07_01.xlsx&amp;sheet=A0&amp;row=18&amp;col=30&amp;number=&amp;sourceID=13","")</f>
        <v/>
      </c>
    </row>
    <row r="19" spans="1:30">
      <c r="A19" s="3">
        <v>7</v>
      </c>
      <c r="B19" s="3">
        <v>1</v>
      </c>
      <c r="C19" s="3">
        <v>7</v>
      </c>
      <c r="D19" s="3">
        <v>3</v>
      </c>
      <c r="E19" s="3">
        <f>((1/(INDEX(E0!J$4:J$28,C19,1)-INDEX(E0!J$4:J$28,D19,1))))*100000000</f>
        <v>0</v>
      </c>
      <c r="F19" s="4" t="str">
        <f>HYPERLINK("http://141.218.60.56/~jnz1568/getInfo.php?workbook=07_01.xlsx&amp;sheet=A0&amp;row=19&amp;col=6&amp;number==&amp;sourceID=11","=")</f>
        <v>=</v>
      </c>
      <c r="G19" s="4" t="str">
        <f>HYPERLINK("http://141.218.60.56/~jnz1568/getInfo.php?workbook=07_01.xlsx&amp;sheet=A0&amp;row=19&amp;col=7&amp;number=&amp;sourceID=11","")</f>
        <v/>
      </c>
      <c r="H19" s="4" t="str">
        <f>HYPERLINK("http://141.218.60.56/~jnz1568/getInfo.php?workbook=07_01.xlsx&amp;sheet=A0&amp;row=19&amp;col=8&amp;number=6021300&amp;sourceID=11","6021300")</f>
        <v>6021300</v>
      </c>
      <c r="I19" s="4" t="str">
        <f>HYPERLINK("http://141.218.60.56/~jnz1568/getInfo.php?workbook=07_01.xlsx&amp;sheet=A0&amp;row=19&amp;col=9&amp;number=&amp;sourceID=11","")</f>
        <v/>
      </c>
      <c r="J19" s="4" t="str">
        <f>HYPERLINK("http://141.218.60.56/~jnz1568/getInfo.php?workbook=07_01.xlsx&amp;sheet=A0&amp;row=19&amp;col=10&amp;number=0.029787&amp;sourceID=11","0.029787")</f>
        <v>0.029787</v>
      </c>
      <c r="K19" s="4" t="str">
        <f>HYPERLINK("http://141.218.60.56/~jnz1568/getInfo.php?workbook=07_01.xlsx&amp;sheet=A0&amp;row=19&amp;col=11&amp;number=&amp;sourceID=11","")</f>
        <v/>
      </c>
      <c r="L19" s="4" t="str">
        <f>HYPERLINK("http://141.218.60.56/~jnz1568/getInfo.php?workbook=07_01.xlsx&amp;sheet=A0&amp;row=19&amp;col=12&amp;number=&amp;sourceID=11","")</f>
        <v/>
      </c>
      <c r="M19" s="4" t="str">
        <f>HYPERLINK("http://141.218.60.56/~jnz1568/getInfo.php?workbook=07_01.xlsx&amp;sheet=A0&amp;row=19&amp;col=13&amp;number=6021600&amp;sourceID=12","6021600")</f>
        <v>6021600</v>
      </c>
      <c r="N19" s="4" t="str">
        <f>HYPERLINK("http://141.218.60.56/~jnz1568/getInfo.php?workbook=07_01.xlsx&amp;sheet=A0&amp;row=19&amp;col=14&amp;number=&amp;sourceID=12","")</f>
        <v/>
      </c>
      <c r="O19" s="4" t="str">
        <f>HYPERLINK("http://141.218.60.56/~jnz1568/getInfo.php?workbook=07_01.xlsx&amp;sheet=A0&amp;row=19&amp;col=15&amp;number=6021600&amp;sourceID=12","6021600")</f>
        <v>6021600</v>
      </c>
      <c r="P19" s="4" t="str">
        <f>HYPERLINK("http://141.218.60.56/~jnz1568/getInfo.php?workbook=07_01.xlsx&amp;sheet=A0&amp;row=19&amp;col=16&amp;number=&amp;sourceID=12","")</f>
        <v/>
      </c>
      <c r="Q19" s="4" t="str">
        <f>HYPERLINK("http://141.218.60.56/~jnz1568/getInfo.php?workbook=07_01.xlsx&amp;sheet=A0&amp;row=19&amp;col=17&amp;number=0.029788&amp;sourceID=12","0.029788")</f>
        <v>0.029788</v>
      </c>
      <c r="R19" s="4" t="str">
        <f>HYPERLINK("http://141.218.60.56/~jnz1568/getInfo.php?workbook=07_01.xlsx&amp;sheet=A0&amp;row=19&amp;col=18&amp;number=&amp;sourceID=12","")</f>
        <v/>
      </c>
      <c r="S19" s="4" t="str">
        <f>HYPERLINK("http://141.218.60.56/~jnz1568/getInfo.php?workbook=07_01.xlsx&amp;sheet=A0&amp;row=19&amp;col=19&amp;number=&amp;sourceID=12","")</f>
        <v/>
      </c>
      <c r="T19" s="4" t="str">
        <f>HYPERLINK("http://141.218.60.56/~jnz1568/getInfo.php?workbook=07_01.xlsx&amp;sheet=A0&amp;row=19&amp;col=20&amp;number==&amp;sourceID=30","=")</f>
        <v>=</v>
      </c>
      <c r="U19" s="4" t="str">
        <f>HYPERLINK("http://141.218.60.56/~jnz1568/getInfo.php?workbook=07_01.xlsx&amp;sheet=A0&amp;row=19&amp;col=21&amp;number=&amp;sourceID=30","")</f>
        <v/>
      </c>
      <c r="V19" s="4" t="str">
        <f>HYPERLINK("http://141.218.60.56/~jnz1568/getInfo.php?workbook=07_01.xlsx&amp;sheet=A0&amp;row=19&amp;col=22&amp;number=6022000&amp;sourceID=30","6022000")</f>
        <v>6022000</v>
      </c>
      <c r="W19" s="4" t="str">
        <f>HYPERLINK("http://141.218.60.56/~jnz1568/getInfo.php?workbook=07_01.xlsx&amp;sheet=A0&amp;row=19&amp;col=23&amp;number=0.02979&amp;sourceID=30","0.02979")</f>
        <v>0.02979</v>
      </c>
      <c r="X19" s="4" t="str">
        <f>HYPERLINK("http://141.218.60.56/~jnz1568/getInfo.php?workbook=07_01.xlsx&amp;sheet=A0&amp;row=19&amp;col=24&amp;number=&amp;sourceID=30","")</f>
        <v/>
      </c>
      <c r="Y19" s="4" t="str">
        <f>HYPERLINK("http://141.218.60.56/~jnz1568/getInfo.php?workbook=07_01.xlsx&amp;sheet=A0&amp;row=19&amp;col=25&amp;number==&amp;sourceID=13","=")</f>
        <v>=</v>
      </c>
      <c r="Z19" s="4" t="str">
        <f>HYPERLINK("http://141.218.60.56/~jnz1568/getInfo.php?workbook=07_01.xlsx&amp;sheet=A0&amp;row=19&amp;col=26&amp;number=&amp;sourceID=13","")</f>
        <v/>
      </c>
      <c r="AA19" s="4" t="str">
        <f>HYPERLINK("http://141.218.60.56/~jnz1568/getInfo.php?workbook=07_01.xlsx&amp;sheet=A0&amp;row=19&amp;col=27&amp;number=6020000&amp;sourceID=13","6020000")</f>
        <v>6020000</v>
      </c>
      <c r="AB19" s="4" t="str">
        <f>HYPERLINK("http://141.218.60.56/~jnz1568/getInfo.php?workbook=07_01.xlsx&amp;sheet=A0&amp;row=19&amp;col=28&amp;number=&amp;sourceID=13","")</f>
        <v/>
      </c>
      <c r="AC19" s="4" t="str">
        <f>HYPERLINK("http://141.218.60.56/~jnz1568/getInfo.php?workbook=07_01.xlsx&amp;sheet=A0&amp;row=19&amp;col=29&amp;number=0.0574&amp;sourceID=13","0.0574")</f>
        <v>0.0574</v>
      </c>
      <c r="AD19" s="4" t="str">
        <f>HYPERLINK("http://141.218.60.56/~jnz1568/getInfo.php?workbook=07_01.xlsx&amp;sheet=A0&amp;row=19&amp;col=30&amp;number=&amp;sourceID=13","")</f>
        <v/>
      </c>
    </row>
    <row r="20" spans="1:30">
      <c r="A20" s="3">
        <v>7</v>
      </c>
      <c r="B20" s="3">
        <v>1</v>
      </c>
      <c r="C20" s="3">
        <v>7</v>
      </c>
      <c r="D20" s="3">
        <v>4</v>
      </c>
      <c r="E20" s="3">
        <f>((1/(INDEX(E0!J$4:J$28,C20,1)-INDEX(E0!J$4:J$28,D20,1))))*100000000</f>
        <v>0</v>
      </c>
      <c r="F20" s="4" t="str">
        <f>HYPERLINK("http://141.218.60.56/~jnz1568/getInfo.php?workbook=07_01.xlsx&amp;sheet=A0&amp;row=20&amp;col=6&amp;number==&amp;sourceID=11","=")</f>
        <v>=</v>
      </c>
      <c r="G20" s="4" t="str">
        <f>HYPERLINK("http://141.218.60.56/~jnz1568/getInfo.php?workbook=07_01.xlsx&amp;sheet=A0&amp;row=20&amp;col=7&amp;number=25880000000&amp;sourceID=11","25880000000")</f>
        <v>25880000000</v>
      </c>
      <c r="H20" s="4" t="str">
        <f>HYPERLINK("http://141.218.60.56/~jnz1568/getInfo.php?workbook=07_01.xlsx&amp;sheet=A0&amp;row=20&amp;col=8&amp;number=&amp;sourceID=11","")</f>
        <v/>
      </c>
      <c r="I20" s="4" t="str">
        <f>HYPERLINK("http://141.218.60.56/~jnz1568/getInfo.php?workbook=07_01.xlsx&amp;sheet=A0&amp;row=20&amp;col=9&amp;number=130.46&amp;sourceID=11","130.46")</f>
        <v>130.46</v>
      </c>
      <c r="J20" s="4" t="str">
        <f>HYPERLINK("http://141.218.60.56/~jnz1568/getInfo.php?workbook=07_01.xlsx&amp;sheet=A0&amp;row=20&amp;col=10&amp;number=&amp;sourceID=11","")</f>
        <v/>
      </c>
      <c r="K20" s="4" t="str">
        <f>HYPERLINK("http://141.218.60.56/~jnz1568/getInfo.php?workbook=07_01.xlsx&amp;sheet=A0&amp;row=20&amp;col=11&amp;number=&amp;sourceID=11","")</f>
        <v/>
      </c>
      <c r="L20" s="4" t="str">
        <f>HYPERLINK("http://141.218.60.56/~jnz1568/getInfo.php?workbook=07_01.xlsx&amp;sheet=A0&amp;row=20&amp;col=12&amp;number=&amp;sourceID=11","")</f>
        <v/>
      </c>
      <c r="M20" s="4" t="str">
        <f>HYPERLINK("http://141.218.60.56/~jnz1568/getInfo.php?workbook=07_01.xlsx&amp;sheet=A0&amp;row=20&amp;col=13&amp;number=25881000000&amp;sourceID=12","25881000000")</f>
        <v>25881000000</v>
      </c>
      <c r="N20" s="4" t="str">
        <f>HYPERLINK("http://141.218.60.56/~jnz1568/getInfo.php?workbook=07_01.xlsx&amp;sheet=A0&amp;row=20&amp;col=14&amp;number=25881000000&amp;sourceID=12","25881000000")</f>
        <v>25881000000</v>
      </c>
      <c r="O20" s="4" t="str">
        <f>HYPERLINK("http://141.218.60.56/~jnz1568/getInfo.php?workbook=07_01.xlsx&amp;sheet=A0&amp;row=20&amp;col=15&amp;number=&amp;sourceID=12","")</f>
        <v/>
      </c>
      <c r="P20" s="4" t="str">
        <f>HYPERLINK("http://141.218.60.56/~jnz1568/getInfo.php?workbook=07_01.xlsx&amp;sheet=A0&amp;row=20&amp;col=16&amp;number=130.46&amp;sourceID=12","130.46")</f>
        <v>130.46</v>
      </c>
      <c r="Q20" s="4" t="str">
        <f>HYPERLINK("http://141.218.60.56/~jnz1568/getInfo.php?workbook=07_01.xlsx&amp;sheet=A0&amp;row=20&amp;col=17&amp;number=&amp;sourceID=12","")</f>
        <v/>
      </c>
      <c r="R20" s="4" t="str">
        <f>HYPERLINK("http://141.218.60.56/~jnz1568/getInfo.php?workbook=07_01.xlsx&amp;sheet=A0&amp;row=20&amp;col=18&amp;number=&amp;sourceID=12","")</f>
        <v/>
      </c>
      <c r="S20" s="4" t="str">
        <f>HYPERLINK("http://141.218.60.56/~jnz1568/getInfo.php?workbook=07_01.xlsx&amp;sheet=A0&amp;row=20&amp;col=19&amp;number=&amp;sourceID=12","")</f>
        <v/>
      </c>
      <c r="T20" s="4" t="str">
        <f>HYPERLINK("http://141.218.60.56/~jnz1568/getInfo.php?workbook=07_01.xlsx&amp;sheet=A0&amp;row=20&amp;col=20&amp;number==&amp;sourceID=30","=")</f>
        <v>=</v>
      </c>
      <c r="U20" s="4" t="str">
        <f>HYPERLINK("http://141.218.60.56/~jnz1568/getInfo.php?workbook=07_01.xlsx&amp;sheet=A0&amp;row=20&amp;col=21&amp;number=25880000000&amp;sourceID=30","25880000000")</f>
        <v>25880000000</v>
      </c>
      <c r="V20" s="4" t="str">
        <f>HYPERLINK("http://141.218.60.56/~jnz1568/getInfo.php?workbook=07_01.xlsx&amp;sheet=A0&amp;row=20&amp;col=22&amp;number=&amp;sourceID=30","")</f>
        <v/>
      </c>
      <c r="W20" s="4" t="str">
        <f>HYPERLINK("http://141.218.60.56/~jnz1568/getInfo.php?workbook=07_01.xlsx&amp;sheet=A0&amp;row=20&amp;col=23&amp;number=&amp;sourceID=30","")</f>
        <v/>
      </c>
      <c r="X20" s="4" t="str">
        <f>HYPERLINK("http://141.218.60.56/~jnz1568/getInfo.php?workbook=07_01.xlsx&amp;sheet=A0&amp;row=20&amp;col=24&amp;number=&amp;sourceID=30","")</f>
        <v/>
      </c>
      <c r="Y20" s="4" t="str">
        <f>HYPERLINK("http://141.218.60.56/~jnz1568/getInfo.php?workbook=07_01.xlsx&amp;sheet=A0&amp;row=20&amp;col=25&amp;number==&amp;sourceID=13","=")</f>
        <v>=</v>
      </c>
      <c r="Z20" s="4" t="str">
        <f>HYPERLINK("http://141.218.60.56/~jnz1568/getInfo.php?workbook=07_01.xlsx&amp;sheet=A0&amp;row=20&amp;col=26&amp;number=25900000000&amp;sourceID=13","25900000000")</f>
        <v>25900000000</v>
      </c>
      <c r="AA20" s="4" t="str">
        <f>HYPERLINK("http://141.218.60.56/~jnz1568/getInfo.php?workbook=07_01.xlsx&amp;sheet=A0&amp;row=20&amp;col=27&amp;number=&amp;sourceID=13","")</f>
        <v/>
      </c>
      <c r="AB20" s="4" t="str">
        <f>HYPERLINK("http://141.218.60.56/~jnz1568/getInfo.php?workbook=07_01.xlsx&amp;sheet=A0&amp;row=20&amp;col=28&amp;number=&amp;sourceID=13","")</f>
        <v/>
      </c>
      <c r="AC20" s="4" t="str">
        <f>HYPERLINK("http://141.218.60.56/~jnz1568/getInfo.php?workbook=07_01.xlsx&amp;sheet=A0&amp;row=20&amp;col=29&amp;number=&amp;sourceID=13","")</f>
        <v/>
      </c>
      <c r="AD20" s="4" t="str">
        <f>HYPERLINK("http://141.218.60.56/~jnz1568/getInfo.php?workbook=07_01.xlsx&amp;sheet=A0&amp;row=20&amp;col=30&amp;number=&amp;sourceID=13","")</f>
        <v/>
      </c>
    </row>
    <row r="21" spans="1:30">
      <c r="A21" s="3">
        <v>7</v>
      </c>
      <c r="B21" s="3">
        <v>1</v>
      </c>
      <c r="C21" s="3">
        <v>7</v>
      </c>
      <c r="D21" s="3">
        <v>5</v>
      </c>
      <c r="E21" s="3">
        <f>((1/(INDEX(E0!J$4:J$28,C21,1)-INDEX(E0!J$4:J$28,D21,1))))*100000000</f>
        <v>0</v>
      </c>
      <c r="F21" s="4" t="str">
        <f>HYPERLINK("http://141.218.60.56/~jnz1568/getInfo.php?workbook=07_01.xlsx&amp;sheet=A0&amp;row=21&amp;col=6&amp;number==&amp;sourceID=11","=")</f>
        <v>=</v>
      </c>
      <c r="G21" s="4" t="str">
        <f>HYPERLINK("http://141.218.60.56/~jnz1568/getInfo.php?workbook=07_01.xlsx&amp;sheet=A0&amp;row=21&amp;col=7&amp;number=24.593&amp;sourceID=11","24.593")</f>
        <v>24.593</v>
      </c>
      <c r="H21" s="4" t="str">
        <f>HYPERLINK("http://141.218.60.56/~jnz1568/getInfo.php?workbook=07_01.xlsx&amp;sheet=A0&amp;row=21&amp;col=8&amp;number=&amp;sourceID=11","")</f>
        <v/>
      </c>
      <c r="I21" s="4" t="str">
        <f>HYPERLINK("http://141.218.60.56/~jnz1568/getInfo.php?workbook=07_01.xlsx&amp;sheet=A0&amp;row=21&amp;col=9&amp;number=&amp;sourceID=11","")</f>
        <v/>
      </c>
      <c r="J21" s="4" t="str">
        <f>HYPERLINK("http://141.218.60.56/~jnz1568/getInfo.php?workbook=07_01.xlsx&amp;sheet=A0&amp;row=21&amp;col=10&amp;number=&amp;sourceID=11","")</f>
        <v/>
      </c>
      <c r="K21" s="4" t="str">
        <f>HYPERLINK("http://141.218.60.56/~jnz1568/getInfo.php?workbook=07_01.xlsx&amp;sheet=A0&amp;row=21&amp;col=11&amp;number=1e-15&amp;sourceID=11","1e-15")</f>
        <v>1e-15</v>
      </c>
      <c r="L21" s="4" t="str">
        <f>HYPERLINK("http://141.218.60.56/~jnz1568/getInfo.php?workbook=07_01.xlsx&amp;sheet=A0&amp;row=21&amp;col=12&amp;number=&amp;sourceID=11","")</f>
        <v/>
      </c>
      <c r="M21" s="4" t="str">
        <f>HYPERLINK("http://141.218.60.56/~jnz1568/getInfo.php?workbook=07_01.xlsx&amp;sheet=A0&amp;row=21&amp;col=13&amp;number=24.594&amp;sourceID=12","24.594")</f>
        <v>24.594</v>
      </c>
      <c r="N21" s="4" t="str">
        <f>HYPERLINK("http://141.218.60.56/~jnz1568/getInfo.php?workbook=07_01.xlsx&amp;sheet=A0&amp;row=21&amp;col=14&amp;number=24.594&amp;sourceID=12","24.594")</f>
        <v>24.594</v>
      </c>
      <c r="O21" s="4" t="str">
        <f>HYPERLINK("http://141.218.60.56/~jnz1568/getInfo.php?workbook=07_01.xlsx&amp;sheet=A0&amp;row=21&amp;col=15&amp;number=&amp;sourceID=12","")</f>
        <v/>
      </c>
      <c r="P21" s="4" t="str">
        <f>HYPERLINK("http://141.218.60.56/~jnz1568/getInfo.php?workbook=07_01.xlsx&amp;sheet=A0&amp;row=21&amp;col=16&amp;number=&amp;sourceID=12","")</f>
        <v/>
      </c>
      <c r="Q21" s="4" t="str">
        <f>HYPERLINK("http://141.218.60.56/~jnz1568/getInfo.php?workbook=07_01.xlsx&amp;sheet=A0&amp;row=21&amp;col=17&amp;number=&amp;sourceID=12","")</f>
        <v/>
      </c>
      <c r="R21" s="4" t="str">
        <f>HYPERLINK("http://141.218.60.56/~jnz1568/getInfo.php?workbook=07_01.xlsx&amp;sheet=A0&amp;row=21&amp;col=18&amp;number=1e-15&amp;sourceID=12","1e-15")</f>
        <v>1e-15</v>
      </c>
      <c r="S21" s="4" t="str">
        <f>HYPERLINK("http://141.218.60.56/~jnz1568/getInfo.php?workbook=07_01.xlsx&amp;sheet=A0&amp;row=21&amp;col=19&amp;number=&amp;sourceID=12","")</f>
        <v/>
      </c>
      <c r="T21" s="4" t="str">
        <f>HYPERLINK("http://141.218.60.56/~jnz1568/getInfo.php?workbook=07_01.xlsx&amp;sheet=A0&amp;row=21&amp;col=20&amp;number==&amp;sourceID=30","=")</f>
        <v>=</v>
      </c>
      <c r="U21" s="4" t="str">
        <f>HYPERLINK("http://141.218.60.56/~jnz1568/getInfo.php?workbook=07_01.xlsx&amp;sheet=A0&amp;row=21&amp;col=21&amp;number=24.59&amp;sourceID=30","24.59")</f>
        <v>24.59</v>
      </c>
      <c r="V21" s="4" t="str">
        <f>HYPERLINK("http://141.218.60.56/~jnz1568/getInfo.php?workbook=07_01.xlsx&amp;sheet=A0&amp;row=21&amp;col=22&amp;number=&amp;sourceID=30","")</f>
        <v/>
      </c>
      <c r="W21" s="4" t="str">
        <f>HYPERLINK("http://141.218.60.56/~jnz1568/getInfo.php?workbook=07_01.xlsx&amp;sheet=A0&amp;row=21&amp;col=23&amp;number=&amp;sourceID=30","")</f>
        <v/>
      </c>
      <c r="X21" s="4" t="str">
        <f>HYPERLINK("http://141.218.60.56/~jnz1568/getInfo.php?workbook=07_01.xlsx&amp;sheet=A0&amp;row=21&amp;col=24&amp;number=1e-15&amp;sourceID=30","1e-15")</f>
        <v>1e-15</v>
      </c>
      <c r="Y21" s="4" t="str">
        <f>HYPERLINK("http://141.218.60.56/~jnz1568/getInfo.php?workbook=07_01.xlsx&amp;sheet=A0&amp;row=21&amp;col=25&amp;number==&amp;sourceID=13","=")</f>
        <v>=</v>
      </c>
      <c r="Z21" s="4" t="str">
        <f>HYPERLINK("http://141.218.60.56/~jnz1568/getInfo.php?workbook=07_01.xlsx&amp;sheet=A0&amp;row=21&amp;col=26&amp;number=24.4&amp;sourceID=13","24.4")</f>
        <v>24.4</v>
      </c>
      <c r="AA21" s="4" t="str">
        <f>HYPERLINK("http://141.218.60.56/~jnz1568/getInfo.php?workbook=07_01.xlsx&amp;sheet=A0&amp;row=21&amp;col=27&amp;number=&amp;sourceID=13","")</f>
        <v/>
      </c>
      <c r="AB21" s="4" t="str">
        <f>HYPERLINK("http://141.218.60.56/~jnz1568/getInfo.php?workbook=07_01.xlsx&amp;sheet=A0&amp;row=21&amp;col=28&amp;number=&amp;sourceID=13","")</f>
        <v/>
      </c>
      <c r="AC21" s="4" t="str">
        <f>HYPERLINK("http://141.218.60.56/~jnz1568/getInfo.php?workbook=07_01.xlsx&amp;sheet=A0&amp;row=21&amp;col=29&amp;number=&amp;sourceID=13","")</f>
        <v/>
      </c>
      <c r="AD21" s="4" t="str">
        <f>HYPERLINK("http://141.218.60.56/~jnz1568/getInfo.php?workbook=07_01.xlsx&amp;sheet=A0&amp;row=21&amp;col=30&amp;number=&amp;sourceID=13","")</f>
        <v/>
      </c>
    </row>
    <row r="22" spans="1:30">
      <c r="A22" s="3">
        <v>7</v>
      </c>
      <c r="B22" s="3">
        <v>1</v>
      </c>
      <c r="C22" s="3">
        <v>7</v>
      </c>
      <c r="D22" s="3">
        <v>6</v>
      </c>
      <c r="E22" s="3">
        <f>((1/(INDEX(E0!J$4:J$28,C22,1)-INDEX(E0!J$4:J$28,D22,1))))*100000000</f>
        <v>0</v>
      </c>
      <c r="F22" s="4" t="str">
        <f>HYPERLINK("http://141.218.60.56/~jnz1568/getInfo.php?workbook=07_01.xlsx&amp;sheet=A0&amp;row=22&amp;col=6&amp;number==&amp;sourceID=11","=")</f>
        <v>=</v>
      </c>
      <c r="G22" s="4" t="str">
        <f>HYPERLINK("http://141.218.60.56/~jnz1568/getInfo.php?workbook=07_01.xlsx&amp;sheet=A0&amp;row=22&amp;col=7&amp;number=&amp;sourceID=11","")</f>
        <v/>
      </c>
      <c r="H22" s="4" t="str">
        <f>HYPERLINK("http://141.218.60.56/~jnz1568/getInfo.php?workbook=07_01.xlsx&amp;sheet=A0&amp;row=22&amp;col=8&amp;number=2.253e-10&amp;sourceID=11","2.253e-10")</f>
        <v>2.253e-10</v>
      </c>
      <c r="I22" s="4" t="str">
        <f>HYPERLINK("http://141.218.60.56/~jnz1568/getInfo.php?workbook=07_01.xlsx&amp;sheet=A0&amp;row=22&amp;col=9&amp;number=&amp;sourceID=11","")</f>
        <v/>
      </c>
      <c r="J22" s="4" t="str">
        <f>HYPERLINK("http://141.218.60.56/~jnz1568/getInfo.php?workbook=07_01.xlsx&amp;sheet=A0&amp;row=22&amp;col=10&amp;number=8.4e-14&amp;sourceID=11","8.4e-14")</f>
        <v>8.4e-14</v>
      </c>
      <c r="K22" s="4" t="str">
        <f>HYPERLINK("http://141.218.60.56/~jnz1568/getInfo.php?workbook=07_01.xlsx&amp;sheet=A0&amp;row=22&amp;col=11&amp;number=&amp;sourceID=11","")</f>
        <v/>
      </c>
      <c r="L22" s="4" t="str">
        <f>HYPERLINK("http://141.218.60.56/~jnz1568/getInfo.php?workbook=07_01.xlsx&amp;sheet=A0&amp;row=22&amp;col=12&amp;number=&amp;sourceID=11","")</f>
        <v/>
      </c>
      <c r="M22" s="4" t="str">
        <f>HYPERLINK("http://141.218.60.56/~jnz1568/getInfo.php?workbook=07_01.xlsx&amp;sheet=A0&amp;row=22&amp;col=13&amp;number=2.2539e-10&amp;sourceID=12","2.2539e-10")</f>
        <v>2.2539e-10</v>
      </c>
      <c r="N22" s="4" t="str">
        <f>HYPERLINK("http://141.218.60.56/~jnz1568/getInfo.php?workbook=07_01.xlsx&amp;sheet=A0&amp;row=22&amp;col=14&amp;number=&amp;sourceID=12","")</f>
        <v/>
      </c>
      <c r="O22" s="4" t="str">
        <f>HYPERLINK("http://141.218.60.56/~jnz1568/getInfo.php?workbook=07_01.xlsx&amp;sheet=A0&amp;row=22&amp;col=15&amp;number=2.2531e-10&amp;sourceID=12","2.2531e-10")</f>
        <v>2.2531e-10</v>
      </c>
      <c r="P22" s="4" t="str">
        <f>HYPERLINK("http://141.218.60.56/~jnz1568/getInfo.php?workbook=07_01.xlsx&amp;sheet=A0&amp;row=22&amp;col=16&amp;number=&amp;sourceID=12","")</f>
        <v/>
      </c>
      <c r="Q22" s="4" t="str">
        <f>HYPERLINK("http://141.218.60.56/~jnz1568/getInfo.php?workbook=07_01.xlsx&amp;sheet=A0&amp;row=22&amp;col=17&amp;number=8.4e-14&amp;sourceID=12","8.4e-14")</f>
        <v>8.4e-14</v>
      </c>
      <c r="R22" s="4" t="str">
        <f>HYPERLINK("http://141.218.60.56/~jnz1568/getInfo.php?workbook=07_01.xlsx&amp;sheet=A0&amp;row=22&amp;col=18&amp;number=&amp;sourceID=12","")</f>
        <v/>
      </c>
      <c r="S22" s="4" t="str">
        <f>HYPERLINK("http://141.218.60.56/~jnz1568/getInfo.php?workbook=07_01.xlsx&amp;sheet=A0&amp;row=22&amp;col=19&amp;number=&amp;sourceID=12","")</f>
        <v/>
      </c>
      <c r="T22" s="4" t="str">
        <f>HYPERLINK("http://141.218.60.56/~jnz1568/getInfo.php?workbook=07_01.xlsx&amp;sheet=A0&amp;row=22&amp;col=20&amp;number==&amp;sourceID=30","=")</f>
        <v>=</v>
      </c>
      <c r="U22" s="4" t="str">
        <f>HYPERLINK("http://141.218.60.56/~jnz1568/getInfo.php?workbook=07_01.xlsx&amp;sheet=A0&amp;row=22&amp;col=21&amp;number=&amp;sourceID=30","")</f>
        <v/>
      </c>
      <c r="V22" s="4" t="str">
        <f>HYPERLINK("http://141.218.60.56/~jnz1568/getInfo.php?workbook=07_01.xlsx&amp;sheet=A0&amp;row=22&amp;col=22&amp;number=2.253e-10&amp;sourceID=30","2.253e-10")</f>
        <v>2.253e-10</v>
      </c>
      <c r="W22" s="4" t="str">
        <f>HYPERLINK("http://141.218.60.56/~jnz1568/getInfo.php?workbook=07_01.xlsx&amp;sheet=A0&amp;row=22&amp;col=23&amp;number=8.4e-14&amp;sourceID=30","8.4e-14")</f>
        <v>8.4e-14</v>
      </c>
      <c r="X22" s="4" t="str">
        <f>HYPERLINK("http://141.218.60.56/~jnz1568/getInfo.php?workbook=07_01.xlsx&amp;sheet=A0&amp;row=22&amp;col=24&amp;number=&amp;sourceID=30","")</f>
        <v/>
      </c>
      <c r="Y22" s="4" t="str">
        <f>HYPERLINK("http://141.218.60.56/~jnz1568/getInfo.php?workbook=07_01.xlsx&amp;sheet=A0&amp;row=22&amp;col=25&amp;number=&amp;sourceID=13","")</f>
        <v/>
      </c>
      <c r="Z22" s="4" t="str">
        <f>HYPERLINK("http://141.218.60.56/~jnz1568/getInfo.php?workbook=07_01.xlsx&amp;sheet=A0&amp;row=22&amp;col=26&amp;number=&amp;sourceID=13","")</f>
        <v/>
      </c>
      <c r="AA22" s="4" t="str">
        <f>HYPERLINK("http://141.218.60.56/~jnz1568/getInfo.php?workbook=07_01.xlsx&amp;sheet=A0&amp;row=22&amp;col=27&amp;number=&amp;sourceID=13","")</f>
        <v/>
      </c>
      <c r="AB22" s="4" t="str">
        <f>HYPERLINK("http://141.218.60.56/~jnz1568/getInfo.php?workbook=07_01.xlsx&amp;sheet=A0&amp;row=22&amp;col=28&amp;number=&amp;sourceID=13","")</f>
        <v/>
      </c>
      <c r="AC22" s="4" t="str">
        <f>HYPERLINK("http://141.218.60.56/~jnz1568/getInfo.php?workbook=07_01.xlsx&amp;sheet=A0&amp;row=22&amp;col=29&amp;number=&amp;sourceID=13","")</f>
        <v/>
      </c>
      <c r="AD22" s="4" t="str">
        <f>HYPERLINK("http://141.218.60.56/~jnz1568/getInfo.php?workbook=07_01.xlsx&amp;sheet=A0&amp;row=22&amp;col=30&amp;number=&amp;sourceID=13","")</f>
        <v/>
      </c>
    </row>
    <row r="23" spans="1:30">
      <c r="A23" s="3">
        <v>7</v>
      </c>
      <c r="B23" s="3">
        <v>1</v>
      </c>
      <c r="C23" s="3">
        <v>8</v>
      </c>
      <c r="D23" s="3">
        <v>1</v>
      </c>
      <c r="E23" s="3">
        <f>((1/(INDEX(E0!J$4:J$28,C23,1)-INDEX(E0!J$4:J$28,D23,1))))*100000000</f>
        <v>0</v>
      </c>
      <c r="F23" s="4" t="str">
        <f>HYPERLINK("http://141.218.60.56/~jnz1568/getInfo.php?workbook=07_01.xlsx&amp;sheet=A0&amp;row=23&amp;col=6&amp;number==&amp;sourceID=11","=")</f>
        <v>=</v>
      </c>
      <c r="G23" s="4" t="str">
        <f>HYPERLINK("http://141.218.60.56/~jnz1568/getInfo.php?workbook=07_01.xlsx&amp;sheet=A0&amp;row=23&amp;col=7&amp;number=401660000000&amp;sourceID=11","401660000000")</f>
        <v>401660000000</v>
      </c>
      <c r="H23" s="4" t="str">
        <f>HYPERLINK("http://141.218.60.56/~jnz1568/getInfo.php?workbook=07_01.xlsx&amp;sheet=A0&amp;row=23&amp;col=8&amp;number=&amp;sourceID=11","")</f>
        <v/>
      </c>
      <c r="I23" s="4" t="str">
        <f>HYPERLINK("http://141.218.60.56/~jnz1568/getInfo.php?workbook=07_01.xlsx&amp;sheet=A0&amp;row=23&amp;col=9&amp;number=&amp;sourceID=11","")</f>
        <v/>
      </c>
      <c r="J23" s="4" t="str">
        <f>HYPERLINK("http://141.218.60.56/~jnz1568/getInfo.php?workbook=07_01.xlsx&amp;sheet=A0&amp;row=23&amp;col=10&amp;number=&amp;sourceID=11","")</f>
        <v/>
      </c>
      <c r="K23" s="4" t="str">
        <f>HYPERLINK("http://141.218.60.56/~jnz1568/getInfo.php?workbook=07_01.xlsx&amp;sheet=A0&amp;row=23&amp;col=11&amp;number=101370&amp;sourceID=11","101370")</f>
        <v>101370</v>
      </c>
      <c r="L23" s="4" t="str">
        <f>HYPERLINK("http://141.218.60.56/~jnz1568/getInfo.php?workbook=07_01.xlsx&amp;sheet=A0&amp;row=23&amp;col=12&amp;number=&amp;sourceID=11","")</f>
        <v/>
      </c>
      <c r="M23" s="4" t="str">
        <f>HYPERLINK("http://141.218.60.56/~jnz1568/getInfo.php?workbook=07_01.xlsx&amp;sheet=A0&amp;row=23&amp;col=13&amp;number=401680000000&amp;sourceID=12","401680000000")</f>
        <v>401680000000</v>
      </c>
      <c r="N23" s="4" t="str">
        <f>HYPERLINK("http://141.218.60.56/~jnz1568/getInfo.php?workbook=07_01.xlsx&amp;sheet=A0&amp;row=23&amp;col=14&amp;number=401680000000&amp;sourceID=12","401680000000")</f>
        <v>401680000000</v>
      </c>
      <c r="O23" s="4" t="str">
        <f>HYPERLINK("http://141.218.60.56/~jnz1568/getInfo.php?workbook=07_01.xlsx&amp;sheet=A0&amp;row=23&amp;col=15&amp;number=&amp;sourceID=12","")</f>
        <v/>
      </c>
      <c r="P23" s="4" t="str">
        <f>HYPERLINK("http://141.218.60.56/~jnz1568/getInfo.php?workbook=07_01.xlsx&amp;sheet=A0&amp;row=23&amp;col=16&amp;number=&amp;sourceID=12","")</f>
        <v/>
      </c>
      <c r="Q23" s="4" t="str">
        <f>HYPERLINK("http://141.218.60.56/~jnz1568/getInfo.php?workbook=07_01.xlsx&amp;sheet=A0&amp;row=23&amp;col=17&amp;number=&amp;sourceID=12","")</f>
        <v/>
      </c>
      <c r="R23" s="4" t="str">
        <f>HYPERLINK("http://141.218.60.56/~jnz1568/getInfo.php?workbook=07_01.xlsx&amp;sheet=A0&amp;row=23&amp;col=18&amp;number=101370&amp;sourceID=12","101370")</f>
        <v>101370</v>
      </c>
      <c r="S23" s="4" t="str">
        <f>HYPERLINK("http://141.218.60.56/~jnz1568/getInfo.php?workbook=07_01.xlsx&amp;sheet=A0&amp;row=23&amp;col=19&amp;number=&amp;sourceID=12","")</f>
        <v/>
      </c>
      <c r="T23" s="4" t="str">
        <f>HYPERLINK("http://141.218.60.56/~jnz1568/getInfo.php?workbook=07_01.xlsx&amp;sheet=A0&amp;row=23&amp;col=20&amp;number==&amp;sourceID=30","=")</f>
        <v>=</v>
      </c>
      <c r="U23" s="4" t="str">
        <f>HYPERLINK("http://141.218.60.56/~jnz1568/getInfo.php?workbook=07_01.xlsx&amp;sheet=A0&amp;row=23&amp;col=21&amp;number=401700000000&amp;sourceID=30","401700000000")</f>
        <v>401700000000</v>
      </c>
      <c r="V23" s="4" t="str">
        <f>HYPERLINK("http://141.218.60.56/~jnz1568/getInfo.php?workbook=07_01.xlsx&amp;sheet=A0&amp;row=23&amp;col=22&amp;number=&amp;sourceID=30","")</f>
        <v/>
      </c>
      <c r="W23" s="4" t="str">
        <f>HYPERLINK("http://141.218.60.56/~jnz1568/getInfo.php?workbook=07_01.xlsx&amp;sheet=A0&amp;row=23&amp;col=23&amp;number=&amp;sourceID=30","")</f>
        <v/>
      </c>
      <c r="X23" s="4" t="str">
        <f>HYPERLINK("http://141.218.60.56/~jnz1568/getInfo.php?workbook=07_01.xlsx&amp;sheet=A0&amp;row=23&amp;col=24&amp;number=101400&amp;sourceID=30","101400")</f>
        <v>101400</v>
      </c>
      <c r="Y23" s="4" t="str">
        <f>HYPERLINK("http://141.218.60.56/~jnz1568/getInfo.php?workbook=07_01.xlsx&amp;sheet=A0&amp;row=23&amp;col=25&amp;number==SUM(Z23:AD23)&amp;sourceID=13","=SUM(Z23:AD23)")</f>
        <v>=SUM(Z23:AD23)</v>
      </c>
      <c r="Z23" s="4" t="str">
        <f>HYPERLINK("http://141.218.60.56/~jnz1568/getInfo.php?workbook=07_01.xlsx&amp;sheet=A0&amp;row=23&amp;col=26&amp;number=400000000000&amp;sourceID=13","400000000000")</f>
        <v>400000000000</v>
      </c>
      <c r="AA23" s="4" t="str">
        <f>HYPERLINK("http://141.218.60.56/~jnz1568/getInfo.php?workbook=07_01.xlsx&amp;sheet=A0&amp;row=23&amp;col=27&amp;number=&amp;sourceID=13","")</f>
        <v/>
      </c>
      <c r="AB23" s="4" t="str">
        <f>HYPERLINK("http://141.218.60.56/~jnz1568/getInfo.php?workbook=07_01.xlsx&amp;sheet=A0&amp;row=23&amp;col=28&amp;number=&amp;sourceID=13","")</f>
        <v/>
      </c>
      <c r="AC23" s="4" t="str">
        <f>HYPERLINK("http://141.218.60.56/~jnz1568/getInfo.php?workbook=07_01.xlsx&amp;sheet=A0&amp;row=23&amp;col=29&amp;number=&amp;sourceID=13","")</f>
        <v/>
      </c>
      <c r="AD23" s="4" t="str">
        <f>HYPERLINK("http://141.218.60.56/~jnz1568/getInfo.php?workbook=07_01.xlsx&amp;sheet=A0&amp;row=23&amp;col=30&amp;number=&amp;sourceID=13","")</f>
        <v/>
      </c>
    </row>
    <row r="24" spans="1:30">
      <c r="A24" s="3">
        <v>7</v>
      </c>
      <c r="B24" s="3">
        <v>1</v>
      </c>
      <c r="C24" s="3">
        <v>8</v>
      </c>
      <c r="D24" s="3">
        <v>2</v>
      </c>
      <c r="E24" s="3">
        <f>((1/(INDEX(E0!J$4:J$28,C24,1)-INDEX(E0!J$4:J$28,D24,1))))*100000000</f>
        <v>0</v>
      </c>
      <c r="F24" s="4" t="str">
        <f>HYPERLINK("http://141.218.60.56/~jnz1568/getInfo.php?workbook=07_01.xlsx&amp;sheet=A0&amp;row=24&amp;col=6&amp;number==&amp;sourceID=11","=")</f>
        <v>=</v>
      </c>
      <c r="G24" s="4" t="str">
        <f>HYPERLINK("http://141.218.60.56/~jnz1568/getInfo.php?workbook=07_01.xlsx&amp;sheet=A0&amp;row=24&amp;col=7&amp;number=&amp;sourceID=11","")</f>
        <v/>
      </c>
      <c r="H24" s="4" t="str">
        <f>HYPERLINK("http://141.218.60.56/~jnz1568/getInfo.php?workbook=07_01.xlsx&amp;sheet=A0&amp;row=24&amp;col=8&amp;number=1408700&amp;sourceID=11","1408700")</f>
        <v>1408700</v>
      </c>
      <c r="I24" s="4" t="str">
        <f>HYPERLINK("http://141.218.60.56/~jnz1568/getInfo.php?workbook=07_01.xlsx&amp;sheet=A0&amp;row=24&amp;col=9&amp;number=&amp;sourceID=11","")</f>
        <v/>
      </c>
      <c r="J24" s="4" t="str">
        <f>HYPERLINK("http://141.218.60.56/~jnz1568/getInfo.php?workbook=07_01.xlsx&amp;sheet=A0&amp;row=24&amp;col=10&amp;number=0.95967&amp;sourceID=11","0.95967")</f>
        <v>0.95967</v>
      </c>
      <c r="K24" s="4" t="str">
        <f>HYPERLINK("http://141.218.60.56/~jnz1568/getInfo.php?workbook=07_01.xlsx&amp;sheet=A0&amp;row=24&amp;col=11&amp;number=&amp;sourceID=11","")</f>
        <v/>
      </c>
      <c r="L24" s="4" t="str">
        <f>HYPERLINK("http://141.218.60.56/~jnz1568/getInfo.php?workbook=07_01.xlsx&amp;sheet=A0&amp;row=24&amp;col=12&amp;number=&amp;sourceID=11","")</f>
        <v/>
      </c>
      <c r="M24" s="4" t="str">
        <f>HYPERLINK("http://141.218.60.56/~jnz1568/getInfo.php?workbook=07_01.xlsx&amp;sheet=A0&amp;row=24&amp;col=13&amp;number=1408700&amp;sourceID=12","1408700")</f>
        <v>1408700</v>
      </c>
      <c r="N24" s="4" t="str">
        <f>HYPERLINK("http://141.218.60.56/~jnz1568/getInfo.php?workbook=07_01.xlsx&amp;sheet=A0&amp;row=24&amp;col=14&amp;number=&amp;sourceID=12","")</f>
        <v/>
      </c>
      <c r="O24" s="4" t="str">
        <f>HYPERLINK("http://141.218.60.56/~jnz1568/getInfo.php?workbook=07_01.xlsx&amp;sheet=A0&amp;row=24&amp;col=15&amp;number=1408700&amp;sourceID=12","1408700")</f>
        <v>1408700</v>
      </c>
      <c r="P24" s="4" t="str">
        <f>HYPERLINK("http://141.218.60.56/~jnz1568/getInfo.php?workbook=07_01.xlsx&amp;sheet=A0&amp;row=24&amp;col=16&amp;number=&amp;sourceID=12","")</f>
        <v/>
      </c>
      <c r="Q24" s="4" t="str">
        <f>HYPERLINK("http://141.218.60.56/~jnz1568/getInfo.php?workbook=07_01.xlsx&amp;sheet=A0&amp;row=24&amp;col=17&amp;number=0.95971&amp;sourceID=12","0.95971")</f>
        <v>0.95971</v>
      </c>
      <c r="R24" s="4" t="str">
        <f>HYPERLINK("http://141.218.60.56/~jnz1568/getInfo.php?workbook=07_01.xlsx&amp;sheet=A0&amp;row=24&amp;col=18&amp;number=&amp;sourceID=12","")</f>
        <v/>
      </c>
      <c r="S24" s="4" t="str">
        <f>HYPERLINK("http://141.218.60.56/~jnz1568/getInfo.php?workbook=07_01.xlsx&amp;sheet=A0&amp;row=24&amp;col=19&amp;number=&amp;sourceID=12","")</f>
        <v/>
      </c>
      <c r="T24" s="4" t="str">
        <f>HYPERLINK("http://141.218.60.56/~jnz1568/getInfo.php?workbook=07_01.xlsx&amp;sheet=A0&amp;row=24&amp;col=20&amp;number==&amp;sourceID=30","=")</f>
        <v>=</v>
      </c>
      <c r="U24" s="4" t="str">
        <f>HYPERLINK("http://141.218.60.56/~jnz1568/getInfo.php?workbook=07_01.xlsx&amp;sheet=A0&amp;row=24&amp;col=21&amp;number=&amp;sourceID=30","")</f>
        <v/>
      </c>
      <c r="V24" s="4" t="str">
        <f>HYPERLINK("http://141.218.60.56/~jnz1568/getInfo.php?workbook=07_01.xlsx&amp;sheet=A0&amp;row=24&amp;col=22&amp;number=1409000&amp;sourceID=30","1409000")</f>
        <v>1409000</v>
      </c>
      <c r="W24" s="4" t="str">
        <f>HYPERLINK("http://141.218.60.56/~jnz1568/getInfo.php?workbook=07_01.xlsx&amp;sheet=A0&amp;row=24&amp;col=23&amp;number=0.9597&amp;sourceID=30","0.9597")</f>
        <v>0.9597</v>
      </c>
      <c r="X24" s="4" t="str">
        <f>HYPERLINK("http://141.218.60.56/~jnz1568/getInfo.php?workbook=07_01.xlsx&amp;sheet=A0&amp;row=24&amp;col=24&amp;number=&amp;sourceID=30","")</f>
        <v/>
      </c>
      <c r="Y24" s="4" t="str">
        <f>HYPERLINK("http://141.218.60.56/~jnz1568/getInfo.php?workbook=07_01.xlsx&amp;sheet=A0&amp;row=24&amp;col=25&amp;number==&amp;sourceID=13","=")</f>
        <v>=</v>
      </c>
      <c r="Z24" s="4" t="str">
        <f>HYPERLINK("http://141.218.60.56/~jnz1568/getInfo.php?workbook=07_01.xlsx&amp;sheet=A0&amp;row=24&amp;col=26&amp;number=&amp;sourceID=13","")</f>
        <v/>
      </c>
      <c r="AA24" s="4" t="str">
        <f>HYPERLINK("http://141.218.60.56/~jnz1568/getInfo.php?workbook=07_01.xlsx&amp;sheet=A0&amp;row=24&amp;col=27&amp;number=1410000&amp;sourceID=13","1410000")</f>
        <v>1410000</v>
      </c>
      <c r="AB24" s="4" t="str">
        <f>HYPERLINK("http://141.218.60.56/~jnz1568/getInfo.php?workbook=07_01.xlsx&amp;sheet=A0&amp;row=24&amp;col=28&amp;number=&amp;sourceID=13","")</f>
        <v/>
      </c>
      <c r="AC24" s="4" t="str">
        <f>HYPERLINK("http://141.218.60.56/~jnz1568/getInfo.php?workbook=07_01.xlsx&amp;sheet=A0&amp;row=24&amp;col=29&amp;number=0.834&amp;sourceID=13","0.834")</f>
        <v>0.834</v>
      </c>
      <c r="AD24" s="4" t="str">
        <f>HYPERLINK("http://141.218.60.56/~jnz1568/getInfo.php?workbook=07_01.xlsx&amp;sheet=A0&amp;row=24&amp;col=30&amp;number=&amp;sourceID=13","")</f>
        <v/>
      </c>
    </row>
    <row r="25" spans="1:30">
      <c r="A25" s="3">
        <v>7</v>
      </c>
      <c r="B25" s="3">
        <v>1</v>
      </c>
      <c r="C25" s="3">
        <v>8</v>
      </c>
      <c r="D25" s="3">
        <v>3</v>
      </c>
      <c r="E25" s="3">
        <f>((1/(INDEX(E0!J$4:J$28,C25,1)-INDEX(E0!J$4:J$28,D25,1))))*100000000</f>
        <v>0</v>
      </c>
      <c r="F25" s="4" t="str">
        <f>HYPERLINK("http://141.218.60.56/~jnz1568/getInfo.php?workbook=07_01.xlsx&amp;sheet=A0&amp;row=25&amp;col=6&amp;number==&amp;sourceID=11","=")</f>
        <v>=</v>
      </c>
      <c r="G25" s="4" t="str">
        <f>HYPERLINK("http://141.218.60.56/~jnz1568/getInfo.php?workbook=07_01.xlsx&amp;sheet=A0&amp;row=25&amp;col=7&amp;number=53891000000&amp;sourceID=11","53891000000")</f>
        <v>53891000000</v>
      </c>
      <c r="H25" s="4" t="str">
        <f>HYPERLINK("http://141.218.60.56/~jnz1568/getInfo.php?workbook=07_01.xlsx&amp;sheet=A0&amp;row=25&amp;col=8&amp;number=&amp;sourceID=11","")</f>
        <v/>
      </c>
      <c r="I25" s="4" t="str">
        <f>HYPERLINK("http://141.218.60.56/~jnz1568/getInfo.php?workbook=07_01.xlsx&amp;sheet=A0&amp;row=25&amp;col=9&amp;number=&amp;sourceID=11","")</f>
        <v/>
      </c>
      <c r="J25" s="4" t="str">
        <f>HYPERLINK("http://141.218.60.56/~jnz1568/getInfo.php?workbook=07_01.xlsx&amp;sheet=A0&amp;row=25&amp;col=10&amp;number=&amp;sourceID=11","")</f>
        <v/>
      </c>
      <c r="K25" s="4" t="str">
        <f>HYPERLINK("http://141.218.60.56/~jnz1568/getInfo.php?workbook=07_01.xlsx&amp;sheet=A0&amp;row=25&amp;col=11&amp;number=332.65&amp;sourceID=11","332.65")</f>
        <v>332.65</v>
      </c>
      <c r="L25" s="4" t="str">
        <f>HYPERLINK("http://141.218.60.56/~jnz1568/getInfo.php?workbook=07_01.xlsx&amp;sheet=A0&amp;row=25&amp;col=12&amp;number=&amp;sourceID=11","")</f>
        <v/>
      </c>
      <c r="M25" s="4" t="str">
        <f>HYPERLINK("http://141.218.60.56/~jnz1568/getInfo.php?workbook=07_01.xlsx&amp;sheet=A0&amp;row=25&amp;col=13&amp;number=53893000000&amp;sourceID=12","53893000000")</f>
        <v>53893000000</v>
      </c>
      <c r="N25" s="4" t="str">
        <f>HYPERLINK("http://141.218.60.56/~jnz1568/getInfo.php?workbook=07_01.xlsx&amp;sheet=A0&amp;row=25&amp;col=14&amp;number=53893000000&amp;sourceID=12","53893000000")</f>
        <v>53893000000</v>
      </c>
      <c r="O25" s="4" t="str">
        <f>HYPERLINK("http://141.218.60.56/~jnz1568/getInfo.php?workbook=07_01.xlsx&amp;sheet=A0&amp;row=25&amp;col=15&amp;number=&amp;sourceID=12","")</f>
        <v/>
      </c>
      <c r="P25" s="4" t="str">
        <f>HYPERLINK("http://141.218.60.56/~jnz1568/getInfo.php?workbook=07_01.xlsx&amp;sheet=A0&amp;row=25&amp;col=16&amp;number=&amp;sourceID=12","")</f>
        <v/>
      </c>
      <c r="Q25" s="4" t="str">
        <f>HYPERLINK("http://141.218.60.56/~jnz1568/getInfo.php?workbook=07_01.xlsx&amp;sheet=A0&amp;row=25&amp;col=17&amp;number=&amp;sourceID=12","")</f>
        <v/>
      </c>
      <c r="R25" s="4" t="str">
        <f>HYPERLINK("http://141.218.60.56/~jnz1568/getInfo.php?workbook=07_01.xlsx&amp;sheet=A0&amp;row=25&amp;col=18&amp;number=332.67&amp;sourceID=12","332.67")</f>
        <v>332.67</v>
      </c>
      <c r="S25" s="4" t="str">
        <f>HYPERLINK("http://141.218.60.56/~jnz1568/getInfo.php?workbook=07_01.xlsx&amp;sheet=A0&amp;row=25&amp;col=19&amp;number=&amp;sourceID=12","")</f>
        <v/>
      </c>
      <c r="T25" s="4" t="str">
        <f>HYPERLINK("http://141.218.60.56/~jnz1568/getInfo.php?workbook=07_01.xlsx&amp;sheet=A0&amp;row=25&amp;col=20&amp;number==&amp;sourceID=30","=")</f>
        <v>=</v>
      </c>
      <c r="U25" s="4" t="str">
        <f>HYPERLINK("http://141.218.60.56/~jnz1568/getInfo.php?workbook=07_01.xlsx&amp;sheet=A0&amp;row=25&amp;col=21&amp;number=53890000000&amp;sourceID=30","53890000000")</f>
        <v>53890000000</v>
      </c>
      <c r="V25" s="4" t="str">
        <f>HYPERLINK("http://141.218.60.56/~jnz1568/getInfo.php?workbook=07_01.xlsx&amp;sheet=A0&amp;row=25&amp;col=22&amp;number=&amp;sourceID=30","")</f>
        <v/>
      </c>
      <c r="W25" s="4" t="str">
        <f>HYPERLINK("http://141.218.60.56/~jnz1568/getInfo.php?workbook=07_01.xlsx&amp;sheet=A0&amp;row=25&amp;col=23&amp;number=&amp;sourceID=30","")</f>
        <v/>
      </c>
      <c r="X25" s="4" t="str">
        <f>HYPERLINK("http://141.218.60.56/~jnz1568/getInfo.php?workbook=07_01.xlsx&amp;sheet=A0&amp;row=25&amp;col=24&amp;number=332.7&amp;sourceID=30","332.7")</f>
        <v>332.7</v>
      </c>
      <c r="Y25" s="4" t="str">
        <f>HYPERLINK("http://141.218.60.56/~jnz1568/getInfo.php?workbook=07_01.xlsx&amp;sheet=A0&amp;row=25&amp;col=25&amp;number==&amp;sourceID=13","=")</f>
        <v>=</v>
      </c>
      <c r="Z25" s="4" t="str">
        <f>HYPERLINK("http://141.218.60.56/~jnz1568/getInfo.php?workbook=07_01.xlsx&amp;sheet=A0&amp;row=25&amp;col=26&amp;number=53800000000&amp;sourceID=13","53800000000")</f>
        <v>53800000000</v>
      </c>
      <c r="AA25" s="4" t="str">
        <f>HYPERLINK("http://141.218.60.56/~jnz1568/getInfo.php?workbook=07_01.xlsx&amp;sheet=A0&amp;row=25&amp;col=27&amp;number=&amp;sourceID=13","")</f>
        <v/>
      </c>
      <c r="AB25" s="4" t="str">
        <f>HYPERLINK("http://141.218.60.56/~jnz1568/getInfo.php?workbook=07_01.xlsx&amp;sheet=A0&amp;row=25&amp;col=28&amp;number=&amp;sourceID=13","")</f>
        <v/>
      </c>
      <c r="AC25" s="4" t="str">
        <f>HYPERLINK("http://141.218.60.56/~jnz1568/getInfo.php?workbook=07_01.xlsx&amp;sheet=A0&amp;row=25&amp;col=29&amp;number=&amp;sourceID=13","")</f>
        <v/>
      </c>
      <c r="AD25" s="4" t="str">
        <f>HYPERLINK("http://141.218.60.56/~jnz1568/getInfo.php?workbook=07_01.xlsx&amp;sheet=A0&amp;row=25&amp;col=30&amp;number=&amp;sourceID=13","")</f>
        <v/>
      </c>
    </row>
    <row r="26" spans="1:30">
      <c r="A26" s="3">
        <v>7</v>
      </c>
      <c r="B26" s="3">
        <v>1</v>
      </c>
      <c r="C26" s="3">
        <v>8</v>
      </c>
      <c r="D26" s="3">
        <v>4</v>
      </c>
      <c r="E26" s="3">
        <f>((1/(INDEX(E0!J$4:J$28,C26,1)-INDEX(E0!J$4:J$28,D26,1))))*100000000</f>
        <v>0</v>
      </c>
      <c r="F26" s="4" t="str">
        <f>HYPERLINK("http://141.218.60.56/~jnz1568/getInfo.php?workbook=07_01.xlsx&amp;sheet=A0&amp;row=26&amp;col=6&amp;number==&amp;sourceID=11","=")</f>
        <v>=</v>
      </c>
      <c r="G26" s="4" t="str">
        <f>HYPERLINK("http://141.218.60.56/~jnz1568/getInfo.php?workbook=07_01.xlsx&amp;sheet=A0&amp;row=26&amp;col=7&amp;number=&amp;sourceID=11","")</f>
        <v/>
      </c>
      <c r="H26" s="4" t="str">
        <f>HYPERLINK("http://141.218.60.56/~jnz1568/getInfo.php?workbook=07_01.xlsx&amp;sheet=A0&amp;row=26&amp;col=8&amp;number=1406900&amp;sourceID=11","1406900")</f>
        <v>1406900</v>
      </c>
      <c r="I26" s="4" t="str">
        <f>HYPERLINK("http://141.218.60.56/~jnz1568/getInfo.php?workbook=07_01.xlsx&amp;sheet=A0&amp;row=26&amp;col=9&amp;number=&amp;sourceID=11","")</f>
        <v/>
      </c>
      <c r="J26" s="4" t="str">
        <f>HYPERLINK("http://141.218.60.56/~jnz1568/getInfo.php?workbook=07_01.xlsx&amp;sheet=A0&amp;row=26&amp;col=10&amp;number=0.99846&amp;sourceID=11","0.99846")</f>
        <v>0.99846</v>
      </c>
      <c r="K26" s="4" t="str">
        <f>HYPERLINK("http://141.218.60.56/~jnz1568/getInfo.php?workbook=07_01.xlsx&amp;sheet=A0&amp;row=26&amp;col=11&amp;number=&amp;sourceID=11","")</f>
        <v/>
      </c>
      <c r="L26" s="4" t="str">
        <f>HYPERLINK("http://141.218.60.56/~jnz1568/getInfo.php?workbook=07_01.xlsx&amp;sheet=A0&amp;row=26&amp;col=12&amp;number=0.018483&amp;sourceID=11","0.018483")</f>
        <v>0.018483</v>
      </c>
      <c r="M26" s="4" t="str">
        <f>HYPERLINK("http://141.218.60.56/~jnz1568/getInfo.php?workbook=07_01.xlsx&amp;sheet=A0&amp;row=26&amp;col=13&amp;number=1407000&amp;sourceID=12","1407000")</f>
        <v>1407000</v>
      </c>
      <c r="N26" s="4" t="str">
        <f>HYPERLINK("http://141.218.60.56/~jnz1568/getInfo.php?workbook=07_01.xlsx&amp;sheet=A0&amp;row=26&amp;col=14&amp;number=&amp;sourceID=12","")</f>
        <v/>
      </c>
      <c r="O26" s="4" t="str">
        <f>HYPERLINK("http://141.218.60.56/~jnz1568/getInfo.php?workbook=07_01.xlsx&amp;sheet=A0&amp;row=26&amp;col=15&amp;number=1407000&amp;sourceID=12","1407000")</f>
        <v>1407000</v>
      </c>
      <c r="P26" s="4" t="str">
        <f>HYPERLINK("http://141.218.60.56/~jnz1568/getInfo.php?workbook=07_01.xlsx&amp;sheet=A0&amp;row=26&amp;col=16&amp;number=&amp;sourceID=12","")</f>
        <v/>
      </c>
      <c r="Q26" s="4" t="str">
        <f>HYPERLINK("http://141.218.60.56/~jnz1568/getInfo.php?workbook=07_01.xlsx&amp;sheet=A0&amp;row=26&amp;col=17&amp;number=0.9985&amp;sourceID=12","0.9985")</f>
        <v>0.9985</v>
      </c>
      <c r="R26" s="4" t="str">
        <f>HYPERLINK("http://141.218.60.56/~jnz1568/getInfo.php?workbook=07_01.xlsx&amp;sheet=A0&amp;row=26&amp;col=18&amp;number=&amp;sourceID=12","")</f>
        <v/>
      </c>
      <c r="S26" s="4" t="str">
        <f>HYPERLINK("http://141.218.60.56/~jnz1568/getInfo.php?workbook=07_01.xlsx&amp;sheet=A0&amp;row=26&amp;col=19&amp;number=0.018484&amp;sourceID=12","0.018484")</f>
        <v>0.018484</v>
      </c>
      <c r="T26" s="4" t="str">
        <f>HYPERLINK("http://141.218.60.56/~jnz1568/getInfo.php?workbook=07_01.xlsx&amp;sheet=A0&amp;row=26&amp;col=20&amp;number==&amp;sourceID=30","=")</f>
        <v>=</v>
      </c>
      <c r="U26" s="4" t="str">
        <f>HYPERLINK("http://141.218.60.56/~jnz1568/getInfo.php?workbook=07_01.xlsx&amp;sheet=A0&amp;row=26&amp;col=21&amp;number=&amp;sourceID=30","")</f>
        <v/>
      </c>
      <c r="V26" s="4" t="str">
        <f>HYPERLINK("http://141.218.60.56/~jnz1568/getInfo.php?workbook=07_01.xlsx&amp;sheet=A0&amp;row=26&amp;col=22&amp;number=1407000&amp;sourceID=30","1407000")</f>
        <v>1407000</v>
      </c>
      <c r="W26" s="4" t="str">
        <f>HYPERLINK("http://141.218.60.56/~jnz1568/getInfo.php?workbook=07_01.xlsx&amp;sheet=A0&amp;row=26&amp;col=23&amp;number=0.9985&amp;sourceID=30","0.9985")</f>
        <v>0.9985</v>
      </c>
      <c r="X26" s="4" t="str">
        <f>HYPERLINK("http://141.218.60.56/~jnz1568/getInfo.php?workbook=07_01.xlsx&amp;sheet=A0&amp;row=26&amp;col=24&amp;number=&amp;sourceID=30","")</f>
        <v/>
      </c>
      <c r="Y26" s="4" t="str">
        <f>HYPERLINK("http://141.218.60.56/~jnz1568/getInfo.php?workbook=07_01.xlsx&amp;sheet=A0&amp;row=26&amp;col=25&amp;number==&amp;sourceID=13","=")</f>
        <v>=</v>
      </c>
      <c r="Z26" s="4" t="str">
        <f>HYPERLINK("http://141.218.60.56/~jnz1568/getInfo.php?workbook=07_01.xlsx&amp;sheet=A0&amp;row=26&amp;col=26&amp;number=&amp;sourceID=13","")</f>
        <v/>
      </c>
      <c r="AA26" s="4" t="str">
        <f>HYPERLINK("http://141.218.60.56/~jnz1568/getInfo.php?workbook=07_01.xlsx&amp;sheet=A0&amp;row=26&amp;col=27&amp;number=1410000&amp;sourceID=13","1410000")</f>
        <v>1410000</v>
      </c>
      <c r="AB26" s="4" t="str">
        <f>HYPERLINK("http://141.218.60.56/~jnz1568/getInfo.php?workbook=07_01.xlsx&amp;sheet=A0&amp;row=26&amp;col=28&amp;number=&amp;sourceID=13","")</f>
        <v/>
      </c>
      <c r="AC26" s="4" t="str">
        <f>HYPERLINK("http://141.218.60.56/~jnz1568/getInfo.php?workbook=07_01.xlsx&amp;sheet=A0&amp;row=26&amp;col=29&amp;number=0.999&amp;sourceID=13","0.999")</f>
        <v>0.999</v>
      </c>
      <c r="AD26" s="4" t="str">
        <f>HYPERLINK("http://141.218.60.56/~jnz1568/getInfo.php?workbook=07_01.xlsx&amp;sheet=A0&amp;row=26&amp;col=30&amp;number=&amp;sourceID=13","")</f>
        <v/>
      </c>
    </row>
    <row r="27" spans="1:30">
      <c r="A27" s="3">
        <v>7</v>
      </c>
      <c r="B27" s="3">
        <v>1</v>
      </c>
      <c r="C27" s="3">
        <v>8</v>
      </c>
      <c r="D27" s="3">
        <v>5</v>
      </c>
      <c r="E27" s="3">
        <f>((1/(INDEX(E0!J$4:J$28,C27,1)-INDEX(E0!J$4:J$28,D27,1))))*100000000</f>
        <v>0</v>
      </c>
      <c r="F27" s="4" t="str">
        <f>HYPERLINK("http://141.218.60.56/~jnz1568/getInfo.php?workbook=07_01.xlsx&amp;sheet=A0&amp;row=27&amp;col=6&amp;number==&amp;sourceID=11","=")</f>
        <v>=</v>
      </c>
      <c r="G27" s="4" t="str">
        <f>HYPERLINK("http://141.218.60.56/~jnz1568/getInfo.php?workbook=07_01.xlsx&amp;sheet=A0&amp;row=27&amp;col=7&amp;number=&amp;sourceID=11","")</f>
        <v/>
      </c>
      <c r="H27" s="4" t="str">
        <f>HYPERLINK("http://141.218.60.56/~jnz1568/getInfo.php?workbook=07_01.xlsx&amp;sheet=A0&amp;row=27&amp;col=8&amp;number=3.6021e-10&amp;sourceID=11","3.6021e-10")</f>
        <v>3.6021e-10</v>
      </c>
      <c r="I27" s="4" t="str">
        <f>HYPERLINK("http://141.218.60.56/~jnz1568/getInfo.php?workbook=07_01.xlsx&amp;sheet=A0&amp;row=27&amp;col=9&amp;number=&amp;sourceID=11","")</f>
        <v/>
      </c>
      <c r="J27" s="4" t="str">
        <f>HYPERLINK("http://141.218.60.56/~jnz1568/getInfo.php?workbook=07_01.xlsx&amp;sheet=A0&amp;row=27&amp;col=10&amp;number=0.00015848&amp;sourceID=11","0.00015848")</f>
        <v>0.00015848</v>
      </c>
      <c r="K27" s="4" t="str">
        <f>HYPERLINK("http://141.218.60.56/~jnz1568/getInfo.php?workbook=07_01.xlsx&amp;sheet=A0&amp;row=27&amp;col=11&amp;number=&amp;sourceID=11","")</f>
        <v/>
      </c>
      <c r="L27" s="4" t="str">
        <f>HYPERLINK("http://141.218.60.56/~jnz1568/getInfo.php?workbook=07_01.xlsx&amp;sheet=A0&amp;row=27&amp;col=12&amp;number=&amp;sourceID=11","")</f>
        <v/>
      </c>
      <c r="M27" s="4" t="str">
        <f>HYPERLINK("http://141.218.60.56/~jnz1568/getInfo.php?workbook=07_01.xlsx&amp;sheet=A0&amp;row=27&amp;col=13&amp;number=0.00015849&amp;sourceID=12","0.00015849")</f>
        <v>0.00015849</v>
      </c>
      <c r="N27" s="4" t="str">
        <f>HYPERLINK("http://141.218.60.56/~jnz1568/getInfo.php?workbook=07_01.xlsx&amp;sheet=A0&amp;row=27&amp;col=14&amp;number=&amp;sourceID=12","")</f>
        <v/>
      </c>
      <c r="O27" s="4" t="str">
        <f>HYPERLINK("http://141.218.60.56/~jnz1568/getInfo.php?workbook=07_01.xlsx&amp;sheet=A0&amp;row=27&amp;col=15&amp;number=3.6023e-10&amp;sourceID=12","3.6023e-10")</f>
        <v>3.6023e-10</v>
      </c>
      <c r="P27" s="4" t="str">
        <f>HYPERLINK("http://141.218.60.56/~jnz1568/getInfo.php?workbook=07_01.xlsx&amp;sheet=A0&amp;row=27&amp;col=16&amp;number=&amp;sourceID=12","")</f>
        <v/>
      </c>
      <c r="Q27" s="4" t="str">
        <f>HYPERLINK("http://141.218.60.56/~jnz1568/getInfo.php?workbook=07_01.xlsx&amp;sheet=A0&amp;row=27&amp;col=17&amp;number=0.00015849&amp;sourceID=12","0.00015849")</f>
        <v>0.00015849</v>
      </c>
      <c r="R27" s="4" t="str">
        <f>HYPERLINK("http://141.218.60.56/~jnz1568/getInfo.php?workbook=07_01.xlsx&amp;sheet=A0&amp;row=27&amp;col=18&amp;number=&amp;sourceID=12","")</f>
        <v/>
      </c>
      <c r="S27" s="4" t="str">
        <f>HYPERLINK("http://141.218.60.56/~jnz1568/getInfo.php?workbook=07_01.xlsx&amp;sheet=A0&amp;row=27&amp;col=19&amp;number=&amp;sourceID=12","")</f>
        <v/>
      </c>
      <c r="T27" s="4" t="str">
        <f>HYPERLINK("http://141.218.60.56/~jnz1568/getInfo.php?workbook=07_01.xlsx&amp;sheet=A0&amp;row=27&amp;col=20&amp;number==&amp;sourceID=30","=")</f>
        <v>=</v>
      </c>
      <c r="U27" s="4" t="str">
        <f>HYPERLINK("http://141.218.60.56/~jnz1568/getInfo.php?workbook=07_01.xlsx&amp;sheet=A0&amp;row=27&amp;col=21&amp;number=&amp;sourceID=30","")</f>
        <v/>
      </c>
      <c r="V27" s="4" t="str">
        <f>HYPERLINK("http://141.218.60.56/~jnz1568/getInfo.php?workbook=07_01.xlsx&amp;sheet=A0&amp;row=27&amp;col=22&amp;number=3.602e-10&amp;sourceID=30","3.602e-10")</f>
        <v>3.602e-10</v>
      </c>
      <c r="W27" s="4" t="str">
        <f>HYPERLINK("http://141.218.60.56/~jnz1568/getInfo.php?workbook=07_01.xlsx&amp;sheet=A0&amp;row=27&amp;col=23&amp;number=0.0001585&amp;sourceID=30","0.0001585")</f>
        <v>0.0001585</v>
      </c>
      <c r="X27" s="4" t="str">
        <f>HYPERLINK("http://141.218.60.56/~jnz1568/getInfo.php?workbook=07_01.xlsx&amp;sheet=A0&amp;row=27&amp;col=24&amp;number=&amp;sourceID=30","")</f>
        <v/>
      </c>
      <c r="Y27" s="4" t="str">
        <f>HYPERLINK("http://141.218.60.56/~jnz1568/getInfo.php?workbook=07_01.xlsx&amp;sheet=A0&amp;row=27&amp;col=25&amp;number==&amp;sourceID=13","=")</f>
        <v>=</v>
      </c>
      <c r="Z27" s="4" t="str">
        <f>HYPERLINK("http://141.218.60.56/~jnz1568/getInfo.php?workbook=07_01.xlsx&amp;sheet=A0&amp;row=27&amp;col=26&amp;number=&amp;sourceID=13","")</f>
        <v/>
      </c>
      <c r="AA27" s="4" t="str">
        <f>HYPERLINK("http://141.218.60.56/~jnz1568/getInfo.php?workbook=07_01.xlsx&amp;sheet=A0&amp;row=27&amp;col=27&amp;number=3.56e-10&amp;sourceID=13","3.56e-10")</f>
        <v>3.56e-10</v>
      </c>
      <c r="AB27" s="4" t="str">
        <f>HYPERLINK("http://141.218.60.56/~jnz1568/getInfo.php?workbook=07_01.xlsx&amp;sheet=A0&amp;row=27&amp;col=28&amp;number=&amp;sourceID=13","")</f>
        <v/>
      </c>
      <c r="AC27" s="4" t="str">
        <f>HYPERLINK("http://141.218.60.56/~jnz1568/getInfo.php?workbook=07_01.xlsx&amp;sheet=A0&amp;row=27&amp;col=29&amp;number=0.000157&amp;sourceID=13","0.000157")</f>
        <v>0.000157</v>
      </c>
      <c r="AD27" s="4" t="str">
        <f>HYPERLINK("http://141.218.60.56/~jnz1568/getInfo.php?workbook=07_01.xlsx&amp;sheet=A0&amp;row=27&amp;col=30&amp;number=&amp;sourceID=13","")</f>
        <v/>
      </c>
    </row>
    <row r="28" spans="1:30">
      <c r="A28" s="3">
        <v>7</v>
      </c>
      <c r="B28" s="3">
        <v>1</v>
      </c>
      <c r="C28" s="3">
        <v>8</v>
      </c>
      <c r="D28" s="3">
        <v>6</v>
      </c>
      <c r="E28" s="3">
        <f>((1/(INDEX(E0!J$4:J$28,C28,1)-INDEX(E0!J$4:J$28,D28,1))))*100000000</f>
        <v>0</v>
      </c>
      <c r="F28" s="4" t="str">
        <f>HYPERLINK("http://141.218.60.56/~jnz1568/getInfo.php?workbook=07_01.xlsx&amp;sheet=A0&amp;row=28&amp;col=6&amp;number==&amp;sourceID=11","=")</f>
        <v>=</v>
      </c>
      <c r="G28" s="4" t="str">
        <f>HYPERLINK("http://141.218.60.56/~jnz1568/getInfo.php?workbook=07_01.xlsx&amp;sheet=A0&amp;row=28&amp;col=7&amp;number=39.336&amp;sourceID=11","39.336")</f>
        <v>39.336</v>
      </c>
      <c r="H28" s="4" t="str">
        <f>HYPERLINK("http://141.218.60.56/~jnz1568/getInfo.php?workbook=07_01.xlsx&amp;sheet=A0&amp;row=28&amp;col=8&amp;number=&amp;sourceID=11","")</f>
        <v/>
      </c>
      <c r="I28" s="4" t="str">
        <f>HYPERLINK("http://141.218.60.56/~jnz1568/getInfo.php?workbook=07_01.xlsx&amp;sheet=A0&amp;row=28&amp;col=9&amp;number=&amp;sourceID=11","")</f>
        <v/>
      </c>
      <c r="J28" s="4" t="str">
        <f>HYPERLINK("http://141.218.60.56/~jnz1568/getInfo.php?workbook=07_01.xlsx&amp;sheet=A0&amp;row=28&amp;col=10&amp;number=&amp;sourceID=11","")</f>
        <v/>
      </c>
      <c r="K28" s="4" t="str">
        <f>HYPERLINK("http://141.218.60.56/~jnz1568/getInfo.php?workbook=07_01.xlsx&amp;sheet=A0&amp;row=28&amp;col=11&amp;number=2.9e-14&amp;sourceID=11","2.9e-14")</f>
        <v>2.9e-14</v>
      </c>
      <c r="L28" s="4" t="str">
        <f>HYPERLINK("http://141.218.60.56/~jnz1568/getInfo.php?workbook=07_01.xlsx&amp;sheet=A0&amp;row=28&amp;col=12&amp;number=&amp;sourceID=11","")</f>
        <v/>
      </c>
      <c r="M28" s="4" t="str">
        <f>HYPERLINK("http://141.218.60.56/~jnz1568/getInfo.php?workbook=07_01.xlsx&amp;sheet=A0&amp;row=28&amp;col=13&amp;number=39.338&amp;sourceID=12","39.338")</f>
        <v>39.338</v>
      </c>
      <c r="N28" s="4" t="str">
        <f>HYPERLINK("http://141.218.60.56/~jnz1568/getInfo.php?workbook=07_01.xlsx&amp;sheet=A0&amp;row=28&amp;col=14&amp;number=39.338&amp;sourceID=12","39.338")</f>
        <v>39.338</v>
      </c>
      <c r="O28" s="4" t="str">
        <f>HYPERLINK("http://141.218.60.56/~jnz1568/getInfo.php?workbook=07_01.xlsx&amp;sheet=A0&amp;row=28&amp;col=15&amp;number=&amp;sourceID=12","")</f>
        <v/>
      </c>
      <c r="P28" s="4" t="str">
        <f>HYPERLINK("http://141.218.60.56/~jnz1568/getInfo.php?workbook=07_01.xlsx&amp;sheet=A0&amp;row=28&amp;col=16&amp;number=&amp;sourceID=12","")</f>
        <v/>
      </c>
      <c r="Q28" s="4" t="str">
        <f>HYPERLINK("http://141.218.60.56/~jnz1568/getInfo.php?workbook=07_01.xlsx&amp;sheet=A0&amp;row=28&amp;col=17&amp;number=&amp;sourceID=12","")</f>
        <v/>
      </c>
      <c r="R28" s="4" t="str">
        <f>HYPERLINK("http://141.218.60.56/~jnz1568/getInfo.php?workbook=07_01.xlsx&amp;sheet=A0&amp;row=28&amp;col=18&amp;number=2.9e-14&amp;sourceID=12","2.9e-14")</f>
        <v>2.9e-14</v>
      </c>
      <c r="S28" s="4" t="str">
        <f>HYPERLINK("http://141.218.60.56/~jnz1568/getInfo.php?workbook=07_01.xlsx&amp;sheet=A0&amp;row=28&amp;col=19&amp;number=&amp;sourceID=12","")</f>
        <v/>
      </c>
      <c r="T28" s="4" t="str">
        <f>HYPERLINK("http://141.218.60.56/~jnz1568/getInfo.php?workbook=07_01.xlsx&amp;sheet=A0&amp;row=28&amp;col=20&amp;number==&amp;sourceID=30","=")</f>
        <v>=</v>
      </c>
      <c r="U28" s="4" t="str">
        <f>HYPERLINK("http://141.218.60.56/~jnz1568/getInfo.php?workbook=07_01.xlsx&amp;sheet=A0&amp;row=28&amp;col=21&amp;number=39.34&amp;sourceID=30","39.34")</f>
        <v>39.34</v>
      </c>
      <c r="V28" s="4" t="str">
        <f>HYPERLINK("http://141.218.60.56/~jnz1568/getInfo.php?workbook=07_01.xlsx&amp;sheet=A0&amp;row=28&amp;col=22&amp;number=&amp;sourceID=30","")</f>
        <v/>
      </c>
      <c r="W28" s="4" t="str">
        <f>HYPERLINK("http://141.218.60.56/~jnz1568/getInfo.php?workbook=07_01.xlsx&amp;sheet=A0&amp;row=28&amp;col=23&amp;number=&amp;sourceID=30","")</f>
        <v/>
      </c>
      <c r="X28" s="4" t="str">
        <f>HYPERLINK("http://141.218.60.56/~jnz1568/getInfo.php?workbook=07_01.xlsx&amp;sheet=A0&amp;row=28&amp;col=24&amp;number=2.9e-14&amp;sourceID=30","2.9e-14")</f>
        <v>2.9e-14</v>
      </c>
      <c r="Y28" s="4" t="str">
        <f>HYPERLINK("http://141.218.60.56/~jnz1568/getInfo.php?workbook=07_01.xlsx&amp;sheet=A0&amp;row=28&amp;col=25&amp;number==&amp;sourceID=13","=")</f>
        <v>=</v>
      </c>
      <c r="Z28" s="4" t="str">
        <f>HYPERLINK("http://141.218.60.56/~jnz1568/getInfo.php?workbook=07_01.xlsx&amp;sheet=A0&amp;row=28&amp;col=26&amp;number=38.9&amp;sourceID=13","38.9")</f>
        <v>38.9</v>
      </c>
      <c r="AA28" s="4" t="str">
        <f>HYPERLINK("http://141.218.60.56/~jnz1568/getInfo.php?workbook=07_01.xlsx&amp;sheet=A0&amp;row=28&amp;col=27&amp;number=&amp;sourceID=13","")</f>
        <v/>
      </c>
      <c r="AB28" s="4" t="str">
        <f>HYPERLINK("http://141.218.60.56/~jnz1568/getInfo.php?workbook=07_01.xlsx&amp;sheet=A0&amp;row=28&amp;col=28&amp;number=&amp;sourceID=13","")</f>
        <v/>
      </c>
      <c r="AC28" s="4" t="str">
        <f>HYPERLINK("http://141.218.60.56/~jnz1568/getInfo.php?workbook=07_01.xlsx&amp;sheet=A0&amp;row=28&amp;col=29&amp;number=&amp;sourceID=13","")</f>
        <v/>
      </c>
      <c r="AD28" s="4" t="str">
        <f>HYPERLINK("http://141.218.60.56/~jnz1568/getInfo.php?workbook=07_01.xlsx&amp;sheet=A0&amp;row=28&amp;col=30&amp;number=&amp;sourceID=13","")</f>
        <v/>
      </c>
    </row>
    <row r="29" spans="1:30">
      <c r="A29" s="3">
        <v>7</v>
      </c>
      <c r="B29" s="3">
        <v>1</v>
      </c>
      <c r="C29" s="3">
        <v>9</v>
      </c>
      <c r="D29" s="3">
        <v>1</v>
      </c>
      <c r="E29" s="3">
        <f>((1/(INDEX(E0!J$4:J$28,C29,1)-INDEX(E0!J$4:J$28,D29,1))))*100000000</f>
        <v>0</v>
      </c>
      <c r="F29" s="4" t="str">
        <f>HYPERLINK("http://141.218.60.56/~jnz1568/getInfo.php?workbook=07_01.xlsx&amp;sheet=A0&amp;row=29&amp;col=6&amp;number==&amp;sourceID=11","=")</f>
        <v>=</v>
      </c>
      <c r="G29" s="4" t="str">
        <f>HYPERLINK("http://141.218.60.56/~jnz1568/getInfo.php?workbook=07_01.xlsx&amp;sheet=A0&amp;row=29&amp;col=7&amp;number=&amp;sourceID=11","")</f>
        <v/>
      </c>
      <c r="H29" s="4" t="str">
        <f>HYPERLINK("http://141.218.60.56/~jnz1568/getInfo.php?workbook=07_01.xlsx&amp;sheet=A0&amp;row=29&amp;col=8&amp;number=69743000&amp;sourceID=11","69743000")</f>
        <v>69743000</v>
      </c>
      <c r="I29" s="4" t="str">
        <f>HYPERLINK("http://141.218.60.56/~jnz1568/getInfo.php?workbook=07_01.xlsx&amp;sheet=A0&amp;row=29&amp;col=9&amp;number=&amp;sourceID=11","")</f>
        <v/>
      </c>
      <c r="J29" s="4" t="str">
        <f>HYPERLINK("http://141.218.60.56/~jnz1568/getInfo.php?workbook=07_01.xlsx&amp;sheet=A0&amp;row=29&amp;col=10&amp;number=&amp;sourceID=11","")</f>
        <v/>
      </c>
      <c r="K29" s="4" t="str">
        <f>HYPERLINK("http://141.218.60.56/~jnz1568/getInfo.php?workbook=07_01.xlsx&amp;sheet=A0&amp;row=29&amp;col=11&amp;number=&amp;sourceID=11","")</f>
        <v/>
      </c>
      <c r="L29" s="4" t="str">
        <f>HYPERLINK("http://141.218.60.56/~jnz1568/getInfo.php?workbook=07_01.xlsx&amp;sheet=A0&amp;row=29&amp;col=12&amp;number=20.88&amp;sourceID=11","20.88")</f>
        <v>20.88</v>
      </c>
      <c r="M29" s="4" t="str">
        <f>HYPERLINK("http://141.218.60.56/~jnz1568/getInfo.php?workbook=07_01.xlsx&amp;sheet=A0&amp;row=29&amp;col=13&amp;number=69746000&amp;sourceID=12","69746000")</f>
        <v>69746000</v>
      </c>
      <c r="N29" s="4" t="str">
        <f>HYPERLINK("http://141.218.60.56/~jnz1568/getInfo.php?workbook=07_01.xlsx&amp;sheet=A0&amp;row=29&amp;col=14&amp;number=&amp;sourceID=12","")</f>
        <v/>
      </c>
      <c r="O29" s="4" t="str">
        <f>HYPERLINK("http://141.218.60.56/~jnz1568/getInfo.php?workbook=07_01.xlsx&amp;sheet=A0&amp;row=29&amp;col=15&amp;number=69746000&amp;sourceID=12","69746000")</f>
        <v>69746000</v>
      </c>
      <c r="P29" s="4" t="str">
        <f>HYPERLINK("http://141.218.60.56/~jnz1568/getInfo.php?workbook=07_01.xlsx&amp;sheet=A0&amp;row=29&amp;col=16&amp;number=&amp;sourceID=12","")</f>
        <v/>
      </c>
      <c r="Q29" s="4" t="str">
        <f>HYPERLINK("http://141.218.60.56/~jnz1568/getInfo.php?workbook=07_01.xlsx&amp;sheet=A0&amp;row=29&amp;col=17&amp;number=&amp;sourceID=12","")</f>
        <v/>
      </c>
      <c r="R29" s="4" t="str">
        <f>HYPERLINK("http://141.218.60.56/~jnz1568/getInfo.php?workbook=07_01.xlsx&amp;sheet=A0&amp;row=29&amp;col=18&amp;number=&amp;sourceID=12","")</f>
        <v/>
      </c>
      <c r="S29" s="4" t="str">
        <f>HYPERLINK("http://141.218.60.56/~jnz1568/getInfo.php?workbook=07_01.xlsx&amp;sheet=A0&amp;row=29&amp;col=19&amp;number=20.881&amp;sourceID=12","20.881")</f>
        <v>20.881</v>
      </c>
      <c r="T29" s="4" t="str">
        <f>HYPERLINK("http://141.218.60.56/~jnz1568/getInfo.php?workbook=07_01.xlsx&amp;sheet=A0&amp;row=29&amp;col=20&amp;number==&amp;sourceID=30","=")</f>
        <v>=</v>
      </c>
      <c r="U29" s="4" t="str">
        <f>HYPERLINK("http://141.218.60.56/~jnz1568/getInfo.php?workbook=07_01.xlsx&amp;sheet=A0&amp;row=29&amp;col=21&amp;number=&amp;sourceID=30","")</f>
        <v/>
      </c>
      <c r="V29" s="4" t="str">
        <f>HYPERLINK("http://141.218.60.56/~jnz1568/getInfo.php?workbook=07_01.xlsx&amp;sheet=A0&amp;row=29&amp;col=22&amp;number=69750000&amp;sourceID=30","69750000")</f>
        <v>69750000</v>
      </c>
      <c r="W29" s="4" t="str">
        <f>HYPERLINK("http://141.218.60.56/~jnz1568/getInfo.php?workbook=07_01.xlsx&amp;sheet=A0&amp;row=29&amp;col=23&amp;number=&amp;sourceID=30","")</f>
        <v/>
      </c>
      <c r="X29" s="4" t="str">
        <f>HYPERLINK("http://141.218.60.56/~jnz1568/getInfo.php?workbook=07_01.xlsx&amp;sheet=A0&amp;row=29&amp;col=24&amp;number=&amp;sourceID=30","")</f>
        <v/>
      </c>
      <c r="Y29" s="4" t="str">
        <f>HYPERLINK("http://141.218.60.56/~jnz1568/getInfo.php?workbook=07_01.xlsx&amp;sheet=A0&amp;row=29&amp;col=25&amp;number==&amp;sourceID=13","=")</f>
        <v>=</v>
      </c>
      <c r="Z29" s="4" t="str">
        <f>HYPERLINK("http://141.218.60.56/~jnz1568/getInfo.php?workbook=07_01.xlsx&amp;sheet=A0&amp;row=29&amp;col=26&amp;number=&amp;sourceID=13","")</f>
        <v/>
      </c>
      <c r="AA29" s="4" t="str">
        <f>HYPERLINK("http://141.218.60.56/~jnz1568/getInfo.php?workbook=07_01.xlsx&amp;sheet=A0&amp;row=29&amp;col=27&amp;number=70300000&amp;sourceID=13","70300000")</f>
        <v>70300000</v>
      </c>
      <c r="AB29" s="4" t="str">
        <f>HYPERLINK("http://141.218.60.56/~jnz1568/getInfo.php?workbook=07_01.xlsx&amp;sheet=A0&amp;row=29&amp;col=28&amp;number=&amp;sourceID=13","")</f>
        <v/>
      </c>
      <c r="AC29" s="4" t="str">
        <f>HYPERLINK("http://141.218.60.56/~jnz1568/getInfo.php?workbook=07_01.xlsx&amp;sheet=A0&amp;row=29&amp;col=29&amp;number=&amp;sourceID=13","")</f>
        <v/>
      </c>
      <c r="AD29" s="4" t="str">
        <f>HYPERLINK("http://141.218.60.56/~jnz1568/getInfo.php?workbook=07_01.xlsx&amp;sheet=A0&amp;row=29&amp;col=30&amp;number=&amp;sourceID=13","")</f>
        <v/>
      </c>
    </row>
    <row r="30" spans="1:30">
      <c r="A30" s="3">
        <v>7</v>
      </c>
      <c r="B30" s="3">
        <v>1</v>
      </c>
      <c r="C30" s="3">
        <v>9</v>
      </c>
      <c r="D30" s="3">
        <v>2</v>
      </c>
      <c r="E30" s="3">
        <f>((1/(INDEX(E0!J$4:J$28,C30,1)-INDEX(E0!J$4:J$28,D30,1))))*100000000</f>
        <v>0</v>
      </c>
      <c r="F30" s="4" t="str">
        <f>HYPERLINK("http://141.218.60.56/~jnz1568/getInfo.php?workbook=07_01.xlsx&amp;sheet=A0&amp;row=30&amp;col=6&amp;number==&amp;sourceID=11","=")</f>
        <v>=</v>
      </c>
      <c r="G30" s="4" t="str">
        <f>HYPERLINK("http://141.218.60.56/~jnz1568/getInfo.php?workbook=07_01.xlsx&amp;sheet=A0&amp;row=30&amp;col=7&amp;number=&amp;sourceID=11","")</f>
        <v/>
      </c>
      <c r="H30" s="4" t="str">
        <f>HYPERLINK("http://141.218.60.56/~jnz1568/getInfo.php?workbook=07_01.xlsx&amp;sheet=A0&amp;row=30&amp;col=8&amp;number=&amp;sourceID=11","")</f>
        <v/>
      </c>
      <c r="I30" s="4" t="str">
        <f>HYPERLINK("http://141.218.60.56/~jnz1568/getInfo.php?workbook=07_01.xlsx&amp;sheet=A0&amp;row=30&amp;col=9&amp;number=72.87&amp;sourceID=11","72.87")</f>
        <v>72.87</v>
      </c>
      <c r="J30" s="4" t="str">
        <f>HYPERLINK("http://141.218.60.56/~jnz1568/getInfo.php?workbook=07_01.xlsx&amp;sheet=A0&amp;row=30&amp;col=10&amp;number=&amp;sourceID=11","")</f>
        <v/>
      </c>
      <c r="K30" s="4" t="str">
        <f>HYPERLINK("http://141.218.60.56/~jnz1568/getInfo.php?workbook=07_01.xlsx&amp;sheet=A0&amp;row=30&amp;col=11&amp;number=227.49&amp;sourceID=11","227.49")</f>
        <v>227.49</v>
      </c>
      <c r="L30" s="4" t="str">
        <f>HYPERLINK("http://141.218.60.56/~jnz1568/getInfo.php?workbook=07_01.xlsx&amp;sheet=A0&amp;row=30&amp;col=12&amp;number=&amp;sourceID=11","")</f>
        <v/>
      </c>
      <c r="M30" s="4" t="str">
        <f>HYPERLINK("http://141.218.60.56/~jnz1568/getInfo.php?workbook=07_01.xlsx&amp;sheet=A0&amp;row=30&amp;col=13&amp;number=300.37&amp;sourceID=12","300.37")</f>
        <v>300.37</v>
      </c>
      <c r="N30" s="4" t="str">
        <f>HYPERLINK("http://141.218.60.56/~jnz1568/getInfo.php?workbook=07_01.xlsx&amp;sheet=A0&amp;row=30&amp;col=14&amp;number=&amp;sourceID=12","")</f>
        <v/>
      </c>
      <c r="O30" s="4" t="str">
        <f>HYPERLINK("http://141.218.60.56/~jnz1568/getInfo.php?workbook=07_01.xlsx&amp;sheet=A0&amp;row=30&amp;col=15&amp;number=&amp;sourceID=12","")</f>
        <v/>
      </c>
      <c r="P30" s="4" t="str">
        <f>HYPERLINK("http://141.218.60.56/~jnz1568/getInfo.php?workbook=07_01.xlsx&amp;sheet=A0&amp;row=30&amp;col=16&amp;number=72.873&amp;sourceID=12","72.873")</f>
        <v>72.873</v>
      </c>
      <c r="Q30" s="4" t="str">
        <f>HYPERLINK("http://141.218.60.56/~jnz1568/getInfo.php?workbook=07_01.xlsx&amp;sheet=A0&amp;row=30&amp;col=17&amp;number=&amp;sourceID=12","")</f>
        <v/>
      </c>
      <c r="R30" s="4" t="str">
        <f>HYPERLINK("http://141.218.60.56/~jnz1568/getInfo.php?workbook=07_01.xlsx&amp;sheet=A0&amp;row=30&amp;col=18&amp;number=227.5&amp;sourceID=12","227.5")</f>
        <v>227.5</v>
      </c>
      <c r="S30" s="4" t="str">
        <f>HYPERLINK("http://141.218.60.56/~jnz1568/getInfo.php?workbook=07_01.xlsx&amp;sheet=A0&amp;row=30&amp;col=19&amp;number=&amp;sourceID=12","")</f>
        <v/>
      </c>
      <c r="T30" s="4" t="str">
        <f>HYPERLINK("http://141.218.60.56/~jnz1568/getInfo.php?workbook=07_01.xlsx&amp;sheet=A0&amp;row=30&amp;col=20&amp;number==&amp;sourceID=30","=")</f>
        <v>=</v>
      </c>
      <c r="U30" s="4" t="str">
        <f>HYPERLINK("http://141.218.60.56/~jnz1568/getInfo.php?workbook=07_01.xlsx&amp;sheet=A0&amp;row=30&amp;col=21&amp;number=&amp;sourceID=30","")</f>
        <v/>
      </c>
      <c r="V30" s="4" t="str">
        <f>HYPERLINK("http://141.218.60.56/~jnz1568/getInfo.php?workbook=07_01.xlsx&amp;sheet=A0&amp;row=30&amp;col=22&amp;number=&amp;sourceID=30","")</f>
        <v/>
      </c>
      <c r="W30" s="4" t="str">
        <f>HYPERLINK("http://141.218.60.56/~jnz1568/getInfo.php?workbook=07_01.xlsx&amp;sheet=A0&amp;row=30&amp;col=23&amp;number=&amp;sourceID=30","")</f>
        <v/>
      </c>
      <c r="X30" s="4" t="str">
        <f>HYPERLINK("http://141.218.60.56/~jnz1568/getInfo.php?workbook=07_01.xlsx&amp;sheet=A0&amp;row=30&amp;col=24&amp;number=227.5&amp;sourceID=30","227.5")</f>
        <v>227.5</v>
      </c>
      <c r="Y30" s="4" t="str">
        <f>HYPERLINK("http://141.218.60.56/~jnz1568/getInfo.php?workbook=07_01.xlsx&amp;sheet=A0&amp;row=30&amp;col=25&amp;number==&amp;sourceID=13","=")</f>
        <v>=</v>
      </c>
      <c r="Z30" s="4" t="str">
        <f>HYPERLINK("http://141.218.60.56/~jnz1568/getInfo.php?workbook=07_01.xlsx&amp;sheet=A0&amp;row=30&amp;col=26&amp;number=&amp;sourceID=13","")</f>
        <v/>
      </c>
      <c r="AA30" s="4" t="str">
        <f>HYPERLINK("http://141.218.60.56/~jnz1568/getInfo.php?workbook=07_01.xlsx&amp;sheet=A0&amp;row=30&amp;col=27&amp;number=&amp;sourceID=13","")</f>
        <v/>
      </c>
      <c r="AB30" s="4" t="str">
        <f>HYPERLINK("http://141.218.60.56/~jnz1568/getInfo.php?workbook=07_01.xlsx&amp;sheet=A0&amp;row=30&amp;col=28&amp;number=113&amp;sourceID=13","113")</f>
        <v>113</v>
      </c>
      <c r="AC30" s="4" t="str">
        <f>HYPERLINK("http://141.218.60.56/~jnz1568/getInfo.php?workbook=07_01.xlsx&amp;sheet=A0&amp;row=30&amp;col=29&amp;number=&amp;sourceID=13","")</f>
        <v/>
      </c>
      <c r="AD30" s="4" t="str">
        <f>HYPERLINK("http://141.218.60.56/~jnz1568/getInfo.php?workbook=07_01.xlsx&amp;sheet=A0&amp;row=30&amp;col=30&amp;number=910&amp;sourceID=13","910")</f>
        <v>910</v>
      </c>
    </row>
    <row r="31" spans="1:30">
      <c r="A31" s="3">
        <v>7</v>
      </c>
      <c r="B31" s="3">
        <v>1</v>
      </c>
      <c r="C31" s="3">
        <v>9</v>
      </c>
      <c r="D31" s="3">
        <v>3</v>
      </c>
      <c r="E31" s="3">
        <f>((1/(INDEX(E0!J$4:J$28,C31,1)-INDEX(E0!J$4:J$28,D31,1))))*100000000</f>
        <v>0</v>
      </c>
      <c r="F31" s="4" t="str">
        <f>HYPERLINK("http://141.218.60.56/~jnz1568/getInfo.php?workbook=07_01.xlsx&amp;sheet=A0&amp;row=31&amp;col=6&amp;number==&amp;sourceID=11","=")</f>
        <v>=</v>
      </c>
      <c r="G31" s="4" t="str">
        <f>HYPERLINK("http://141.218.60.56/~jnz1568/getInfo.php?workbook=07_01.xlsx&amp;sheet=A0&amp;row=31&amp;col=7&amp;number=&amp;sourceID=11","")</f>
        <v/>
      </c>
      <c r="H31" s="4" t="str">
        <f>HYPERLINK("http://141.218.60.56/~jnz1568/getInfo.php?workbook=07_01.xlsx&amp;sheet=A0&amp;row=31&amp;col=8&amp;number=6024100&amp;sourceID=11","6024100")</f>
        <v>6024100</v>
      </c>
      <c r="I31" s="4" t="str">
        <f>HYPERLINK("http://141.218.60.56/~jnz1568/getInfo.php?workbook=07_01.xlsx&amp;sheet=A0&amp;row=31&amp;col=9&amp;number=&amp;sourceID=11","")</f>
        <v/>
      </c>
      <c r="J31" s="4" t="str">
        <f>HYPERLINK("http://141.218.60.56/~jnz1568/getInfo.php?workbook=07_01.xlsx&amp;sheet=A0&amp;row=31&amp;col=10&amp;number=&amp;sourceID=11","")</f>
        <v/>
      </c>
      <c r="K31" s="4" t="str">
        <f>HYPERLINK("http://141.218.60.56/~jnz1568/getInfo.php?workbook=07_01.xlsx&amp;sheet=A0&amp;row=31&amp;col=11&amp;number=&amp;sourceID=11","")</f>
        <v/>
      </c>
      <c r="L31" s="4" t="str">
        <f>HYPERLINK("http://141.218.60.56/~jnz1568/getInfo.php?workbook=07_01.xlsx&amp;sheet=A0&amp;row=31&amp;col=12&amp;number=0.044077&amp;sourceID=11","0.044077")</f>
        <v>0.044077</v>
      </c>
      <c r="M31" s="4" t="str">
        <f>HYPERLINK("http://141.218.60.56/~jnz1568/getInfo.php?workbook=07_01.xlsx&amp;sheet=A0&amp;row=31&amp;col=13&amp;number=6024300&amp;sourceID=12","6024300")</f>
        <v>6024300</v>
      </c>
      <c r="N31" s="4" t="str">
        <f>HYPERLINK("http://141.218.60.56/~jnz1568/getInfo.php?workbook=07_01.xlsx&amp;sheet=A0&amp;row=31&amp;col=14&amp;number=&amp;sourceID=12","")</f>
        <v/>
      </c>
      <c r="O31" s="4" t="str">
        <f>HYPERLINK("http://141.218.60.56/~jnz1568/getInfo.php?workbook=07_01.xlsx&amp;sheet=A0&amp;row=31&amp;col=15&amp;number=6024300&amp;sourceID=12","6024300")</f>
        <v>6024300</v>
      </c>
      <c r="P31" s="4" t="str">
        <f>HYPERLINK("http://141.218.60.56/~jnz1568/getInfo.php?workbook=07_01.xlsx&amp;sheet=A0&amp;row=31&amp;col=16&amp;number=&amp;sourceID=12","")</f>
        <v/>
      </c>
      <c r="Q31" s="4" t="str">
        <f>HYPERLINK("http://141.218.60.56/~jnz1568/getInfo.php?workbook=07_01.xlsx&amp;sheet=A0&amp;row=31&amp;col=17&amp;number=&amp;sourceID=12","")</f>
        <v/>
      </c>
      <c r="R31" s="4" t="str">
        <f>HYPERLINK("http://141.218.60.56/~jnz1568/getInfo.php?workbook=07_01.xlsx&amp;sheet=A0&amp;row=31&amp;col=18&amp;number=&amp;sourceID=12","")</f>
        <v/>
      </c>
      <c r="S31" s="4" t="str">
        <f>HYPERLINK("http://141.218.60.56/~jnz1568/getInfo.php?workbook=07_01.xlsx&amp;sheet=A0&amp;row=31&amp;col=19&amp;number=0.044079&amp;sourceID=12","0.044079")</f>
        <v>0.044079</v>
      </c>
      <c r="T31" s="4" t="str">
        <f>HYPERLINK("http://141.218.60.56/~jnz1568/getInfo.php?workbook=07_01.xlsx&amp;sheet=A0&amp;row=31&amp;col=20&amp;number==&amp;sourceID=30","=")</f>
        <v>=</v>
      </c>
      <c r="U31" s="4" t="str">
        <f>HYPERLINK("http://141.218.60.56/~jnz1568/getInfo.php?workbook=07_01.xlsx&amp;sheet=A0&amp;row=31&amp;col=21&amp;number=&amp;sourceID=30","")</f>
        <v/>
      </c>
      <c r="V31" s="4" t="str">
        <f>HYPERLINK("http://141.218.60.56/~jnz1568/getInfo.php?workbook=07_01.xlsx&amp;sheet=A0&amp;row=31&amp;col=22&amp;number=6024000&amp;sourceID=30","6024000")</f>
        <v>6024000</v>
      </c>
      <c r="W31" s="4" t="str">
        <f>HYPERLINK("http://141.218.60.56/~jnz1568/getInfo.php?workbook=07_01.xlsx&amp;sheet=A0&amp;row=31&amp;col=23&amp;number=&amp;sourceID=30","")</f>
        <v/>
      </c>
      <c r="X31" s="4" t="str">
        <f>HYPERLINK("http://141.218.60.56/~jnz1568/getInfo.php?workbook=07_01.xlsx&amp;sheet=A0&amp;row=31&amp;col=24&amp;number=&amp;sourceID=30","")</f>
        <v/>
      </c>
      <c r="Y31" s="4" t="str">
        <f>HYPERLINK("http://141.218.60.56/~jnz1568/getInfo.php?workbook=07_01.xlsx&amp;sheet=A0&amp;row=31&amp;col=25&amp;number==&amp;sourceID=13","=")</f>
        <v>=</v>
      </c>
      <c r="Z31" s="4" t="str">
        <f>HYPERLINK("http://141.218.60.56/~jnz1568/getInfo.php?workbook=07_01.xlsx&amp;sheet=A0&amp;row=31&amp;col=26&amp;number=&amp;sourceID=13","")</f>
        <v/>
      </c>
      <c r="AA31" s="4" t="str">
        <f>HYPERLINK("http://141.218.60.56/~jnz1568/getInfo.php?workbook=07_01.xlsx&amp;sheet=A0&amp;row=31&amp;col=27&amp;number=6020000&amp;sourceID=13","6020000")</f>
        <v>6020000</v>
      </c>
      <c r="AB31" s="4" t="str">
        <f>HYPERLINK("http://141.218.60.56/~jnz1568/getInfo.php?workbook=07_01.xlsx&amp;sheet=A0&amp;row=31&amp;col=28&amp;number=&amp;sourceID=13","")</f>
        <v/>
      </c>
      <c r="AC31" s="4" t="str">
        <f>HYPERLINK("http://141.218.60.56/~jnz1568/getInfo.php?workbook=07_01.xlsx&amp;sheet=A0&amp;row=31&amp;col=29&amp;number=&amp;sourceID=13","")</f>
        <v/>
      </c>
      <c r="AD31" s="4" t="str">
        <f>HYPERLINK("http://141.218.60.56/~jnz1568/getInfo.php?workbook=07_01.xlsx&amp;sheet=A0&amp;row=31&amp;col=30&amp;number=&amp;sourceID=13","")</f>
        <v/>
      </c>
    </row>
    <row r="32" spans="1:30">
      <c r="A32" s="3">
        <v>7</v>
      </c>
      <c r="B32" s="3">
        <v>1</v>
      </c>
      <c r="C32" s="3">
        <v>9</v>
      </c>
      <c r="D32" s="3">
        <v>4</v>
      </c>
      <c r="E32" s="3">
        <f>((1/(INDEX(E0!J$4:J$28,C32,1)-INDEX(E0!J$4:J$28,D32,1))))*100000000</f>
        <v>0</v>
      </c>
      <c r="F32" s="4" t="str">
        <f>HYPERLINK("http://141.218.60.56/~jnz1568/getInfo.php?workbook=07_01.xlsx&amp;sheet=A0&amp;row=32&amp;col=6&amp;number==&amp;sourceID=11","=")</f>
        <v>=</v>
      </c>
      <c r="G32" s="4" t="str">
        <f>HYPERLINK("http://141.218.60.56/~jnz1568/getInfo.php?workbook=07_01.xlsx&amp;sheet=A0&amp;row=32&amp;col=7&amp;number=155290000000&amp;sourceID=11","155290000000")</f>
        <v>155290000000</v>
      </c>
      <c r="H32" s="4" t="str">
        <f>HYPERLINK("http://141.218.60.56/~jnz1568/getInfo.php?workbook=07_01.xlsx&amp;sheet=A0&amp;row=32&amp;col=8&amp;number=&amp;sourceID=11","")</f>
        <v/>
      </c>
      <c r="I32" s="4" t="str">
        <f>HYPERLINK("http://141.218.60.56/~jnz1568/getInfo.php?workbook=07_01.xlsx&amp;sheet=A0&amp;row=32&amp;col=9&amp;number=58.039&amp;sourceID=11","58.039")</f>
        <v>58.039</v>
      </c>
      <c r="J32" s="4" t="str">
        <f>HYPERLINK("http://141.218.60.56/~jnz1568/getInfo.php?workbook=07_01.xlsx&amp;sheet=A0&amp;row=32&amp;col=10&amp;number=&amp;sourceID=11","")</f>
        <v/>
      </c>
      <c r="K32" s="4" t="str">
        <f>HYPERLINK("http://141.218.60.56/~jnz1568/getInfo.php?workbook=07_01.xlsx&amp;sheet=A0&amp;row=32&amp;col=11&amp;number=1239.6&amp;sourceID=11","1239.6")</f>
        <v>1239.6</v>
      </c>
      <c r="L32" s="4" t="str">
        <f>HYPERLINK("http://141.218.60.56/~jnz1568/getInfo.php?workbook=07_01.xlsx&amp;sheet=A0&amp;row=32&amp;col=12&amp;number=&amp;sourceID=11","")</f>
        <v/>
      </c>
      <c r="M32" s="4" t="str">
        <f>HYPERLINK("http://141.218.60.56/~jnz1568/getInfo.php?workbook=07_01.xlsx&amp;sheet=A0&amp;row=32&amp;col=13&amp;number=155290000000&amp;sourceID=12","155290000000")</f>
        <v>155290000000</v>
      </c>
      <c r="N32" s="4" t="str">
        <f>HYPERLINK("http://141.218.60.56/~jnz1568/getInfo.php?workbook=07_01.xlsx&amp;sheet=A0&amp;row=32&amp;col=14&amp;number=155290000000&amp;sourceID=12","155290000000")</f>
        <v>155290000000</v>
      </c>
      <c r="O32" s="4" t="str">
        <f>HYPERLINK("http://141.218.60.56/~jnz1568/getInfo.php?workbook=07_01.xlsx&amp;sheet=A0&amp;row=32&amp;col=15&amp;number=&amp;sourceID=12","")</f>
        <v/>
      </c>
      <c r="P32" s="4" t="str">
        <f>HYPERLINK("http://141.218.60.56/~jnz1568/getInfo.php?workbook=07_01.xlsx&amp;sheet=A0&amp;row=32&amp;col=16&amp;number=58.041&amp;sourceID=12","58.041")</f>
        <v>58.041</v>
      </c>
      <c r="Q32" s="4" t="str">
        <f>HYPERLINK("http://141.218.60.56/~jnz1568/getInfo.php?workbook=07_01.xlsx&amp;sheet=A0&amp;row=32&amp;col=17&amp;number=&amp;sourceID=12","")</f>
        <v/>
      </c>
      <c r="R32" s="4" t="str">
        <f>HYPERLINK("http://141.218.60.56/~jnz1568/getInfo.php?workbook=07_01.xlsx&amp;sheet=A0&amp;row=32&amp;col=18&amp;number=1239.7&amp;sourceID=12","1239.7")</f>
        <v>1239.7</v>
      </c>
      <c r="S32" s="4" t="str">
        <f>HYPERLINK("http://141.218.60.56/~jnz1568/getInfo.php?workbook=07_01.xlsx&amp;sheet=A0&amp;row=32&amp;col=19&amp;number=&amp;sourceID=12","")</f>
        <v/>
      </c>
      <c r="T32" s="4" t="str">
        <f>HYPERLINK("http://141.218.60.56/~jnz1568/getInfo.php?workbook=07_01.xlsx&amp;sheet=A0&amp;row=32&amp;col=20&amp;number==&amp;sourceID=30","=")</f>
        <v>=</v>
      </c>
      <c r="U32" s="4" t="str">
        <f>HYPERLINK("http://141.218.60.56/~jnz1568/getInfo.php?workbook=07_01.xlsx&amp;sheet=A0&amp;row=32&amp;col=21&amp;number=155300000000&amp;sourceID=30","155300000000")</f>
        <v>155300000000</v>
      </c>
      <c r="V32" s="4" t="str">
        <f>HYPERLINK("http://141.218.60.56/~jnz1568/getInfo.php?workbook=07_01.xlsx&amp;sheet=A0&amp;row=32&amp;col=22&amp;number=&amp;sourceID=30","")</f>
        <v/>
      </c>
      <c r="W32" s="4" t="str">
        <f>HYPERLINK("http://141.218.60.56/~jnz1568/getInfo.php?workbook=07_01.xlsx&amp;sheet=A0&amp;row=32&amp;col=23&amp;number=&amp;sourceID=30","")</f>
        <v/>
      </c>
      <c r="X32" s="4" t="str">
        <f>HYPERLINK("http://141.218.60.56/~jnz1568/getInfo.php?workbook=07_01.xlsx&amp;sheet=A0&amp;row=32&amp;col=24&amp;number=1240&amp;sourceID=30","1240")</f>
        <v>1240</v>
      </c>
      <c r="Y32" s="4" t="str">
        <f>HYPERLINK("http://141.218.60.56/~jnz1568/getInfo.php?workbook=07_01.xlsx&amp;sheet=A0&amp;row=32&amp;col=25&amp;number==&amp;sourceID=13","=")</f>
        <v>=</v>
      </c>
      <c r="Z32" s="4" t="str">
        <f>HYPERLINK("http://141.218.60.56/~jnz1568/getInfo.php?workbook=07_01.xlsx&amp;sheet=A0&amp;row=32&amp;col=26&amp;number=155000000000&amp;sourceID=13","155000000000")</f>
        <v>155000000000</v>
      </c>
      <c r="AA32" s="4" t="str">
        <f>HYPERLINK("http://141.218.60.56/~jnz1568/getInfo.php?workbook=07_01.xlsx&amp;sheet=A0&amp;row=32&amp;col=27&amp;number=&amp;sourceID=13","")</f>
        <v/>
      </c>
      <c r="AB32" s="4" t="str">
        <f>HYPERLINK("http://141.218.60.56/~jnz1568/getInfo.php?workbook=07_01.xlsx&amp;sheet=A0&amp;row=32&amp;col=28&amp;number=&amp;sourceID=13","")</f>
        <v/>
      </c>
      <c r="AC32" s="4" t="str">
        <f>HYPERLINK("http://141.218.60.56/~jnz1568/getInfo.php?workbook=07_01.xlsx&amp;sheet=A0&amp;row=32&amp;col=29&amp;number=&amp;sourceID=13","")</f>
        <v/>
      </c>
      <c r="AD32" s="4" t="str">
        <f>HYPERLINK("http://141.218.60.56/~jnz1568/getInfo.php?workbook=07_01.xlsx&amp;sheet=A0&amp;row=32&amp;col=30&amp;number=&amp;sourceID=13","")</f>
        <v/>
      </c>
    </row>
    <row r="33" spans="1:30">
      <c r="A33" s="3">
        <v>7</v>
      </c>
      <c r="B33" s="3">
        <v>1</v>
      </c>
      <c r="C33" s="3">
        <v>9</v>
      </c>
      <c r="D33" s="3">
        <v>5</v>
      </c>
      <c r="E33" s="3">
        <f>((1/(INDEX(E0!J$4:J$28,C33,1)-INDEX(E0!J$4:J$28,D33,1))))*100000000</f>
        <v>0</v>
      </c>
      <c r="F33" s="4" t="str">
        <f>HYPERLINK("http://141.218.60.56/~jnz1568/getInfo.php?workbook=07_01.xlsx&amp;sheet=A0&amp;row=33&amp;col=6&amp;number==&amp;sourceID=11","=")</f>
        <v>=</v>
      </c>
      <c r="G33" s="4" t="str">
        <f>HYPERLINK("http://141.218.60.56/~jnz1568/getInfo.php?workbook=07_01.xlsx&amp;sheet=A0&amp;row=33&amp;col=7&amp;number=&amp;sourceID=11","")</f>
        <v/>
      </c>
      <c r="H33" s="4" t="str">
        <f>HYPERLINK("http://141.218.60.56/~jnz1568/getInfo.php?workbook=07_01.xlsx&amp;sheet=A0&amp;row=33&amp;col=8&amp;number=&amp;sourceID=11","")</f>
        <v/>
      </c>
      <c r="I33" s="4" t="str">
        <f>HYPERLINK("http://141.218.60.56/~jnz1568/getInfo.php?workbook=07_01.xlsx&amp;sheet=A0&amp;row=33&amp;col=9&amp;number=0&amp;sourceID=11","0")</f>
        <v>0</v>
      </c>
      <c r="J33" s="4" t="str">
        <f>HYPERLINK("http://141.218.60.56/~jnz1568/getInfo.php?workbook=07_01.xlsx&amp;sheet=A0&amp;row=33&amp;col=10&amp;number=&amp;sourceID=11","")</f>
        <v/>
      </c>
      <c r="K33" s="4" t="str">
        <f>HYPERLINK("http://141.218.60.56/~jnz1568/getInfo.php?workbook=07_01.xlsx&amp;sheet=A0&amp;row=33&amp;col=11&amp;number=2.2e-14&amp;sourceID=11","2.2e-14")</f>
        <v>2.2e-14</v>
      </c>
      <c r="L33" s="4" t="str">
        <f>HYPERLINK("http://141.218.60.56/~jnz1568/getInfo.php?workbook=07_01.xlsx&amp;sheet=A0&amp;row=33&amp;col=12&amp;number=&amp;sourceID=11","")</f>
        <v/>
      </c>
      <c r="M33" s="4" t="str">
        <f>HYPERLINK("http://141.218.60.56/~jnz1568/getInfo.php?workbook=07_01.xlsx&amp;sheet=A0&amp;row=33&amp;col=13&amp;number=2.2e-14&amp;sourceID=12","2.2e-14")</f>
        <v>2.2e-14</v>
      </c>
      <c r="N33" s="4" t="str">
        <f>HYPERLINK("http://141.218.60.56/~jnz1568/getInfo.php?workbook=07_01.xlsx&amp;sheet=A0&amp;row=33&amp;col=14&amp;number=&amp;sourceID=12","")</f>
        <v/>
      </c>
      <c r="O33" s="4" t="str">
        <f>HYPERLINK("http://141.218.60.56/~jnz1568/getInfo.php?workbook=07_01.xlsx&amp;sheet=A0&amp;row=33&amp;col=15&amp;number=&amp;sourceID=12","")</f>
        <v/>
      </c>
      <c r="P33" s="4" t="str">
        <f>HYPERLINK("http://141.218.60.56/~jnz1568/getInfo.php?workbook=07_01.xlsx&amp;sheet=A0&amp;row=33&amp;col=16&amp;number=0&amp;sourceID=12","0")</f>
        <v>0</v>
      </c>
      <c r="Q33" s="4" t="str">
        <f>HYPERLINK("http://141.218.60.56/~jnz1568/getInfo.php?workbook=07_01.xlsx&amp;sheet=A0&amp;row=33&amp;col=17&amp;number=&amp;sourceID=12","")</f>
        <v/>
      </c>
      <c r="R33" s="4" t="str">
        <f>HYPERLINK("http://141.218.60.56/~jnz1568/getInfo.php?workbook=07_01.xlsx&amp;sheet=A0&amp;row=33&amp;col=18&amp;number=2.2e-14&amp;sourceID=12","2.2e-14")</f>
        <v>2.2e-14</v>
      </c>
      <c r="S33" s="4" t="str">
        <f>HYPERLINK("http://141.218.60.56/~jnz1568/getInfo.php?workbook=07_01.xlsx&amp;sheet=A0&amp;row=33&amp;col=19&amp;number=&amp;sourceID=12","")</f>
        <v/>
      </c>
      <c r="T33" s="4" t="str">
        <f>HYPERLINK("http://141.218.60.56/~jnz1568/getInfo.php?workbook=07_01.xlsx&amp;sheet=A0&amp;row=33&amp;col=20&amp;number==&amp;sourceID=30","=")</f>
        <v>=</v>
      </c>
      <c r="U33" s="4" t="str">
        <f>HYPERLINK("http://141.218.60.56/~jnz1568/getInfo.php?workbook=07_01.xlsx&amp;sheet=A0&amp;row=33&amp;col=21&amp;number=&amp;sourceID=30","")</f>
        <v/>
      </c>
      <c r="V33" s="4" t="str">
        <f>HYPERLINK("http://141.218.60.56/~jnz1568/getInfo.php?workbook=07_01.xlsx&amp;sheet=A0&amp;row=33&amp;col=22&amp;number=&amp;sourceID=30","")</f>
        <v/>
      </c>
      <c r="W33" s="4" t="str">
        <f>HYPERLINK("http://141.218.60.56/~jnz1568/getInfo.php?workbook=07_01.xlsx&amp;sheet=A0&amp;row=33&amp;col=23&amp;number=&amp;sourceID=30","")</f>
        <v/>
      </c>
      <c r="X33" s="4" t="str">
        <f>HYPERLINK("http://141.218.60.56/~jnz1568/getInfo.php?workbook=07_01.xlsx&amp;sheet=A0&amp;row=33&amp;col=24&amp;number=2.2e-14&amp;sourceID=30","2.2e-14")</f>
        <v>2.2e-14</v>
      </c>
      <c r="Y33" s="4" t="str">
        <f>HYPERLINK("http://141.218.60.56/~jnz1568/getInfo.php?workbook=07_01.xlsx&amp;sheet=A0&amp;row=33&amp;col=25&amp;number=&amp;sourceID=13","")</f>
        <v/>
      </c>
      <c r="Z33" s="4" t="str">
        <f>HYPERLINK("http://141.218.60.56/~jnz1568/getInfo.php?workbook=07_01.xlsx&amp;sheet=A0&amp;row=33&amp;col=26&amp;number=&amp;sourceID=13","")</f>
        <v/>
      </c>
      <c r="AA33" s="4" t="str">
        <f>HYPERLINK("http://141.218.60.56/~jnz1568/getInfo.php?workbook=07_01.xlsx&amp;sheet=A0&amp;row=33&amp;col=27&amp;number=&amp;sourceID=13","")</f>
        <v/>
      </c>
      <c r="AB33" s="4" t="str">
        <f>HYPERLINK("http://141.218.60.56/~jnz1568/getInfo.php?workbook=07_01.xlsx&amp;sheet=A0&amp;row=33&amp;col=28&amp;number=&amp;sourceID=13","")</f>
        <v/>
      </c>
      <c r="AC33" s="4" t="str">
        <f>HYPERLINK("http://141.218.60.56/~jnz1568/getInfo.php?workbook=07_01.xlsx&amp;sheet=A0&amp;row=33&amp;col=29&amp;number=&amp;sourceID=13","")</f>
        <v/>
      </c>
      <c r="AD33" s="4" t="str">
        <f>HYPERLINK("http://141.218.60.56/~jnz1568/getInfo.php?workbook=07_01.xlsx&amp;sheet=A0&amp;row=33&amp;col=30&amp;number=&amp;sourceID=13","")</f>
        <v/>
      </c>
    </row>
    <row r="34" spans="1:30">
      <c r="A34" s="3">
        <v>7</v>
      </c>
      <c r="B34" s="3">
        <v>1</v>
      </c>
      <c r="C34" s="3">
        <v>9</v>
      </c>
      <c r="D34" s="3">
        <v>6</v>
      </c>
      <c r="E34" s="3">
        <f>((1/(INDEX(E0!J$4:J$28,C34,1)-INDEX(E0!J$4:J$28,D34,1))))*100000000</f>
        <v>0</v>
      </c>
      <c r="F34" s="4" t="str">
        <f>HYPERLINK("http://141.218.60.56/~jnz1568/getInfo.php?workbook=07_01.xlsx&amp;sheet=A0&amp;row=34&amp;col=6&amp;number==&amp;sourceID=11","=")</f>
        <v>=</v>
      </c>
      <c r="G34" s="4" t="str">
        <f>HYPERLINK("http://141.218.60.56/~jnz1568/getInfo.php?workbook=07_01.xlsx&amp;sheet=A0&amp;row=34&amp;col=7&amp;number=&amp;sourceID=11","")</f>
        <v/>
      </c>
      <c r="H34" s="4" t="str">
        <f>HYPERLINK("http://141.218.60.56/~jnz1568/getInfo.php?workbook=07_01.xlsx&amp;sheet=A0&amp;row=34&amp;col=8&amp;number=9.485e-10&amp;sourceID=11","9.485e-10")</f>
        <v>9.485e-10</v>
      </c>
      <c r="I34" s="4" t="str">
        <f>HYPERLINK("http://141.218.60.56/~jnz1568/getInfo.php?workbook=07_01.xlsx&amp;sheet=A0&amp;row=34&amp;col=9&amp;number=&amp;sourceID=11","")</f>
        <v/>
      </c>
      <c r="J34" s="4" t="str">
        <f>HYPERLINK("http://141.218.60.56/~jnz1568/getInfo.php?workbook=07_01.xlsx&amp;sheet=A0&amp;row=34&amp;col=10&amp;number=&amp;sourceID=11","")</f>
        <v/>
      </c>
      <c r="K34" s="4" t="str">
        <f>HYPERLINK("http://141.218.60.56/~jnz1568/getInfo.php?workbook=07_01.xlsx&amp;sheet=A0&amp;row=34&amp;col=11&amp;number=&amp;sourceID=11","")</f>
        <v/>
      </c>
      <c r="L34" s="4" t="str">
        <f>HYPERLINK("http://141.218.60.56/~jnz1568/getInfo.php?workbook=07_01.xlsx&amp;sheet=A0&amp;row=34&amp;col=12&amp;number=0&amp;sourceID=11","0")</f>
        <v>0</v>
      </c>
      <c r="M34" s="4" t="str">
        <f>HYPERLINK("http://141.218.60.56/~jnz1568/getInfo.php?workbook=07_01.xlsx&amp;sheet=A0&amp;row=34&amp;col=13&amp;number=9.4855e-10&amp;sourceID=12","9.4855e-10")</f>
        <v>9.4855e-10</v>
      </c>
      <c r="N34" s="4" t="str">
        <f>HYPERLINK("http://141.218.60.56/~jnz1568/getInfo.php?workbook=07_01.xlsx&amp;sheet=A0&amp;row=34&amp;col=14&amp;number=&amp;sourceID=12","")</f>
        <v/>
      </c>
      <c r="O34" s="4" t="str">
        <f>HYPERLINK("http://141.218.60.56/~jnz1568/getInfo.php?workbook=07_01.xlsx&amp;sheet=A0&amp;row=34&amp;col=15&amp;number=9.4855e-10&amp;sourceID=12","9.4855e-10")</f>
        <v>9.4855e-10</v>
      </c>
      <c r="P34" s="4" t="str">
        <f>HYPERLINK("http://141.218.60.56/~jnz1568/getInfo.php?workbook=07_01.xlsx&amp;sheet=A0&amp;row=34&amp;col=16&amp;number=&amp;sourceID=12","")</f>
        <v/>
      </c>
      <c r="Q34" s="4" t="str">
        <f>HYPERLINK("http://141.218.60.56/~jnz1568/getInfo.php?workbook=07_01.xlsx&amp;sheet=A0&amp;row=34&amp;col=17&amp;number=&amp;sourceID=12","")</f>
        <v/>
      </c>
      <c r="R34" s="4" t="str">
        <f>HYPERLINK("http://141.218.60.56/~jnz1568/getInfo.php?workbook=07_01.xlsx&amp;sheet=A0&amp;row=34&amp;col=18&amp;number=&amp;sourceID=12","")</f>
        <v/>
      </c>
      <c r="S34" s="4" t="str">
        <f>HYPERLINK("http://141.218.60.56/~jnz1568/getInfo.php?workbook=07_01.xlsx&amp;sheet=A0&amp;row=34&amp;col=19&amp;number=0&amp;sourceID=12","0")</f>
        <v>0</v>
      </c>
      <c r="T34" s="4" t="str">
        <f>HYPERLINK("http://141.218.60.56/~jnz1568/getInfo.php?workbook=07_01.xlsx&amp;sheet=A0&amp;row=34&amp;col=20&amp;number==&amp;sourceID=30","=")</f>
        <v>=</v>
      </c>
      <c r="U34" s="4" t="str">
        <f>HYPERLINK("http://141.218.60.56/~jnz1568/getInfo.php?workbook=07_01.xlsx&amp;sheet=A0&amp;row=34&amp;col=21&amp;number=&amp;sourceID=30","")</f>
        <v/>
      </c>
      <c r="V34" s="4" t="str">
        <f>HYPERLINK("http://141.218.60.56/~jnz1568/getInfo.php?workbook=07_01.xlsx&amp;sheet=A0&amp;row=34&amp;col=22&amp;number=9.486e-10&amp;sourceID=30","9.486e-10")</f>
        <v>9.486e-10</v>
      </c>
      <c r="W34" s="4" t="str">
        <f>HYPERLINK("http://141.218.60.56/~jnz1568/getInfo.php?workbook=07_01.xlsx&amp;sheet=A0&amp;row=34&amp;col=23&amp;number=&amp;sourceID=30","")</f>
        <v/>
      </c>
      <c r="X34" s="4" t="str">
        <f>HYPERLINK("http://141.218.60.56/~jnz1568/getInfo.php?workbook=07_01.xlsx&amp;sheet=A0&amp;row=34&amp;col=24&amp;number=&amp;sourceID=30","")</f>
        <v/>
      </c>
      <c r="Y34" s="4" t="str">
        <f>HYPERLINK("http://141.218.60.56/~jnz1568/getInfo.php?workbook=07_01.xlsx&amp;sheet=A0&amp;row=34&amp;col=25&amp;number=&amp;sourceID=13","")</f>
        <v/>
      </c>
      <c r="Z34" s="4" t="str">
        <f>HYPERLINK("http://141.218.60.56/~jnz1568/getInfo.php?workbook=07_01.xlsx&amp;sheet=A0&amp;row=34&amp;col=26&amp;number=&amp;sourceID=13","")</f>
        <v/>
      </c>
      <c r="AA34" s="4" t="str">
        <f>HYPERLINK("http://141.218.60.56/~jnz1568/getInfo.php?workbook=07_01.xlsx&amp;sheet=A0&amp;row=34&amp;col=27&amp;number=&amp;sourceID=13","")</f>
        <v/>
      </c>
      <c r="AB34" s="4" t="str">
        <f>HYPERLINK("http://141.218.60.56/~jnz1568/getInfo.php?workbook=07_01.xlsx&amp;sheet=A0&amp;row=34&amp;col=28&amp;number=&amp;sourceID=13","")</f>
        <v/>
      </c>
      <c r="AC34" s="4" t="str">
        <f>HYPERLINK("http://141.218.60.56/~jnz1568/getInfo.php?workbook=07_01.xlsx&amp;sheet=A0&amp;row=34&amp;col=29&amp;number=&amp;sourceID=13","")</f>
        <v/>
      </c>
      <c r="AD34" s="4" t="str">
        <f>HYPERLINK("http://141.218.60.56/~jnz1568/getInfo.php?workbook=07_01.xlsx&amp;sheet=A0&amp;row=34&amp;col=30&amp;number=&amp;sourceID=13","")</f>
        <v/>
      </c>
    </row>
    <row r="35" spans="1:30">
      <c r="A35" s="3">
        <v>7</v>
      </c>
      <c r="B35" s="3">
        <v>1</v>
      </c>
      <c r="C35" s="3">
        <v>9</v>
      </c>
      <c r="D35" s="3">
        <v>7</v>
      </c>
      <c r="E35" s="3">
        <f>((1/(INDEX(E0!J$4:J$28,C35,1)-INDEX(E0!J$4:J$28,D35,1))))*100000000</f>
        <v>0</v>
      </c>
      <c r="F35" s="4" t="str">
        <f>HYPERLINK("http://141.218.60.56/~jnz1568/getInfo.php?workbook=07_01.xlsx&amp;sheet=A0&amp;row=35&amp;col=6&amp;number==&amp;sourceID=11","=")</f>
        <v>=</v>
      </c>
      <c r="G35" s="4" t="str">
        <f>HYPERLINK("http://141.218.60.56/~jnz1568/getInfo.php?workbook=07_01.xlsx&amp;sheet=A0&amp;row=35&amp;col=7&amp;number=&amp;sourceID=11","")</f>
        <v/>
      </c>
      <c r="H35" s="4" t="str">
        <f>HYPERLINK("http://141.218.60.56/~jnz1568/getInfo.php?workbook=07_01.xlsx&amp;sheet=A0&amp;row=35&amp;col=8&amp;number=2.06e-13&amp;sourceID=11","2.06e-13")</f>
        <v>2.06e-13</v>
      </c>
      <c r="I35" s="4" t="str">
        <f>HYPERLINK("http://141.218.60.56/~jnz1568/getInfo.php?workbook=07_01.xlsx&amp;sheet=A0&amp;row=35&amp;col=9&amp;number=&amp;sourceID=11","")</f>
        <v/>
      </c>
      <c r="J35" s="4" t="str">
        <f>HYPERLINK("http://141.218.60.56/~jnz1568/getInfo.php?workbook=07_01.xlsx&amp;sheet=A0&amp;row=35&amp;col=10&amp;number=7.0177e-06&amp;sourceID=11","7.0177e-06")</f>
        <v>7.0177e-06</v>
      </c>
      <c r="K35" s="4" t="str">
        <f>HYPERLINK("http://141.218.60.56/~jnz1568/getInfo.php?workbook=07_01.xlsx&amp;sheet=A0&amp;row=35&amp;col=11&amp;number=&amp;sourceID=11","")</f>
        <v/>
      </c>
      <c r="L35" s="4" t="str">
        <f>HYPERLINK("http://141.218.60.56/~jnz1568/getInfo.php?workbook=07_01.xlsx&amp;sheet=A0&amp;row=35&amp;col=12&amp;number=0&amp;sourceID=11","0")</f>
        <v>0</v>
      </c>
      <c r="M35" s="4" t="str">
        <f>HYPERLINK("http://141.218.60.56/~jnz1568/getInfo.php?workbook=07_01.xlsx&amp;sheet=A0&amp;row=35&amp;col=13&amp;number=7.018e-06&amp;sourceID=12","7.018e-06")</f>
        <v>7.018e-06</v>
      </c>
      <c r="N35" s="4" t="str">
        <f>HYPERLINK("http://141.218.60.56/~jnz1568/getInfo.php?workbook=07_01.xlsx&amp;sheet=A0&amp;row=35&amp;col=14&amp;number=&amp;sourceID=12","")</f>
        <v/>
      </c>
      <c r="O35" s="4" t="str">
        <f>HYPERLINK("http://141.218.60.56/~jnz1568/getInfo.php?workbook=07_01.xlsx&amp;sheet=A0&amp;row=35&amp;col=15&amp;number=2.06e-13&amp;sourceID=12","2.06e-13")</f>
        <v>2.06e-13</v>
      </c>
      <c r="P35" s="4" t="str">
        <f>HYPERLINK("http://141.218.60.56/~jnz1568/getInfo.php?workbook=07_01.xlsx&amp;sheet=A0&amp;row=35&amp;col=16&amp;number=&amp;sourceID=12","")</f>
        <v/>
      </c>
      <c r="Q35" s="4" t="str">
        <f>HYPERLINK("http://141.218.60.56/~jnz1568/getInfo.php?workbook=07_01.xlsx&amp;sheet=A0&amp;row=35&amp;col=17&amp;number=7.018e-06&amp;sourceID=12","7.018e-06")</f>
        <v>7.018e-06</v>
      </c>
      <c r="R35" s="4" t="str">
        <f>HYPERLINK("http://141.218.60.56/~jnz1568/getInfo.php?workbook=07_01.xlsx&amp;sheet=A0&amp;row=35&amp;col=18&amp;number=&amp;sourceID=12","")</f>
        <v/>
      </c>
      <c r="S35" s="4" t="str">
        <f>HYPERLINK("http://141.218.60.56/~jnz1568/getInfo.php?workbook=07_01.xlsx&amp;sheet=A0&amp;row=35&amp;col=19&amp;number=0&amp;sourceID=12","0")</f>
        <v>0</v>
      </c>
      <c r="T35" s="4" t="str">
        <f>HYPERLINK("http://141.218.60.56/~jnz1568/getInfo.php?workbook=07_01.xlsx&amp;sheet=A0&amp;row=35&amp;col=20&amp;number==&amp;sourceID=30","=")</f>
        <v>=</v>
      </c>
      <c r="U35" s="4" t="str">
        <f>HYPERLINK("http://141.218.60.56/~jnz1568/getInfo.php?workbook=07_01.xlsx&amp;sheet=A0&amp;row=35&amp;col=21&amp;number=&amp;sourceID=30","")</f>
        <v/>
      </c>
      <c r="V35" s="4" t="str">
        <f>HYPERLINK("http://141.218.60.56/~jnz1568/getInfo.php?workbook=07_01.xlsx&amp;sheet=A0&amp;row=35&amp;col=22&amp;number=2.06e-13&amp;sourceID=30","2.06e-13")</f>
        <v>2.06e-13</v>
      </c>
      <c r="W35" s="4" t="str">
        <f>HYPERLINK("http://141.218.60.56/~jnz1568/getInfo.php?workbook=07_01.xlsx&amp;sheet=A0&amp;row=35&amp;col=23&amp;number=7.018e-06&amp;sourceID=30","7.018e-06")</f>
        <v>7.018e-06</v>
      </c>
      <c r="X35" s="4" t="str">
        <f>HYPERLINK("http://141.218.60.56/~jnz1568/getInfo.php?workbook=07_01.xlsx&amp;sheet=A0&amp;row=35&amp;col=24&amp;number=&amp;sourceID=30","")</f>
        <v/>
      </c>
      <c r="Y35" s="4" t="str">
        <f>HYPERLINK("http://141.218.60.56/~jnz1568/getInfo.php?workbook=07_01.xlsx&amp;sheet=A0&amp;row=35&amp;col=25&amp;number=&amp;sourceID=13","")</f>
        <v/>
      </c>
      <c r="Z35" s="4" t="str">
        <f>HYPERLINK("http://141.218.60.56/~jnz1568/getInfo.php?workbook=07_01.xlsx&amp;sheet=A0&amp;row=35&amp;col=26&amp;number=&amp;sourceID=13","")</f>
        <v/>
      </c>
      <c r="AA35" s="4" t="str">
        <f>HYPERLINK("http://141.218.60.56/~jnz1568/getInfo.php?workbook=07_01.xlsx&amp;sheet=A0&amp;row=35&amp;col=27&amp;number=&amp;sourceID=13","")</f>
        <v/>
      </c>
      <c r="AB35" s="4" t="str">
        <f>HYPERLINK("http://141.218.60.56/~jnz1568/getInfo.php?workbook=07_01.xlsx&amp;sheet=A0&amp;row=35&amp;col=28&amp;number=&amp;sourceID=13","")</f>
        <v/>
      </c>
      <c r="AC35" s="4" t="str">
        <f>HYPERLINK("http://141.218.60.56/~jnz1568/getInfo.php?workbook=07_01.xlsx&amp;sheet=A0&amp;row=35&amp;col=29&amp;number=&amp;sourceID=13","")</f>
        <v/>
      </c>
      <c r="AD35" s="4" t="str">
        <f>HYPERLINK("http://141.218.60.56/~jnz1568/getInfo.php?workbook=07_01.xlsx&amp;sheet=A0&amp;row=35&amp;col=30&amp;number=&amp;sourceID=13","")</f>
        <v/>
      </c>
    </row>
    <row r="36" spans="1:30">
      <c r="A36" s="3">
        <v>7</v>
      </c>
      <c r="B36" s="3">
        <v>1</v>
      </c>
      <c r="C36" s="3">
        <v>9</v>
      </c>
      <c r="D36" s="3">
        <v>8</v>
      </c>
      <c r="E36" s="3">
        <f>((1/(INDEX(E0!J$4:J$28,C36,1)-INDEX(E0!J$4:J$28,D36,1))))*100000000</f>
        <v>0</v>
      </c>
      <c r="F36" s="4" t="str">
        <f>HYPERLINK("http://141.218.60.56/~jnz1568/getInfo.php?workbook=07_01.xlsx&amp;sheet=A0&amp;row=36&amp;col=6&amp;number==&amp;sourceID=11","=")</f>
        <v>=</v>
      </c>
      <c r="G36" s="4" t="str">
        <f>HYPERLINK("http://141.218.60.56/~jnz1568/getInfo.php?workbook=07_01.xlsx&amp;sheet=A0&amp;row=36&amp;col=7&amp;number=1.0891&amp;sourceID=11","1.0891")</f>
        <v>1.0891</v>
      </c>
      <c r="H36" s="4" t="str">
        <f>HYPERLINK("http://141.218.60.56/~jnz1568/getInfo.php?workbook=07_01.xlsx&amp;sheet=A0&amp;row=36&amp;col=8&amp;number=&amp;sourceID=11","")</f>
        <v/>
      </c>
      <c r="I36" s="4" t="str">
        <f>HYPERLINK("http://141.218.60.56/~jnz1568/getInfo.php?workbook=07_01.xlsx&amp;sheet=A0&amp;row=36&amp;col=9&amp;number=0&amp;sourceID=11","0")</f>
        <v>0</v>
      </c>
      <c r="J36" s="4" t="str">
        <f>HYPERLINK("http://141.218.60.56/~jnz1568/getInfo.php?workbook=07_01.xlsx&amp;sheet=A0&amp;row=36&amp;col=10&amp;number=&amp;sourceID=11","")</f>
        <v/>
      </c>
      <c r="K36" s="4" t="str">
        <f>HYPERLINK("http://141.218.60.56/~jnz1568/getInfo.php?workbook=07_01.xlsx&amp;sheet=A0&amp;row=36&amp;col=11&amp;number=0&amp;sourceID=11","0")</f>
        <v>0</v>
      </c>
      <c r="L36" s="4" t="str">
        <f>HYPERLINK("http://141.218.60.56/~jnz1568/getInfo.php?workbook=07_01.xlsx&amp;sheet=A0&amp;row=36&amp;col=12&amp;number=&amp;sourceID=11","")</f>
        <v/>
      </c>
      <c r="M36" s="4" t="str">
        <f>HYPERLINK("http://141.218.60.56/~jnz1568/getInfo.php?workbook=07_01.xlsx&amp;sheet=A0&amp;row=36&amp;col=13&amp;number=1.0892&amp;sourceID=12","1.0892")</f>
        <v>1.0892</v>
      </c>
      <c r="N36" s="4" t="str">
        <f>HYPERLINK("http://141.218.60.56/~jnz1568/getInfo.php?workbook=07_01.xlsx&amp;sheet=A0&amp;row=36&amp;col=14&amp;number=1.0892&amp;sourceID=12","1.0892")</f>
        <v>1.0892</v>
      </c>
      <c r="O36" s="4" t="str">
        <f>HYPERLINK("http://141.218.60.56/~jnz1568/getInfo.php?workbook=07_01.xlsx&amp;sheet=A0&amp;row=36&amp;col=15&amp;number=&amp;sourceID=12","")</f>
        <v/>
      </c>
      <c r="P36" s="4" t="str">
        <f>HYPERLINK("http://141.218.60.56/~jnz1568/getInfo.php?workbook=07_01.xlsx&amp;sheet=A0&amp;row=36&amp;col=16&amp;number=0&amp;sourceID=12","0")</f>
        <v>0</v>
      </c>
      <c r="Q36" s="4" t="str">
        <f>HYPERLINK("http://141.218.60.56/~jnz1568/getInfo.php?workbook=07_01.xlsx&amp;sheet=A0&amp;row=36&amp;col=17&amp;number=&amp;sourceID=12","")</f>
        <v/>
      </c>
      <c r="R36" s="4" t="str">
        <f>HYPERLINK("http://141.218.60.56/~jnz1568/getInfo.php?workbook=07_01.xlsx&amp;sheet=A0&amp;row=36&amp;col=18&amp;number=0&amp;sourceID=12","0")</f>
        <v>0</v>
      </c>
      <c r="S36" s="4" t="str">
        <f>HYPERLINK("http://141.218.60.56/~jnz1568/getInfo.php?workbook=07_01.xlsx&amp;sheet=A0&amp;row=36&amp;col=19&amp;number=&amp;sourceID=12","")</f>
        <v/>
      </c>
      <c r="T36" s="4" t="str">
        <f>HYPERLINK("http://141.218.60.56/~jnz1568/getInfo.php?workbook=07_01.xlsx&amp;sheet=A0&amp;row=36&amp;col=20&amp;number==&amp;sourceID=30","=")</f>
        <v>=</v>
      </c>
      <c r="U36" s="4" t="str">
        <f>HYPERLINK("http://141.218.60.56/~jnz1568/getInfo.php?workbook=07_01.xlsx&amp;sheet=A0&amp;row=36&amp;col=21&amp;number=1.089&amp;sourceID=30","1.089")</f>
        <v>1.089</v>
      </c>
      <c r="V36" s="4" t="str">
        <f>HYPERLINK("http://141.218.60.56/~jnz1568/getInfo.php?workbook=07_01.xlsx&amp;sheet=A0&amp;row=36&amp;col=22&amp;number=&amp;sourceID=30","")</f>
        <v/>
      </c>
      <c r="W36" s="4" t="str">
        <f>HYPERLINK("http://141.218.60.56/~jnz1568/getInfo.php?workbook=07_01.xlsx&amp;sheet=A0&amp;row=36&amp;col=23&amp;number=&amp;sourceID=30","")</f>
        <v/>
      </c>
      <c r="X36" s="4" t="str">
        <f>HYPERLINK("http://141.218.60.56/~jnz1568/getInfo.php?workbook=07_01.xlsx&amp;sheet=A0&amp;row=36&amp;col=24&amp;number=0&amp;sourceID=30","0")</f>
        <v>0</v>
      </c>
      <c r="Y36" s="4" t="str">
        <f>HYPERLINK("http://141.218.60.56/~jnz1568/getInfo.php?workbook=07_01.xlsx&amp;sheet=A0&amp;row=36&amp;col=25&amp;number=&amp;sourceID=13","")</f>
        <v/>
      </c>
      <c r="Z36" s="4" t="str">
        <f>HYPERLINK("http://141.218.60.56/~jnz1568/getInfo.php?workbook=07_01.xlsx&amp;sheet=A0&amp;row=36&amp;col=26&amp;number=&amp;sourceID=13","")</f>
        <v/>
      </c>
      <c r="AA36" s="4" t="str">
        <f>HYPERLINK("http://141.218.60.56/~jnz1568/getInfo.php?workbook=07_01.xlsx&amp;sheet=A0&amp;row=36&amp;col=27&amp;number=&amp;sourceID=13","")</f>
        <v/>
      </c>
      <c r="AB36" s="4" t="str">
        <f>HYPERLINK("http://141.218.60.56/~jnz1568/getInfo.php?workbook=07_01.xlsx&amp;sheet=A0&amp;row=36&amp;col=28&amp;number=&amp;sourceID=13","")</f>
        <v/>
      </c>
      <c r="AC36" s="4" t="str">
        <f>HYPERLINK("http://141.218.60.56/~jnz1568/getInfo.php?workbook=07_01.xlsx&amp;sheet=A0&amp;row=36&amp;col=29&amp;number=&amp;sourceID=13","")</f>
        <v/>
      </c>
      <c r="AD36" s="4" t="str">
        <f>HYPERLINK("http://141.218.60.56/~jnz1568/getInfo.php?workbook=07_01.xlsx&amp;sheet=A0&amp;row=36&amp;col=30&amp;number=&amp;sourceID=13","")</f>
        <v/>
      </c>
    </row>
    <row r="37" spans="1:30">
      <c r="A37" s="3">
        <v>7</v>
      </c>
      <c r="B37" s="3">
        <v>1</v>
      </c>
      <c r="C37" s="3">
        <v>10</v>
      </c>
      <c r="D37" s="3">
        <v>1</v>
      </c>
      <c r="E37" s="3">
        <f>((1/(INDEX(E0!J$4:J$28,C37,1)-INDEX(E0!J$4:J$28,D37,1))))*100000000</f>
        <v>0</v>
      </c>
      <c r="F37" s="4" t="str">
        <f>HYPERLINK("http://141.218.60.56/~jnz1568/getInfo.php?workbook=07_01.xlsx&amp;sheet=A0&amp;row=37&amp;col=6&amp;number==&amp;sourceID=11","=")</f>
        <v>=</v>
      </c>
      <c r="G37" s="4" t="str">
        <f>HYPERLINK("http://141.218.60.56/~jnz1568/getInfo.php?workbook=07_01.xlsx&amp;sheet=A0&amp;row=37&amp;col=7&amp;number=163680000000&amp;sourceID=11","163680000000")</f>
        <v>163680000000</v>
      </c>
      <c r="H37" s="4" t="str">
        <f>HYPERLINK("http://141.218.60.56/~jnz1568/getInfo.php?workbook=07_01.xlsx&amp;sheet=A0&amp;row=37&amp;col=8&amp;number=&amp;sourceID=11","")</f>
        <v/>
      </c>
      <c r="I37" s="4" t="str">
        <f>HYPERLINK("http://141.218.60.56/~jnz1568/getInfo.php?workbook=07_01.xlsx&amp;sheet=A0&amp;row=37&amp;col=9&amp;number=&amp;sourceID=11","")</f>
        <v/>
      </c>
      <c r="J37" s="4" t="str">
        <f>HYPERLINK("http://141.218.60.56/~jnz1568/getInfo.php?workbook=07_01.xlsx&amp;sheet=A0&amp;row=37&amp;col=10&amp;number=&amp;sourceID=11","")</f>
        <v/>
      </c>
      <c r="K37" s="4" t="str">
        <f>HYPERLINK("http://141.218.60.56/~jnz1568/getInfo.php?workbook=07_01.xlsx&amp;sheet=A0&amp;row=37&amp;col=11&amp;number=&amp;sourceID=11","")</f>
        <v/>
      </c>
      <c r="L37" s="4" t="str">
        <f>HYPERLINK("http://141.218.60.56/~jnz1568/getInfo.php?workbook=07_01.xlsx&amp;sheet=A0&amp;row=37&amp;col=12&amp;number=&amp;sourceID=11","")</f>
        <v/>
      </c>
      <c r="M37" s="4" t="str">
        <f>HYPERLINK("http://141.218.60.56/~jnz1568/getInfo.php?workbook=07_01.xlsx&amp;sheet=A0&amp;row=37&amp;col=13&amp;number=163680000000&amp;sourceID=12","163680000000")</f>
        <v>163680000000</v>
      </c>
      <c r="N37" s="4" t="str">
        <f>HYPERLINK("http://141.218.60.56/~jnz1568/getInfo.php?workbook=07_01.xlsx&amp;sheet=A0&amp;row=37&amp;col=14&amp;number=163680000000&amp;sourceID=12","163680000000")</f>
        <v>163680000000</v>
      </c>
      <c r="O37" s="4" t="str">
        <f>HYPERLINK("http://141.218.60.56/~jnz1568/getInfo.php?workbook=07_01.xlsx&amp;sheet=A0&amp;row=37&amp;col=15&amp;number=&amp;sourceID=12","")</f>
        <v/>
      </c>
      <c r="P37" s="4" t="str">
        <f>HYPERLINK("http://141.218.60.56/~jnz1568/getInfo.php?workbook=07_01.xlsx&amp;sheet=A0&amp;row=37&amp;col=16&amp;number=&amp;sourceID=12","")</f>
        <v/>
      </c>
      <c r="Q37" s="4" t="str">
        <f>HYPERLINK("http://141.218.60.56/~jnz1568/getInfo.php?workbook=07_01.xlsx&amp;sheet=A0&amp;row=37&amp;col=17&amp;number=&amp;sourceID=12","")</f>
        <v/>
      </c>
      <c r="R37" s="4" t="str">
        <f>HYPERLINK("http://141.218.60.56/~jnz1568/getInfo.php?workbook=07_01.xlsx&amp;sheet=A0&amp;row=37&amp;col=18&amp;number=&amp;sourceID=12","")</f>
        <v/>
      </c>
      <c r="S37" s="4" t="str">
        <f>HYPERLINK("http://141.218.60.56/~jnz1568/getInfo.php?workbook=07_01.xlsx&amp;sheet=A0&amp;row=37&amp;col=19&amp;number=&amp;sourceID=12","")</f>
        <v/>
      </c>
      <c r="T37" s="4" t="str">
        <f>HYPERLINK("http://141.218.60.56/~jnz1568/getInfo.php?workbook=07_01.xlsx&amp;sheet=A0&amp;row=37&amp;col=20&amp;number==&amp;sourceID=30","=")</f>
        <v>=</v>
      </c>
      <c r="U37" s="4" t="str">
        <f>HYPERLINK("http://141.218.60.56/~jnz1568/getInfo.php?workbook=07_01.xlsx&amp;sheet=A0&amp;row=37&amp;col=21&amp;number=163700000000&amp;sourceID=30","163700000000")</f>
        <v>163700000000</v>
      </c>
      <c r="V37" s="4" t="str">
        <f>HYPERLINK("http://141.218.60.56/~jnz1568/getInfo.php?workbook=07_01.xlsx&amp;sheet=A0&amp;row=37&amp;col=22&amp;number=&amp;sourceID=30","")</f>
        <v/>
      </c>
      <c r="W37" s="4" t="str">
        <f>HYPERLINK("http://141.218.60.56/~jnz1568/getInfo.php?workbook=07_01.xlsx&amp;sheet=A0&amp;row=37&amp;col=23&amp;number=&amp;sourceID=30","")</f>
        <v/>
      </c>
      <c r="X37" s="4" t="str">
        <f>HYPERLINK("http://141.218.60.56/~jnz1568/getInfo.php?workbook=07_01.xlsx&amp;sheet=A0&amp;row=37&amp;col=24&amp;number=&amp;sourceID=30","")</f>
        <v/>
      </c>
      <c r="Y37" s="4" t="str">
        <f>HYPERLINK("http://141.218.60.56/~jnz1568/getInfo.php?workbook=07_01.xlsx&amp;sheet=A0&amp;row=37&amp;col=25&amp;number==SUM(Z37:AD37)&amp;sourceID=13","=SUM(Z37:AD37)")</f>
        <v>=SUM(Z37:AD37)</v>
      </c>
      <c r="Z37" s="4" t="str">
        <f>HYPERLINK("http://141.218.60.56/~jnz1568/getInfo.php?workbook=07_01.xlsx&amp;sheet=A0&amp;row=37&amp;col=26&amp;number=161000000000&amp;sourceID=13","161000000000")</f>
        <v>161000000000</v>
      </c>
      <c r="AA37" s="4" t="str">
        <f>HYPERLINK("http://141.218.60.56/~jnz1568/getInfo.php?workbook=07_01.xlsx&amp;sheet=A0&amp;row=37&amp;col=27&amp;number=&amp;sourceID=13","")</f>
        <v/>
      </c>
      <c r="AB37" s="4" t="str">
        <f>HYPERLINK("http://141.218.60.56/~jnz1568/getInfo.php?workbook=07_01.xlsx&amp;sheet=A0&amp;row=37&amp;col=28&amp;number=&amp;sourceID=13","")</f>
        <v/>
      </c>
      <c r="AC37" s="4" t="str">
        <f>HYPERLINK("http://141.218.60.56/~jnz1568/getInfo.php?workbook=07_01.xlsx&amp;sheet=A0&amp;row=37&amp;col=29&amp;number=&amp;sourceID=13","")</f>
        <v/>
      </c>
      <c r="AD37" s="4" t="str">
        <f>HYPERLINK("http://141.218.60.56/~jnz1568/getInfo.php?workbook=07_01.xlsx&amp;sheet=A0&amp;row=37&amp;col=30&amp;number=&amp;sourceID=13","")</f>
        <v/>
      </c>
    </row>
    <row r="38" spans="1:30">
      <c r="A38" s="3">
        <v>7</v>
      </c>
      <c r="B38" s="3">
        <v>1</v>
      </c>
      <c r="C38" s="3">
        <v>10</v>
      </c>
      <c r="D38" s="3">
        <v>2</v>
      </c>
      <c r="E38" s="3">
        <f>((1/(INDEX(E0!J$4:J$28,C38,1)-INDEX(E0!J$4:J$28,D38,1))))*100000000</f>
        <v>0</v>
      </c>
      <c r="F38" s="4" t="str">
        <f>HYPERLINK("http://141.218.60.56/~jnz1568/getInfo.php?workbook=07_01.xlsx&amp;sheet=A0&amp;row=38&amp;col=6&amp;number==&amp;sourceID=11","=")</f>
        <v>=</v>
      </c>
      <c r="G38" s="4" t="str">
        <f>HYPERLINK("http://141.218.60.56/~jnz1568/getInfo.php?workbook=07_01.xlsx&amp;sheet=A0&amp;row=38&amp;col=7&amp;number=&amp;sourceID=11","")</f>
        <v/>
      </c>
      <c r="H38" s="4" t="str">
        <f>HYPERLINK("http://141.218.60.56/~jnz1568/getInfo.php?workbook=07_01.xlsx&amp;sheet=A0&amp;row=38&amp;col=8&amp;number=&amp;sourceID=11","")</f>
        <v/>
      </c>
      <c r="I38" s="4" t="str">
        <f>HYPERLINK("http://141.218.60.56/~jnz1568/getInfo.php?workbook=07_01.xlsx&amp;sheet=A0&amp;row=38&amp;col=9&amp;number=&amp;sourceID=11","")</f>
        <v/>
      </c>
      <c r="J38" s="4" t="str">
        <f>HYPERLINK("http://141.218.60.56/~jnz1568/getInfo.php?workbook=07_01.xlsx&amp;sheet=A0&amp;row=38&amp;col=10&amp;number=0.10922&amp;sourceID=11","0.10922")</f>
        <v>0.10922</v>
      </c>
      <c r="K38" s="4" t="str">
        <f>HYPERLINK("http://141.218.60.56/~jnz1568/getInfo.php?workbook=07_01.xlsx&amp;sheet=A0&amp;row=38&amp;col=11&amp;number=&amp;sourceID=11","")</f>
        <v/>
      </c>
      <c r="L38" s="4" t="str">
        <f>HYPERLINK("http://141.218.60.56/~jnz1568/getInfo.php?workbook=07_01.xlsx&amp;sheet=A0&amp;row=38&amp;col=12&amp;number=&amp;sourceID=11","")</f>
        <v/>
      </c>
      <c r="M38" s="4" t="str">
        <f>HYPERLINK("http://141.218.60.56/~jnz1568/getInfo.php?workbook=07_01.xlsx&amp;sheet=A0&amp;row=38&amp;col=13&amp;number=0.10922&amp;sourceID=12","0.10922")</f>
        <v>0.10922</v>
      </c>
      <c r="N38" s="4" t="str">
        <f>HYPERLINK("http://141.218.60.56/~jnz1568/getInfo.php?workbook=07_01.xlsx&amp;sheet=A0&amp;row=38&amp;col=14&amp;number=&amp;sourceID=12","")</f>
        <v/>
      </c>
      <c r="O38" s="4" t="str">
        <f>HYPERLINK("http://141.218.60.56/~jnz1568/getInfo.php?workbook=07_01.xlsx&amp;sheet=A0&amp;row=38&amp;col=15&amp;number=&amp;sourceID=12","")</f>
        <v/>
      </c>
      <c r="P38" s="4" t="str">
        <f>HYPERLINK("http://141.218.60.56/~jnz1568/getInfo.php?workbook=07_01.xlsx&amp;sheet=A0&amp;row=38&amp;col=16&amp;number=&amp;sourceID=12","")</f>
        <v/>
      </c>
      <c r="Q38" s="4" t="str">
        <f>HYPERLINK("http://141.218.60.56/~jnz1568/getInfo.php?workbook=07_01.xlsx&amp;sheet=A0&amp;row=38&amp;col=17&amp;number=0.10922&amp;sourceID=12","0.10922")</f>
        <v>0.10922</v>
      </c>
      <c r="R38" s="4" t="str">
        <f>HYPERLINK("http://141.218.60.56/~jnz1568/getInfo.php?workbook=07_01.xlsx&amp;sheet=A0&amp;row=38&amp;col=18&amp;number=&amp;sourceID=12","")</f>
        <v/>
      </c>
      <c r="S38" s="4" t="str">
        <f>HYPERLINK("http://141.218.60.56/~jnz1568/getInfo.php?workbook=07_01.xlsx&amp;sheet=A0&amp;row=38&amp;col=19&amp;number=&amp;sourceID=12","")</f>
        <v/>
      </c>
      <c r="T38" s="4" t="str">
        <f>HYPERLINK("http://141.218.60.56/~jnz1568/getInfo.php?workbook=07_01.xlsx&amp;sheet=A0&amp;row=38&amp;col=20&amp;number==SUM(U38:X38)&amp;sourceID=30","=SUM(U38:X38)")</f>
        <v>=SUM(U38:X38)</v>
      </c>
      <c r="U38" s="4" t="str">
        <f>HYPERLINK("http://141.218.60.56/~jnz1568/getInfo.php?workbook=07_01.xlsx&amp;sheet=A0&amp;row=38&amp;col=21&amp;number=&amp;sourceID=30","")</f>
        <v/>
      </c>
      <c r="V38" s="4" t="str">
        <f>HYPERLINK("http://141.218.60.56/~jnz1568/getInfo.php?workbook=07_01.xlsx&amp;sheet=A0&amp;row=38&amp;col=22&amp;number=&amp;sourceID=30","")</f>
        <v/>
      </c>
      <c r="W38" s="4" t="str">
        <f>HYPERLINK("http://141.218.60.56/~jnz1568/getInfo.php?workbook=07_01.xlsx&amp;sheet=A0&amp;row=38&amp;col=23&amp;number=0.1093&amp;sourceID=30","0.1093")</f>
        <v>0.1093</v>
      </c>
      <c r="X38" s="4" t="str">
        <f>HYPERLINK("http://141.218.60.56/~jnz1568/getInfo.php?workbook=07_01.xlsx&amp;sheet=A0&amp;row=38&amp;col=24&amp;number=&amp;sourceID=30","")</f>
        <v/>
      </c>
      <c r="Y38" s="4" t="str">
        <f>HYPERLINK("http://141.218.60.56/~jnz1568/getInfo.php?workbook=07_01.xlsx&amp;sheet=A0&amp;row=38&amp;col=25&amp;number==&amp;sourceID=13","=")</f>
        <v>=</v>
      </c>
      <c r="Z38" s="4" t="str">
        <f>HYPERLINK("http://141.218.60.56/~jnz1568/getInfo.php?workbook=07_01.xlsx&amp;sheet=A0&amp;row=38&amp;col=26&amp;number=&amp;sourceID=13","")</f>
        <v/>
      </c>
      <c r="AA38" s="4" t="str">
        <f>HYPERLINK("http://141.218.60.56/~jnz1568/getInfo.php?workbook=07_01.xlsx&amp;sheet=A0&amp;row=38&amp;col=27&amp;number=&amp;sourceID=13","")</f>
        <v/>
      </c>
      <c r="AB38" s="4" t="str">
        <f>HYPERLINK("http://141.218.60.56/~jnz1568/getInfo.php?workbook=07_01.xlsx&amp;sheet=A0&amp;row=38&amp;col=28&amp;number=&amp;sourceID=13","")</f>
        <v/>
      </c>
      <c r="AC38" s="4" t="str">
        <f>HYPERLINK("http://141.218.60.56/~jnz1568/getInfo.php?workbook=07_01.xlsx&amp;sheet=A0&amp;row=38&amp;col=29&amp;number=0.108&amp;sourceID=13","0.108")</f>
        <v>0.108</v>
      </c>
      <c r="AD38" s="4" t="str">
        <f>HYPERLINK("http://141.218.60.56/~jnz1568/getInfo.php?workbook=07_01.xlsx&amp;sheet=A0&amp;row=38&amp;col=30&amp;number=&amp;sourceID=13","")</f>
        <v/>
      </c>
    </row>
    <row r="39" spans="1:30">
      <c r="A39" s="3">
        <v>7</v>
      </c>
      <c r="B39" s="3">
        <v>1</v>
      </c>
      <c r="C39" s="3">
        <v>10</v>
      </c>
      <c r="D39" s="3">
        <v>3</v>
      </c>
      <c r="E39" s="3">
        <f>((1/(INDEX(E0!J$4:J$28,C39,1)-INDEX(E0!J$4:J$28,D39,1))))*100000000</f>
        <v>0</v>
      </c>
      <c r="F39" s="4" t="str">
        <f>HYPERLINK("http://141.218.60.56/~jnz1568/getInfo.php?workbook=07_01.xlsx&amp;sheet=A0&amp;row=39&amp;col=6&amp;number==&amp;sourceID=11","=")</f>
        <v>=</v>
      </c>
      <c r="G39" s="4" t="str">
        <f>HYPERLINK("http://141.218.60.56/~jnz1568/getInfo.php?workbook=07_01.xlsx&amp;sheet=A0&amp;row=39&amp;col=7&amp;number=23258000000&amp;sourceID=11","23258000000")</f>
        <v>23258000000</v>
      </c>
      <c r="H39" s="4" t="str">
        <f>HYPERLINK("http://141.218.60.56/~jnz1568/getInfo.php?workbook=07_01.xlsx&amp;sheet=A0&amp;row=39&amp;col=8&amp;number=&amp;sourceID=11","")</f>
        <v/>
      </c>
      <c r="I39" s="4" t="str">
        <f>HYPERLINK("http://141.218.60.56/~jnz1568/getInfo.php?workbook=07_01.xlsx&amp;sheet=A0&amp;row=39&amp;col=9&amp;number=&amp;sourceID=11","")</f>
        <v/>
      </c>
      <c r="J39" s="4" t="str">
        <f>HYPERLINK("http://141.218.60.56/~jnz1568/getInfo.php?workbook=07_01.xlsx&amp;sheet=A0&amp;row=39&amp;col=10&amp;number=&amp;sourceID=11","")</f>
        <v/>
      </c>
      <c r="K39" s="4" t="str">
        <f>HYPERLINK("http://141.218.60.56/~jnz1568/getInfo.php?workbook=07_01.xlsx&amp;sheet=A0&amp;row=39&amp;col=11&amp;number=&amp;sourceID=11","")</f>
        <v/>
      </c>
      <c r="L39" s="4" t="str">
        <f>HYPERLINK("http://141.218.60.56/~jnz1568/getInfo.php?workbook=07_01.xlsx&amp;sheet=A0&amp;row=39&amp;col=12&amp;number=&amp;sourceID=11","")</f>
        <v/>
      </c>
      <c r="M39" s="4" t="str">
        <f>HYPERLINK("http://141.218.60.56/~jnz1568/getInfo.php?workbook=07_01.xlsx&amp;sheet=A0&amp;row=39&amp;col=13&amp;number=23259000000&amp;sourceID=12","23259000000")</f>
        <v>23259000000</v>
      </c>
      <c r="N39" s="4" t="str">
        <f>HYPERLINK("http://141.218.60.56/~jnz1568/getInfo.php?workbook=07_01.xlsx&amp;sheet=A0&amp;row=39&amp;col=14&amp;number=23259000000&amp;sourceID=12","23259000000")</f>
        <v>23259000000</v>
      </c>
      <c r="O39" s="4" t="str">
        <f>HYPERLINK("http://141.218.60.56/~jnz1568/getInfo.php?workbook=07_01.xlsx&amp;sheet=A0&amp;row=39&amp;col=15&amp;number=&amp;sourceID=12","")</f>
        <v/>
      </c>
      <c r="P39" s="4" t="str">
        <f>HYPERLINK("http://141.218.60.56/~jnz1568/getInfo.php?workbook=07_01.xlsx&amp;sheet=A0&amp;row=39&amp;col=16&amp;number=&amp;sourceID=12","")</f>
        <v/>
      </c>
      <c r="Q39" s="4" t="str">
        <f>HYPERLINK("http://141.218.60.56/~jnz1568/getInfo.php?workbook=07_01.xlsx&amp;sheet=A0&amp;row=39&amp;col=17&amp;number=&amp;sourceID=12","")</f>
        <v/>
      </c>
      <c r="R39" s="4" t="str">
        <f>HYPERLINK("http://141.218.60.56/~jnz1568/getInfo.php?workbook=07_01.xlsx&amp;sheet=A0&amp;row=39&amp;col=18&amp;number=&amp;sourceID=12","")</f>
        <v/>
      </c>
      <c r="S39" s="4" t="str">
        <f>HYPERLINK("http://141.218.60.56/~jnz1568/getInfo.php?workbook=07_01.xlsx&amp;sheet=A0&amp;row=39&amp;col=19&amp;number=&amp;sourceID=12","")</f>
        <v/>
      </c>
      <c r="T39" s="4" t="str">
        <f>HYPERLINK("http://141.218.60.56/~jnz1568/getInfo.php?workbook=07_01.xlsx&amp;sheet=A0&amp;row=39&amp;col=20&amp;number==&amp;sourceID=30","=")</f>
        <v>=</v>
      </c>
      <c r="U39" s="4" t="str">
        <f>HYPERLINK("http://141.218.60.56/~jnz1568/getInfo.php?workbook=07_01.xlsx&amp;sheet=A0&amp;row=39&amp;col=21&amp;number=23260000000&amp;sourceID=30","23260000000")</f>
        <v>23260000000</v>
      </c>
      <c r="V39" s="4" t="str">
        <f>HYPERLINK("http://141.218.60.56/~jnz1568/getInfo.php?workbook=07_01.xlsx&amp;sheet=A0&amp;row=39&amp;col=22&amp;number=&amp;sourceID=30","")</f>
        <v/>
      </c>
      <c r="W39" s="4" t="str">
        <f>HYPERLINK("http://141.218.60.56/~jnz1568/getInfo.php?workbook=07_01.xlsx&amp;sheet=A0&amp;row=39&amp;col=23&amp;number=&amp;sourceID=30","")</f>
        <v/>
      </c>
      <c r="X39" s="4" t="str">
        <f>HYPERLINK("http://141.218.60.56/~jnz1568/getInfo.php?workbook=07_01.xlsx&amp;sheet=A0&amp;row=39&amp;col=24&amp;number=&amp;sourceID=30","")</f>
        <v/>
      </c>
      <c r="Y39" s="4" t="str">
        <f>HYPERLINK("http://141.218.60.56/~jnz1568/getInfo.php?workbook=07_01.xlsx&amp;sheet=A0&amp;row=39&amp;col=25&amp;number==&amp;sourceID=13","=")</f>
        <v>=</v>
      </c>
      <c r="Z39" s="4" t="str">
        <f>HYPERLINK("http://141.218.60.56/~jnz1568/getInfo.php?workbook=07_01.xlsx&amp;sheet=A0&amp;row=39&amp;col=26&amp;number=23100000000&amp;sourceID=13","23100000000")</f>
        <v>23100000000</v>
      </c>
      <c r="AA39" s="4" t="str">
        <f>HYPERLINK("http://141.218.60.56/~jnz1568/getInfo.php?workbook=07_01.xlsx&amp;sheet=A0&amp;row=39&amp;col=27&amp;number=&amp;sourceID=13","")</f>
        <v/>
      </c>
      <c r="AB39" s="4" t="str">
        <f>HYPERLINK("http://141.218.60.56/~jnz1568/getInfo.php?workbook=07_01.xlsx&amp;sheet=A0&amp;row=39&amp;col=28&amp;number=&amp;sourceID=13","")</f>
        <v/>
      </c>
      <c r="AC39" s="4" t="str">
        <f>HYPERLINK("http://141.218.60.56/~jnz1568/getInfo.php?workbook=07_01.xlsx&amp;sheet=A0&amp;row=39&amp;col=29&amp;number=&amp;sourceID=13","")</f>
        <v/>
      </c>
      <c r="AD39" s="4" t="str">
        <f>HYPERLINK("http://141.218.60.56/~jnz1568/getInfo.php?workbook=07_01.xlsx&amp;sheet=A0&amp;row=39&amp;col=30&amp;number=&amp;sourceID=13","")</f>
        <v/>
      </c>
    </row>
    <row r="40" spans="1:30">
      <c r="A40" s="3">
        <v>7</v>
      </c>
      <c r="B40" s="3">
        <v>1</v>
      </c>
      <c r="C40" s="3">
        <v>10</v>
      </c>
      <c r="D40" s="3">
        <v>4</v>
      </c>
      <c r="E40" s="3">
        <f>((1/(INDEX(E0!J$4:J$28,C40,1)-INDEX(E0!J$4:J$28,D40,1))))*100000000</f>
        <v>0</v>
      </c>
      <c r="F40" s="4" t="str">
        <f>HYPERLINK("http://141.218.60.56/~jnz1568/getInfo.php?workbook=07_01.xlsx&amp;sheet=A0&amp;row=40&amp;col=6&amp;number==&amp;sourceID=11","=")</f>
        <v>=</v>
      </c>
      <c r="G40" s="4" t="str">
        <f>HYPERLINK("http://141.218.60.56/~jnz1568/getInfo.php?workbook=07_01.xlsx&amp;sheet=A0&amp;row=40&amp;col=7&amp;number=&amp;sourceID=11","")</f>
        <v/>
      </c>
      <c r="H40" s="4" t="str">
        <f>HYPERLINK("http://141.218.60.56/~jnz1568/getInfo.php?workbook=07_01.xlsx&amp;sheet=A0&amp;row=40&amp;col=8&amp;number=1210700&amp;sourceID=11","1210700")</f>
        <v>1210700</v>
      </c>
      <c r="I40" s="4" t="str">
        <f>HYPERLINK("http://141.218.60.56/~jnz1568/getInfo.php?workbook=07_01.xlsx&amp;sheet=A0&amp;row=40&amp;col=9&amp;number=&amp;sourceID=11","")</f>
        <v/>
      </c>
      <c r="J40" s="4" t="str">
        <f>HYPERLINK("http://141.218.60.56/~jnz1568/getInfo.php?workbook=07_01.xlsx&amp;sheet=A0&amp;row=40&amp;col=10&amp;number=2.1297&amp;sourceID=11","2.1297")</f>
        <v>2.1297</v>
      </c>
      <c r="K40" s="4" t="str">
        <f>HYPERLINK("http://141.218.60.56/~jnz1568/getInfo.php?workbook=07_01.xlsx&amp;sheet=A0&amp;row=40&amp;col=11&amp;number=&amp;sourceID=11","")</f>
        <v/>
      </c>
      <c r="L40" s="4" t="str">
        <f>HYPERLINK("http://141.218.60.56/~jnz1568/getInfo.php?workbook=07_01.xlsx&amp;sheet=A0&amp;row=40&amp;col=12&amp;number=&amp;sourceID=11","")</f>
        <v/>
      </c>
      <c r="M40" s="4" t="str">
        <f>HYPERLINK("http://141.218.60.56/~jnz1568/getInfo.php?workbook=07_01.xlsx&amp;sheet=A0&amp;row=40&amp;col=13&amp;number=1210800&amp;sourceID=12","1210800")</f>
        <v>1210800</v>
      </c>
      <c r="N40" s="4" t="str">
        <f>HYPERLINK("http://141.218.60.56/~jnz1568/getInfo.php?workbook=07_01.xlsx&amp;sheet=A0&amp;row=40&amp;col=14&amp;number=&amp;sourceID=12","")</f>
        <v/>
      </c>
      <c r="O40" s="4" t="str">
        <f>HYPERLINK("http://141.218.60.56/~jnz1568/getInfo.php?workbook=07_01.xlsx&amp;sheet=A0&amp;row=40&amp;col=15&amp;number=1210800&amp;sourceID=12","1210800")</f>
        <v>1210800</v>
      </c>
      <c r="P40" s="4" t="str">
        <f>HYPERLINK("http://141.218.60.56/~jnz1568/getInfo.php?workbook=07_01.xlsx&amp;sheet=A0&amp;row=40&amp;col=16&amp;number=&amp;sourceID=12","")</f>
        <v/>
      </c>
      <c r="Q40" s="4" t="str">
        <f>HYPERLINK("http://141.218.60.56/~jnz1568/getInfo.php?workbook=07_01.xlsx&amp;sheet=A0&amp;row=40&amp;col=17&amp;number=2.1298&amp;sourceID=12","2.1298")</f>
        <v>2.1298</v>
      </c>
      <c r="R40" s="4" t="str">
        <f>HYPERLINK("http://141.218.60.56/~jnz1568/getInfo.php?workbook=07_01.xlsx&amp;sheet=A0&amp;row=40&amp;col=18&amp;number=&amp;sourceID=12","")</f>
        <v/>
      </c>
      <c r="S40" s="4" t="str">
        <f>HYPERLINK("http://141.218.60.56/~jnz1568/getInfo.php?workbook=07_01.xlsx&amp;sheet=A0&amp;row=40&amp;col=19&amp;number=&amp;sourceID=12","")</f>
        <v/>
      </c>
      <c r="T40" s="4" t="str">
        <f>HYPERLINK("http://141.218.60.56/~jnz1568/getInfo.php?workbook=07_01.xlsx&amp;sheet=A0&amp;row=40&amp;col=20&amp;number==&amp;sourceID=30","=")</f>
        <v>=</v>
      </c>
      <c r="U40" s="4" t="str">
        <f>HYPERLINK("http://141.218.60.56/~jnz1568/getInfo.php?workbook=07_01.xlsx&amp;sheet=A0&amp;row=40&amp;col=21&amp;number=&amp;sourceID=30","")</f>
        <v/>
      </c>
      <c r="V40" s="4" t="str">
        <f>HYPERLINK("http://141.218.60.56/~jnz1568/getInfo.php?workbook=07_01.xlsx&amp;sheet=A0&amp;row=40&amp;col=22&amp;number=1211000&amp;sourceID=30","1211000")</f>
        <v>1211000</v>
      </c>
      <c r="W40" s="4" t="str">
        <f>HYPERLINK("http://141.218.60.56/~jnz1568/getInfo.php?workbook=07_01.xlsx&amp;sheet=A0&amp;row=40&amp;col=23&amp;number=2.13&amp;sourceID=30","2.13")</f>
        <v>2.13</v>
      </c>
      <c r="X40" s="4" t="str">
        <f>HYPERLINK("http://141.218.60.56/~jnz1568/getInfo.php?workbook=07_01.xlsx&amp;sheet=A0&amp;row=40&amp;col=24&amp;number=&amp;sourceID=30","")</f>
        <v/>
      </c>
      <c r="Y40" s="4" t="str">
        <f>HYPERLINK("http://141.218.60.56/~jnz1568/getInfo.php?workbook=07_01.xlsx&amp;sheet=A0&amp;row=40&amp;col=25&amp;number==&amp;sourceID=13","=")</f>
        <v>=</v>
      </c>
      <c r="Z40" s="4" t="str">
        <f>HYPERLINK("http://141.218.60.56/~jnz1568/getInfo.php?workbook=07_01.xlsx&amp;sheet=A0&amp;row=40&amp;col=26&amp;number=&amp;sourceID=13","")</f>
        <v/>
      </c>
      <c r="AA40" s="4" t="str">
        <f>HYPERLINK("http://141.218.60.56/~jnz1568/getInfo.php?workbook=07_01.xlsx&amp;sheet=A0&amp;row=40&amp;col=27&amp;number=1200000&amp;sourceID=13","1200000")</f>
        <v>1200000</v>
      </c>
      <c r="AB40" s="4" t="str">
        <f>HYPERLINK("http://141.218.60.56/~jnz1568/getInfo.php?workbook=07_01.xlsx&amp;sheet=A0&amp;row=40&amp;col=28&amp;number=&amp;sourceID=13","")</f>
        <v/>
      </c>
      <c r="AC40" s="4" t="str">
        <f>HYPERLINK("http://141.218.60.56/~jnz1568/getInfo.php?workbook=07_01.xlsx&amp;sheet=A0&amp;row=40&amp;col=29&amp;number=2.38&amp;sourceID=13","2.38")</f>
        <v>2.38</v>
      </c>
      <c r="AD40" s="4" t="str">
        <f>HYPERLINK("http://141.218.60.56/~jnz1568/getInfo.php?workbook=07_01.xlsx&amp;sheet=A0&amp;row=40&amp;col=30&amp;number=&amp;sourceID=13","")</f>
        <v/>
      </c>
    </row>
    <row r="41" spans="1:30">
      <c r="A41" s="3">
        <v>7</v>
      </c>
      <c r="B41" s="3">
        <v>1</v>
      </c>
      <c r="C41" s="3">
        <v>10</v>
      </c>
      <c r="D41" s="3">
        <v>5</v>
      </c>
      <c r="E41" s="3">
        <f>((1/(INDEX(E0!J$4:J$28,C41,1)-INDEX(E0!J$4:J$28,D41,1))))*100000000</f>
        <v>0</v>
      </c>
      <c r="F41" s="4" t="str">
        <f>HYPERLINK("http://141.218.60.56/~jnz1568/getInfo.php?workbook=07_01.xlsx&amp;sheet=A0&amp;row=41&amp;col=6&amp;number==&amp;sourceID=11","=")</f>
        <v>=</v>
      </c>
      <c r="G41" s="4" t="str">
        <f>HYPERLINK("http://141.218.60.56/~jnz1568/getInfo.php?workbook=07_01.xlsx&amp;sheet=A0&amp;row=41&amp;col=7&amp;number=&amp;sourceID=11","")</f>
        <v/>
      </c>
      <c r="H41" s="4" t="str">
        <f>HYPERLINK("http://141.218.60.56/~jnz1568/getInfo.php?workbook=07_01.xlsx&amp;sheet=A0&amp;row=41&amp;col=8&amp;number=&amp;sourceID=11","")</f>
        <v/>
      </c>
      <c r="I41" s="4" t="str">
        <f>HYPERLINK("http://141.218.60.56/~jnz1568/getInfo.php?workbook=07_01.xlsx&amp;sheet=A0&amp;row=41&amp;col=9&amp;number=&amp;sourceID=11","")</f>
        <v/>
      </c>
      <c r="J41" s="4" t="str">
        <f>HYPERLINK("http://141.218.60.56/~jnz1568/getInfo.php?workbook=07_01.xlsx&amp;sheet=A0&amp;row=41&amp;col=10&amp;number=0.0018171&amp;sourceID=11","0.0018171")</f>
        <v>0.0018171</v>
      </c>
      <c r="K41" s="4" t="str">
        <f>HYPERLINK("http://141.218.60.56/~jnz1568/getInfo.php?workbook=07_01.xlsx&amp;sheet=A0&amp;row=41&amp;col=11&amp;number=&amp;sourceID=11","")</f>
        <v/>
      </c>
      <c r="L41" s="4" t="str">
        <f>HYPERLINK("http://141.218.60.56/~jnz1568/getInfo.php?workbook=07_01.xlsx&amp;sheet=A0&amp;row=41&amp;col=12&amp;number=&amp;sourceID=11","")</f>
        <v/>
      </c>
      <c r="M41" s="4" t="str">
        <f>HYPERLINK("http://141.218.60.56/~jnz1568/getInfo.php?workbook=07_01.xlsx&amp;sheet=A0&amp;row=41&amp;col=13&amp;number=0.0018172&amp;sourceID=12","0.0018172")</f>
        <v>0.0018172</v>
      </c>
      <c r="N41" s="4" t="str">
        <f>HYPERLINK("http://141.218.60.56/~jnz1568/getInfo.php?workbook=07_01.xlsx&amp;sheet=A0&amp;row=41&amp;col=14&amp;number=&amp;sourceID=12","")</f>
        <v/>
      </c>
      <c r="O41" s="4" t="str">
        <f>HYPERLINK("http://141.218.60.56/~jnz1568/getInfo.php?workbook=07_01.xlsx&amp;sheet=A0&amp;row=41&amp;col=15&amp;number=&amp;sourceID=12","")</f>
        <v/>
      </c>
      <c r="P41" s="4" t="str">
        <f>HYPERLINK("http://141.218.60.56/~jnz1568/getInfo.php?workbook=07_01.xlsx&amp;sheet=A0&amp;row=41&amp;col=16&amp;number=&amp;sourceID=12","")</f>
        <v/>
      </c>
      <c r="Q41" s="4" t="str">
        <f>HYPERLINK("http://141.218.60.56/~jnz1568/getInfo.php?workbook=07_01.xlsx&amp;sheet=A0&amp;row=41&amp;col=17&amp;number=0.0018172&amp;sourceID=12","0.0018172")</f>
        <v>0.0018172</v>
      </c>
      <c r="R41" s="4" t="str">
        <f>HYPERLINK("http://141.218.60.56/~jnz1568/getInfo.php?workbook=07_01.xlsx&amp;sheet=A0&amp;row=41&amp;col=18&amp;number=&amp;sourceID=12","")</f>
        <v/>
      </c>
      <c r="S41" s="4" t="str">
        <f>HYPERLINK("http://141.218.60.56/~jnz1568/getInfo.php?workbook=07_01.xlsx&amp;sheet=A0&amp;row=41&amp;col=19&amp;number=&amp;sourceID=12","")</f>
        <v/>
      </c>
      <c r="T41" s="4" t="str">
        <f>HYPERLINK("http://141.218.60.56/~jnz1568/getInfo.php?workbook=07_01.xlsx&amp;sheet=A0&amp;row=41&amp;col=20&amp;number==&amp;sourceID=30","=")</f>
        <v>=</v>
      </c>
      <c r="U41" s="4" t="str">
        <f>HYPERLINK("http://141.218.60.56/~jnz1568/getInfo.php?workbook=07_01.xlsx&amp;sheet=A0&amp;row=41&amp;col=21&amp;number=&amp;sourceID=30","")</f>
        <v/>
      </c>
      <c r="V41" s="4" t="str">
        <f>HYPERLINK("http://141.218.60.56/~jnz1568/getInfo.php?workbook=07_01.xlsx&amp;sheet=A0&amp;row=41&amp;col=22&amp;number=&amp;sourceID=30","")</f>
        <v/>
      </c>
      <c r="W41" s="4" t="str">
        <f>HYPERLINK("http://141.218.60.56/~jnz1568/getInfo.php?workbook=07_01.xlsx&amp;sheet=A0&amp;row=41&amp;col=23&amp;number=0.00182&amp;sourceID=30","0.00182")</f>
        <v>0.00182</v>
      </c>
      <c r="X41" s="4" t="str">
        <f>HYPERLINK("http://141.218.60.56/~jnz1568/getInfo.php?workbook=07_01.xlsx&amp;sheet=A0&amp;row=41&amp;col=24&amp;number=&amp;sourceID=30","")</f>
        <v/>
      </c>
      <c r="Y41" s="4" t="str">
        <f>HYPERLINK("http://141.218.60.56/~jnz1568/getInfo.php?workbook=07_01.xlsx&amp;sheet=A0&amp;row=41&amp;col=25&amp;number==&amp;sourceID=13","=")</f>
        <v>=</v>
      </c>
      <c r="Z41" s="4" t="str">
        <f>HYPERLINK("http://141.218.60.56/~jnz1568/getInfo.php?workbook=07_01.xlsx&amp;sheet=A0&amp;row=41&amp;col=26&amp;number=&amp;sourceID=13","")</f>
        <v/>
      </c>
      <c r="AA41" s="4" t="str">
        <f>HYPERLINK("http://141.218.60.56/~jnz1568/getInfo.php?workbook=07_01.xlsx&amp;sheet=A0&amp;row=41&amp;col=27&amp;number=&amp;sourceID=13","")</f>
        <v/>
      </c>
      <c r="AB41" s="4" t="str">
        <f>HYPERLINK("http://141.218.60.56/~jnz1568/getInfo.php?workbook=07_01.xlsx&amp;sheet=A0&amp;row=41&amp;col=28&amp;number=&amp;sourceID=13","")</f>
        <v/>
      </c>
      <c r="AC41" s="4" t="str">
        <f>HYPERLINK("http://141.218.60.56/~jnz1568/getInfo.php?workbook=07_01.xlsx&amp;sheet=A0&amp;row=41&amp;col=29&amp;number=0.0018&amp;sourceID=13","0.0018")</f>
        <v>0.0018</v>
      </c>
      <c r="AD41" s="4" t="str">
        <f>HYPERLINK("http://141.218.60.56/~jnz1568/getInfo.php?workbook=07_01.xlsx&amp;sheet=A0&amp;row=41&amp;col=30&amp;number=&amp;sourceID=13","")</f>
        <v/>
      </c>
    </row>
    <row r="42" spans="1:30">
      <c r="A42" s="3">
        <v>7</v>
      </c>
      <c r="B42" s="3">
        <v>1</v>
      </c>
      <c r="C42" s="3">
        <v>10</v>
      </c>
      <c r="D42" s="3">
        <v>6</v>
      </c>
      <c r="E42" s="3">
        <f>((1/(INDEX(E0!J$4:J$28,C42,1)-INDEX(E0!J$4:J$28,D42,1))))*100000000</f>
        <v>0</v>
      </c>
      <c r="F42" s="4" t="str">
        <f>HYPERLINK("http://141.218.60.56/~jnz1568/getInfo.php?workbook=07_01.xlsx&amp;sheet=A0&amp;row=42&amp;col=6&amp;number==&amp;sourceID=11","=")</f>
        <v>=</v>
      </c>
      <c r="G42" s="4" t="str">
        <f>HYPERLINK("http://141.218.60.56/~jnz1568/getInfo.php?workbook=07_01.xlsx&amp;sheet=A0&amp;row=42&amp;col=7&amp;number=7374300000&amp;sourceID=11","7374300000")</f>
        <v>7374300000</v>
      </c>
      <c r="H42" s="4" t="str">
        <f>HYPERLINK("http://141.218.60.56/~jnz1568/getInfo.php?workbook=07_01.xlsx&amp;sheet=A0&amp;row=42&amp;col=8&amp;number=&amp;sourceID=11","")</f>
        <v/>
      </c>
      <c r="I42" s="4" t="str">
        <f>HYPERLINK("http://141.218.60.56/~jnz1568/getInfo.php?workbook=07_01.xlsx&amp;sheet=A0&amp;row=42&amp;col=9&amp;number=&amp;sourceID=11","")</f>
        <v/>
      </c>
      <c r="J42" s="4" t="str">
        <f>HYPERLINK("http://141.218.60.56/~jnz1568/getInfo.php?workbook=07_01.xlsx&amp;sheet=A0&amp;row=42&amp;col=10&amp;number=&amp;sourceID=11","")</f>
        <v/>
      </c>
      <c r="K42" s="4" t="str">
        <f>HYPERLINK("http://141.218.60.56/~jnz1568/getInfo.php?workbook=07_01.xlsx&amp;sheet=A0&amp;row=42&amp;col=11&amp;number=&amp;sourceID=11","")</f>
        <v/>
      </c>
      <c r="L42" s="4" t="str">
        <f>HYPERLINK("http://141.218.60.56/~jnz1568/getInfo.php?workbook=07_01.xlsx&amp;sheet=A0&amp;row=42&amp;col=12&amp;number=&amp;sourceID=11","")</f>
        <v/>
      </c>
      <c r="M42" s="4" t="str">
        <f>HYPERLINK("http://141.218.60.56/~jnz1568/getInfo.php?workbook=07_01.xlsx&amp;sheet=A0&amp;row=42&amp;col=13&amp;number=7374600000&amp;sourceID=12","7374600000")</f>
        <v>7374600000</v>
      </c>
      <c r="N42" s="4" t="str">
        <f>HYPERLINK("http://141.218.60.56/~jnz1568/getInfo.php?workbook=07_01.xlsx&amp;sheet=A0&amp;row=42&amp;col=14&amp;number=7374600000&amp;sourceID=12","7374600000")</f>
        <v>7374600000</v>
      </c>
      <c r="O42" s="4" t="str">
        <f>HYPERLINK("http://141.218.60.56/~jnz1568/getInfo.php?workbook=07_01.xlsx&amp;sheet=A0&amp;row=42&amp;col=15&amp;number=&amp;sourceID=12","")</f>
        <v/>
      </c>
      <c r="P42" s="4" t="str">
        <f>HYPERLINK("http://141.218.60.56/~jnz1568/getInfo.php?workbook=07_01.xlsx&amp;sheet=A0&amp;row=42&amp;col=16&amp;number=&amp;sourceID=12","")</f>
        <v/>
      </c>
      <c r="Q42" s="4" t="str">
        <f>HYPERLINK("http://141.218.60.56/~jnz1568/getInfo.php?workbook=07_01.xlsx&amp;sheet=A0&amp;row=42&amp;col=17&amp;number=&amp;sourceID=12","")</f>
        <v/>
      </c>
      <c r="R42" s="4" t="str">
        <f>HYPERLINK("http://141.218.60.56/~jnz1568/getInfo.php?workbook=07_01.xlsx&amp;sheet=A0&amp;row=42&amp;col=18&amp;number=&amp;sourceID=12","")</f>
        <v/>
      </c>
      <c r="S42" s="4" t="str">
        <f>HYPERLINK("http://141.218.60.56/~jnz1568/getInfo.php?workbook=07_01.xlsx&amp;sheet=A0&amp;row=42&amp;col=19&amp;number=&amp;sourceID=12","")</f>
        <v/>
      </c>
      <c r="T42" s="4" t="str">
        <f>HYPERLINK("http://141.218.60.56/~jnz1568/getInfo.php?workbook=07_01.xlsx&amp;sheet=A0&amp;row=42&amp;col=20&amp;number==&amp;sourceID=30","=")</f>
        <v>=</v>
      </c>
      <c r="U42" s="4" t="str">
        <f>HYPERLINK("http://141.218.60.56/~jnz1568/getInfo.php?workbook=07_01.xlsx&amp;sheet=A0&amp;row=42&amp;col=21&amp;number=7375000000&amp;sourceID=30","7375000000")</f>
        <v>7375000000</v>
      </c>
      <c r="V42" s="4" t="str">
        <f>HYPERLINK("http://141.218.60.56/~jnz1568/getInfo.php?workbook=07_01.xlsx&amp;sheet=A0&amp;row=42&amp;col=22&amp;number=&amp;sourceID=30","")</f>
        <v/>
      </c>
      <c r="W42" s="4" t="str">
        <f>HYPERLINK("http://141.218.60.56/~jnz1568/getInfo.php?workbook=07_01.xlsx&amp;sheet=A0&amp;row=42&amp;col=23&amp;number=&amp;sourceID=30","")</f>
        <v/>
      </c>
      <c r="X42" s="4" t="str">
        <f>HYPERLINK("http://141.218.60.56/~jnz1568/getInfo.php?workbook=07_01.xlsx&amp;sheet=A0&amp;row=42&amp;col=24&amp;number=&amp;sourceID=30","")</f>
        <v/>
      </c>
      <c r="Y42" s="4" t="str">
        <f>HYPERLINK("http://141.218.60.56/~jnz1568/getInfo.php?workbook=07_01.xlsx&amp;sheet=A0&amp;row=42&amp;col=25&amp;number==&amp;sourceID=13","=")</f>
        <v>=</v>
      </c>
      <c r="Z42" s="4" t="str">
        <f>HYPERLINK("http://141.218.60.56/~jnz1568/getInfo.php?workbook=07_01.xlsx&amp;sheet=A0&amp;row=42&amp;col=26&amp;number=7350000000&amp;sourceID=13","7350000000")</f>
        <v>7350000000</v>
      </c>
      <c r="AA42" s="4" t="str">
        <f>HYPERLINK("http://141.218.60.56/~jnz1568/getInfo.php?workbook=07_01.xlsx&amp;sheet=A0&amp;row=42&amp;col=27&amp;number=&amp;sourceID=13","")</f>
        <v/>
      </c>
      <c r="AB42" s="4" t="str">
        <f>HYPERLINK("http://141.218.60.56/~jnz1568/getInfo.php?workbook=07_01.xlsx&amp;sheet=A0&amp;row=42&amp;col=28&amp;number=&amp;sourceID=13","")</f>
        <v/>
      </c>
      <c r="AC42" s="4" t="str">
        <f>HYPERLINK("http://141.218.60.56/~jnz1568/getInfo.php?workbook=07_01.xlsx&amp;sheet=A0&amp;row=42&amp;col=29&amp;number=&amp;sourceID=13","")</f>
        <v/>
      </c>
      <c r="AD42" s="4" t="str">
        <f>HYPERLINK("http://141.218.60.56/~jnz1568/getInfo.php?workbook=07_01.xlsx&amp;sheet=A0&amp;row=42&amp;col=30&amp;number=&amp;sourceID=13","")</f>
        <v/>
      </c>
    </row>
    <row r="43" spans="1:30">
      <c r="A43" s="3">
        <v>7</v>
      </c>
      <c r="B43" s="3">
        <v>1</v>
      </c>
      <c r="C43" s="3">
        <v>10</v>
      </c>
      <c r="D43" s="3">
        <v>7</v>
      </c>
      <c r="E43" s="3">
        <f>((1/(INDEX(E0!J$4:J$28,C43,1)-INDEX(E0!J$4:J$28,D43,1))))*100000000</f>
        <v>0</v>
      </c>
      <c r="F43" s="4" t="str">
        <f>HYPERLINK("http://141.218.60.56/~jnz1568/getInfo.php?workbook=07_01.xlsx&amp;sheet=A0&amp;row=43&amp;col=6&amp;number==&amp;sourceID=11","=")</f>
        <v>=</v>
      </c>
      <c r="G43" s="4" t="str">
        <f>HYPERLINK("http://141.218.60.56/~jnz1568/getInfo.php?workbook=07_01.xlsx&amp;sheet=A0&amp;row=43&amp;col=7&amp;number=841530000&amp;sourceID=11","841530000")</f>
        <v>841530000</v>
      </c>
      <c r="H43" s="4" t="str">
        <f>HYPERLINK("http://141.218.60.56/~jnz1568/getInfo.php?workbook=07_01.xlsx&amp;sheet=A0&amp;row=43&amp;col=8&amp;number=&amp;sourceID=11","")</f>
        <v/>
      </c>
      <c r="I43" s="4" t="str">
        <f>HYPERLINK("http://141.218.60.56/~jnz1568/getInfo.php?workbook=07_01.xlsx&amp;sheet=A0&amp;row=43&amp;col=9&amp;number=&amp;sourceID=11","")</f>
        <v/>
      </c>
      <c r="J43" s="4" t="str">
        <f>HYPERLINK("http://141.218.60.56/~jnz1568/getInfo.php?workbook=07_01.xlsx&amp;sheet=A0&amp;row=43&amp;col=10&amp;number=&amp;sourceID=11","")</f>
        <v/>
      </c>
      <c r="K43" s="4" t="str">
        <f>HYPERLINK("http://141.218.60.56/~jnz1568/getInfo.php?workbook=07_01.xlsx&amp;sheet=A0&amp;row=43&amp;col=11&amp;number=0.025385&amp;sourceID=11","0.025385")</f>
        <v>0.025385</v>
      </c>
      <c r="L43" s="4" t="str">
        <f>HYPERLINK("http://141.218.60.56/~jnz1568/getInfo.php?workbook=07_01.xlsx&amp;sheet=A0&amp;row=43&amp;col=12&amp;number=&amp;sourceID=11","")</f>
        <v/>
      </c>
      <c r="M43" s="4" t="str">
        <f>HYPERLINK("http://141.218.60.56/~jnz1568/getInfo.php?workbook=07_01.xlsx&amp;sheet=A0&amp;row=43&amp;col=13&amp;number=841570000&amp;sourceID=12","841570000")</f>
        <v>841570000</v>
      </c>
      <c r="N43" s="4" t="str">
        <f>HYPERLINK("http://141.218.60.56/~jnz1568/getInfo.php?workbook=07_01.xlsx&amp;sheet=A0&amp;row=43&amp;col=14&amp;number=841570000&amp;sourceID=12","841570000")</f>
        <v>841570000</v>
      </c>
      <c r="O43" s="4" t="str">
        <f>HYPERLINK("http://141.218.60.56/~jnz1568/getInfo.php?workbook=07_01.xlsx&amp;sheet=A0&amp;row=43&amp;col=15&amp;number=&amp;sourceID=12","")</f>
        <v/>
      </c>
      <c r="P43" s="4" t="str">
        <f>HYPERLINK("http://141.218.60.56/~jnz1568/getInfo.php?workbook=07_01.xlsx&amp;sheet=A0&amp;row=43&amp;col=16&amp;number=&amp;sourceID=12","")</f>
        <v/>
      </c>
      <c r="Q43" s="4" t="str">
        <f>HYPERLINK("http://141.218.60.56/~jnz1568/getInfo.php?workbook=07_01.xlsx&amp;sheet=A0&amp;row=43&amp;col=17&amp;number=&amp;sourceID=12","")</f>
        <v/>
      </c>
      <c r="R43" s="4" t="str">
        <f>HYPERLINK("http://141.218.60.56/~jnz1568/getInfo.php?workbook=07_01.xlsx&amp;sheet=A0&amp;row=43&amp;col=18&amp;number=0.025386&amp;sourceID=12","0.025386")</f>
        <v>0.025386</v>
      </c>
      <c r="S43" s="4" t="str">
        <f>HYPERLINK("http://141.218.60.56/~jnz1568/getInfo.php?workbook=07_01.xlsx&amp;sheet=A0&amp;row=43&amp;col=19&amp;number=&amp;sourceID=12","")</f>
        <v/>
      </c>
      <c r="T43" s="4" t="str">
        <f>HYPERLINK("http://141.218.60.56/~jnz1568/getInfo.php?workbook=07_01.xlsx&amp;sheet=A0&amp;row=43&amp;col=20&amp;number==&amp;sourceID=30","=")</f>
        <v>=</v>
      </c>
      <c r="U43" s="4" t="str">
        <f>HYPERLINK("http://141.218.60.56/~jnz1568/getInfo.php?workbook=07_01.xlsx&amp;sheet=A0&amp;row=43&amp;col=21&amp;number=841600000&amp;sourceID=30","841600000")</f>
        <v>841600000</v>
      </c>
      <c r="V43" s="4" t="str">
        <f>HYPERLINK("http://141.218.60.56/~jnz1568/getInfo.php?workbook=07_01.xlsx&amp;sheet=A0&amp;row=43&amp;col=22&amp;number=&amp;sourceID=30","")</f>
        <v/>
      </c>
      <c r="W43" s="4" t="str">
        <f>HYPERLINK("http://141.218.60.56/~jnz1568/getInfo.php?workbook=07_01.xlsx&amp;sheet=A0&amp;row=43&amp;col=23&amp;number=&amp;sourceID=30","")</f>
        <v/>
      </c>
      <c r="X43" s="4" t="str">
        <f>HYPERLINK("http://141.218.60.56/~jnz1568/getInfo.php?workbook=07_01.xlsx&amp;sheet=A0&amp;row=43&amp;col=24&amp;number=0.02539&amp;sourceID=30","0.02539")</f>
        <v>0.02539</v>
      </c>
      <c r="Y43" s="4" t="str">
        <f>HYPERLINK("http://141.218.60.56/~jnz1568/getInfo.php?workbook=07_01.xlsx&amp;sheet=A0&amp;row=43&amp;col=25&amp;number==&amp;sourceID=13","=")</f>
        <v>=</v>
      </c>
      <c r="Z43" s="4" t="str">
        <f>HYPERLINK("http://141.218.60.56/~jnz1568/getInfo.php?workbook=07_01.xlsx&amp;sheet=A0&amp;row=43&amp;col=26&amp;number=836000000&amp;sourceID=13","836000000")</f>
        <v>836000000</v>
      </c>
      <c r="AA43" s="4" t="str">
        <f>HYPERLINK("http://141.218.60.56/~jnz1568/getInfo.php?workbook=07_01.xlsx&amp;sheet=A0&amp;row=43&amp;col=27&amp;number=&amp;sourceID=13","")</f>
        <v/>
      </c>
      <c r="AB43" s="4" t="str">
        <f>HYPERLINK("http://141.218.60.56/~jnz1568/getInfo.php?workbook=07_01.xlsx&amp;sheet=A0&amp;row=43&amp;col=28&amp;number=&amp;sourceID=13","")</f>
        <v/>
      </c>
      <c r="AC43" s="4" t="str">
        <f>HYPERLINK("http://141.218.60.56/~jnz1568/getInfo.php?workbook=07_01.xlsx&amp;sheet=A0&amp;row=43&amp;col=29&amp;number=&amp;sourceID=13","")</f>
        <v/>
      </c>
      <c r="AD43" s="4" t="str">
        <f>HYPERLINK("http://141.218.60.56/~jnz1568/getInfo.php?workbook=07_01.xlsx&amp;sheet=A0&amp;row=43&amp;col=30&amp;number=&amp;sourceID=13","")</f>
        <v/>
      </c>
    </row>
    <row r="44" spans="1:30">
      <c r="A44" s="3">
        <v>7</v>
      </c>
      <c r="B44" s="3">
        <v>1</v>
      </c>
      <c r="C44" s="3">
        <v>10</v>
      </c>
      <c r="D44" s="3">
        <v>8</v>
      </c>
      <c r="E44" s="3">
        <f>((1/(INDEX(E0!J$4:J$28,C44,1)-INDEX(E0!J$4:J$28,D44,1))))*100000000</f>
        <v>0</v>
      </c>
      <c r="F44" s="4" t="str">
        <f>HYPERLINK("http://141.218.60.56/~jnz1568/getInfo.php?workbook=07_01.xlsx&amp;sheet=A0&amp;row=44&amp;col=6&amp;number==&amp;sourceID=11","=")</f>
        <v>=</v>
      </c>
      <c r="G44" s="4" t="str">
        <f>HYPERLINK("http://141.218.60.56/~jnz1568/getInfo.php?workbook=07_01.xlsx&amp;sheet=A0&amp;row=44&amp;col=7&amp;number=&amp;sourceID=11","")</f>
        <v/>
      </c>
      <c r="H44" s="4" t="str">
        <f>HYPERLINK("http://141.218.60.56/~jnz1568/getInfo.php?workbook=07_01.xlsx&amp;sheet=A0&amp;row=44&amp;col=8&amp;number=300350&amp;sourceID=11","300350")</f>
        <v>300350</v>
      </c>
      <c r="I44" s="4" t="str">
        <f>HYPERLINK("http://141.218.60.56/~jnz1568/getInfo.php?workbook=07_01.xlsx&amp;sheet=A0&amp;row=44&amp;col=9&amp;number=&amp;sourceID=11","")</f>
        <v/>
      </c>
      <c r="J44" s="4" t="str">
        <f>HYPERLINK("http://141.218.60.56/~jnz1568/getInfo.php?workbook=07_01.xlsx&amp;sheet=A0&amp;row=44&amp;col=10&amp;number=0.15213&amp;sourceID=11","0.15213")</f>
        <v>0.15213</v>
      </c>
      <c r="K44" s="4" t="str">
        <f>HYPERLINK("http://141.218.60.56/~jnz1568/getInfo.php?workbook=07_01.xlsx&amp;sheet=A0&amp;row=44&amp;col=11&amp;number=&amp;sourceID=11","")</f>
        <v/>
      </c>
      <c r="L44" s="4" t="str">
        <f>HYPERLINK("http://141.218.60.56/~jnz1568/getInfo.php?workbook=07_01.xlsx&amp;sheet=A0&amp;row=44&amp;col=12&amp;number=&amp;sourceID=11","")</f>
        <v/>
      </c>
      <c r="M44" s="4" t="str">
        <f>HYPERLINK("http://141.218.60.56/~jnz1568/getInfo.php?workbook=07_01.xlsx&amp;sheet=A0&amp;row=44&amp;col=13&amp;number=300360&amp;sourceID=12","300360")</f>
        <v>300360</v>
      </c>
      <c r="N44" s="4" t="str">
        <f>HYPERLINK("http://141.218.60.56/~jnz1568/getInfo.php?workbook=07_01.xlsx&amp;sheet=A0&amp;row=44&amp;col=14&amp;number=&amp;sourceID=12","")</f>
        <v/>
      </c>
      <c r="O44" s="4" t="str">
        <f>HYPERLINK("http://141.218.60.56/~jnz1568/getInfo.php?workbook=07_01.xlsx&amp;sheet=A0&amp;row=44&amp;col=15&amp;number=300360&amp;sourceID=12","300360")</f>
        <v>300360</v>
      </c>
      <c r="P44" s="4" t="str">
        <f>HYPERLINK("http://141.218.60.56/~jnz1568/getInfo.php?workbook=07_01.xlsx&amp;sheet=A0&amp;row=44&amp;col=16&amp;number=&amp;sourceID=12","")</f>
        <v/>
      </c>
      <c r="Q44" s="4" t="str">
        <f>HYPERLINK("http://141.218.60.56/~jnz1568/getInfo.php?workbook=07_01.xlsx&amp;sheet=A0&amp;row=44&amp;col=17&amp;number=0.15214&amp;sourceID=12","0.15214")</f>
        <v>0.15214</v>
      </c>
      <c r="R44" s="4" t="str">
        <f>HYPERLINK("http://141.218.60.56/~jnz1568/getInfo.php?workbook=07_01.xlsx&amp;sheet=A0&amp;row=44&amp;col=18&amp;number=&amp;sourceID=12","")</f>
        <v/>
      </c>
      <c r="S44" s="4" t="str">
        <f>HYPERLINK("http://141.218.60.56/~jnz1568/getInfo.php?workbook=07_01.xlsx&amp;sheet=A0&amp;row=44&amp;col=19&amp;number=&amp;sourceID=12","")</f>
        <v/>
      </c>
      <c r="T44" s="4" t="str">
        <f>HYPERLINK("http://141.218.60.56/~jnz1568/getInfo.php?workbook=07_01.xlsx&amp;sheet=A0&amp;row=44&amp;col=20&amp;number==&amp;sourceID=30","=")</f>
        <v>=</v>
      </c>
      <c r="U44" s="4" t="str">
        <f>HYPERLINK("http://141.218.60.56/~jnz1568/getInfo.php?workbook=07_01.xlsx&amp;sheet=A0&amp;row=44&amp;col=21&amp;number=&amp;sourceID=30","")</f>
        <v/>
      </c>
      <c r="V44" s="4" t="str">
        <f>HYPERLINK("http://141.218.60.56/~jnz1568/getInfo.php?workbook=07_01.xlsx&amp;sheet=A0&amp;row=44&amp;col=22&amp;number=300400&amp;sourceID=30","300400")</f>
        <v>300400</v>
      </c>
      <c r="W44" s="4" t="str">
        <f>HYPERLINK("http://141.218.60.56/~jnz1568/getInfo.php?workbook=07_01.xlsx&amp;sheet=A0&amp;row=44&amp;col=23&amp;number=0.1521&amp;sourceID=30","0.1521")</f>
        <v>0.1521</v>
      </c>
      <c r="X44" s="4" t="str">
        <f>HYPERLINK("http://141.218.60.56/~jnz1568/getInfo.php?workbook=07_01.xlsx&amp;sheet=A0&amp;row=44&amp;col=24&amp;number=&amp;sourceID=30","")</f>
        <v/>
      </c>
      <c r="Y44" s="4" t="str">
        <f>HYPERLINK("http://141.218.60.56/~jnz1568/getInfo.php?workbook=07_01.xlsx&amp;sheet=A0&amp;row=44&amp;col=25&amp;number==&amp;sourceID=13","=")</f>
        <v>=</v>
      </c>
      <c r="Z44" s="4" t="str">
        <f>HYPERLINK("http://141.218.60.56/~jnz1568/getInfo.php?workbook=07_01.xlsx&amp;sheet=A0&amp;row=44&amp;col=26&amp;number=&amp;sourceID=13","")</f>
        <v/>
      </c>
      <c r="AA44" s="4" t="str">
        <f>HYPERLINK("http://141.218.60.56/~jnz1568/getInfo.php?workbook=07_01.xlsx&amp;sheet=A0&amp;row=44&amp;col=27&amp;number=300000&amp;sourceID=13","300000")</f>
        <v>300000</v>
      </c>
      <c r="AB44" s="4" t="str">
        <f>HYPERLINK("http://141.218.60.56/~jnz1568/getInfo.php?workbook=07_01.xlsx&amp;sheet=A0&amp;row=44&amp;col=28&amp;number=&amp;sourceID=13","")</f>
        <v/>
      </c>
      <c r="AC44" s="4" t="str">
        <f>HYPERLINK("http://141.218.60.56/~jnz1568/getInfo.php?workbook=07_01.xlsx&amp;sheet=A0&amp;row=44&amp;col=29&amp;number=0.157&amp;sourceID=13","0.157")</f>
        <v>0.157</v>
      </c>
      <c r="AD44" s="4" t="str">
        <f>HYPERLINK("http://141.218.60.56/~jnz1568/getInfo.php?workbook=07_01.xlsx&amp;sheet=A0&amp;row=44&amp;col=30&amp;number=&amp;sourceID=13","")</f>
        <v/>
      </c>
    </row>
    <row r="45" spans="1:30">
      <c r="A45" s="3">
        <v>7</v>
      </c>
      <c r="B45" s="3">
        <v>1</v>
      </c>
      <c r="C45" s="3">
        <v>10</v>
      </c>
      <c r="D45" s="3">
        <v>9</v>
      </c>
      <c r="E45" s="3">
        <f>((1/(INDEX(E0!J$4:J$28,C45,1)-INDEX(E0!J$4:J$28,D45,1))))*100000000</f>
        <v>0</v>
      </c>
      <c r="F45" s="4" t="str">
        <f>HYPERLINK("http://141.218.60.56/~jnz1568/getInfo.php?workbook=07_01.xlsx&amp;sheet=A0&amp;row=45&amp;col=6&amp;number==&amp;sourceID=11","=")</f>
        <v>=</v>
      </c>
      <c r="G45" s="4" t="str">
        <f>HYPERLINK("http://141.218.60.56/~jnz1568/getInfo.php?workbook=07_01.xlsx&amp;sheet=A0&amp;row=45&amp;col=7&amp;number=&amp;sourceID=11","")</f>
        <v/>
      </c>
      <c r="H45" s="4" t="str">
        <f>HYPERLINK("http://141.218.60.56/~jnz1568/getInfo.php?workbook=07_01.xlsx&amp;sheet=A0&amp;row=45&amp;col=8&amp;number=&amp;sourceID=11","")</f>
        <v/>
      </c>
      <c r="I45" s="4" t="str">
        <f>HYPERLINK("http://141.218.60.56/~jnz1568/getInfo.php?workbook=07_01.xlsx&amp;sheet=A0&amp;row=45&amp;col=9&amp;number=2.703&amp;sourceID=11","2.703")</f>
        <v>2.703</v>
      </c>
      <c r="J45" s="4" t="str">
        <f>HYPERLINK("http://141.218.60.56/~jnz1568/getInfo.php?workbook=07_01.xlsx&amp;sheet=A0&amp;row=45&amp;col=10&amp;number=&amp;sourceID=11","")</f>
        <v/>
      </c>
      <c r="K45" s="4" t="str">
        <f>HYPERLINK("http://141.218.60.56/~jnz1568/getInfo.php?workbook=07_01.xlsx&amp;sheet=A0&amp;row=45&amp;col=11&amp;number=0.27119&amp;sourceID=11","0.27119")</f>
        <v>0.27119</v>
      </c>
      <c r="L45" s="4" t="str">
        <f>HYPERLINK("http://141.218.60.56/~jnz1568/getInfo.php?workbook=07_01.xlsx&amp;sheet=A0&amp;row=45&amp;col=12&amp;number=&amp;sourceID=11","")</f>
        <v/>
      </c>
      <c r="M45" s="4" t="str">
        <f>HYPERLINK("http://141.218.60.56/~jnz1568/getInfo.php?workbook=07_01.xlsx&amp;sheet=A0&amp;row=45&amp;col=13&amp;number=2.9743&amp;sourceID=12","2.9743")</f>
        <v>2.9743</v>
      </c>
      <c r="N45" s="4" t="str">
        <f>HYPERLINK("http://141.218.60.56/~jnz1568/getInfo.php?workbook=07_01.xlsx&amp;sheet=A0&amp;row=45&amp;col=14&amp;number=&amp;sourceID=12","")</f>
        <v/>
      </c>
      <c r="O45" s="4" t="str">
        <f>HYPERLINK("http://141.218.60.56/~jnz1568/getInfo.php?workbook=07_01.xlsx&amp;sheet=A0&amp;row=45&amp;col=15&amp;number=&amp;sourceID=12","")</f>
        <v/>
      </c>
      <c r="P45" s="4" t="str">
        <f>HYPERLINK("http://141.218.60.56/~jnz1568/getInfo.php?workbook=07_01.xlsx&amp;sheet=A0&amp;row=45&amp;col=16&amp;number=2.7031&amp;sourceID=12","2.7031")</f>
        <v>2.7031</v>
      </c>
      <c r="Q45" s="4" t="str">
        <f>HYPERLINK("http://141.218.60.56/~jnz1568/getInfo.php?workbook=07_01.xlsx&amp;sheet=A0&amp;row=45&amp;col=17&amp;number=&amp;sourceID=12","")</f>
        <v/>
      </c>
      <c r="R45" s="4" t="str">
        <f>HYPERLINK("http://141.218.60.56/~jnz1568/getInfo.php?workbook=07_01.xlsx&amp;sheet=A0&amp;row=45&amp;col=18&amp;number=0.2712&amp;sourceID=12","0.2712")</f>
        <v>0.2712</v>
      </c>
      <c r="S45" s="4" t="str">
        <f>HYPERLINK("http://141.218.60.56/~jnz1568/getInfo.php?workbook=07_01.xlsx&amp;sheet=A0&amp;row=45&amp;col=19&amp;number=&amp;sourceID=12","")</f>
        <v/>
      </c>
      <c r="T45" s="4" t="str">
        <f>HYPERLINK("http://141.218.60.56/~jnz1568/getInfo.php?workbook=07_01.xlsx&amp;sheet=A0&amp;row=45&amp;col=20&amp;number==&amp;sourceID=30","=")</f>
        <v>=</v>
      </c>
      <c r="U45" s="4" t="str">
        <f>HYPERLINK("http://141.218.60.56/~jnz1568/getInfo.php?workbook=07_01.xlsx&amp;sheet=A0&amp;row=45&amp;col=21&amp;number=&amp;sourceID=30","")</f>
        <v/>
      </c>
      <c r="V45" s="4" t="str">
        <f>HYPERLINK("http://141.218.60.56/~jnz1568/getInfo.php?workbook=07_01.xlsx&amp;sheet=A0&amp;row=45&amp;col=22&amp;number=&amp;sourceID=30","")</f>
        <v/>
      </c>
      <c r="W45" s="4" t="str">
        <f>HYPERLINK("http://141.218.60.56/~jnz1568/getInfo.php?workbook=07_01.xlsx&amp;sheet=A0&amp;row=45&amp;col=23&amp;number=&amp;sourceID=30","")</f>
        <v/>
      </c>
      <c r="X45" s="4" t="str">
        <f>HYPERLINK("http://141.218.60.56/~jnz1568/getInfo.php?workbook=07_01.xlsx&amp;sheet=A0&amp;row=45&amp;col=24&amp;number=0.2712&amp;sourceID=30","0.2712")</f>
        <v>0.2712</v>
      </c>
      <c r="Y45" s="4" t="str">
        <f>HYPERLINK("http://141.218.60.56/~jnz1568/getInfo.php?workbook=07_01.xlsx&amp;sheet=A0&amp;row=45&amp;col=25&amp;number==&amp;sourceID=13","=")</f>
        <v>=</v>
      </c>
      <c r="Z45" s="4" t="str">
        <f>HYPERLINK("http://141.218.60.56/~jnz1568/getInfo.php?workbook=07_01.xlsx&amp;sheet=A0&amp;row=45&amp;col=26&amp;number=&amp;sourceID=13","")</f>
        <v/>
      </c>
      <c r="AA45" s="4" t="str">
        <f>HYPERLINK("http://141.218.60.56/~jnz1568/getInfo.php?workbook=07_01.xlsx&amp;sheet=A0&amp;row=45&amp;col=27&amp;number=&amp;sourceID=13","")</f>
        <v/>
      </c>
      <c r="AB45" s="4" t="str">
        <f>HYPERLINK("http://141.218.60.56/~jnz1568/getInfo.php?workbook=07_01.xlsx&amp;sheet=A0&amp;row=45&amp;col=28&amp;number=4.2&amp;sourceID=13","4.2")</f>
        <v>4.2</v>
      </c>
      <c r="AC45" s="4" t="str">
        <f>HYPERLINK("http://141.218.60.56/~jnz1568/getInfo.php?workbook=07_01.xlsx&amp;sheet=A0&amp;row=45&amp;col=29&amp;number=&amp;sourceID=13","")</f>
        <v/>
      </c>
      <c r="AD45" s="4" t="str">
        <f>HYPERLINK("http://141.218.60.56/~jnz1568/getInfo.php?workbook=07_01.xlsx&amp;sheet=A0&amp;row=45&amp;col=30&amp;number=1.08&amp;sourceID=13","1.08")</f>
        <v>1.08</v>
      </c>
    </row>
    <row r="46" spans="1:30">
      <c r="A46" s="3">
        <v>7</v>
      </c>
      <c r="B46" s="3">
        <v>1</v>
      </c>
      <c r="C46" s="3">
        <v>11</v>
      </c>
      <c r="D46" s="3">
        <v>1</v>
      </c>
      <c r="E46" s="3">
        <f>((1/(INDEX(E0!J$4:J$28,C46,1)-INDEX(E0!J$4:J$28,D46,1))))*100000000</f>
        <v>0</v>
      </c>
      <c r="F46" s="4" t="str">
        <f>HYPERLINK("http://141.218.60.56/~jnz1568/getInfo.php?workbook=07_01.xlsx&amp;sheet=A0&amp;row=46&amp;col=6&amp;number==&amp;sourceID=11","=")</f>
        <v>=</v>
      </c>
      <c r="G46" s="4" t="str">
        <f>HYPERLINK("http://141.218.60.56/~jnz1568/getInfo.php?workbook=07_01.xlsx&amp;sheet=A0&amp;row=46&amp;col=7&amp;number=&amp;sourceID=11","")</f>
        <v/>
      </c>
      <c r="H46" s="4" t="str">
        <f>HYPERLINK("http://141.218.60.56/~jnz1568/getInfo.php?workbook=07_01.xlsx&amp;sheet=A0&amp;row=46&amp;col=8&amp;number=&amp;sourceID=11","")</f>
        <v/>
      </c>
      <c r="I46" s="4" t="str">
        <f>HYPERLINK("http://141.218.60.56/~jnz1568/getInfo.php?workbook=07_01.xlsx&amp;sheet=A0&amp;row=46&amp;col=9&amp;number=&amp;sourceID=11","")</f>
        <v/>
      </c>
      <c r="J46" s="4" t="str">
        <f>HYPERLINK("http://141.218.60.56/~jnz1568/getInfo.php?workbook=07_01.xlsx&amp;sheet=A0&amp;row=46&amp;col=10&amp;number=150.2&amp;sourceID=11","150.2")</f>
        <v>150.2</v>
      </c>
      <c r="K46" s="4" t="str">
        <f>HYPERLINK("http://141.218.60.56/~jnz1568/getInfo.php?workbook=07_01.xlsx&amp;sheet=A0&amp;row=46&amp;col=11&amp;number=&amp;sourceID=11","")</f>
        <v/>
      </c>
      <c r="L46" s="4" t="str">
        <f>HYPERLINK("http://141.218.60.56/~jnz1568/getInfo.php?workbook=07_01.xlsx&amp;sheet=A0&amp;row=46&amp;col=12&amp;number=&amp;sourceID=11","")</f>
        <v/>
      </c>
      <c r="M46" s="4" t="str">
        <f>HYPERLINK("http://141.218.60.56/~jnz1568/getInfo.php?workbook=07_01.xlsx&amp;sheet=A0&amp;row=46&amp;col=13&amp;number=150.18&amp;sourceID=12","150.18")</f>
        <v>150.18</v>
      </c>
      <c r="N46" s="4" t="str">
        <f>HYPERLINK("http://141.218.60.56/~jnz1568/getInfo.php?workbook=07_01.xlsx&amp;sheet=A0&amp;row=46&amp;col=14&amp;number=&amp;sourceID=12","")</f>
        <v/>
      </c>
      <c r="O46" s="4" t="str">
        <f>HYPERLINK("http://141.218.60.56/~jnz1568/getInfo.php?workbook=07_01.xlsx&amp;sheet=A0&amp;row=46&amp;col=15&amp;number=&amp;sourceID=12","")</f>
        <v/>
      </c>
      <c r="P46" s="4" t="str">
        <f>HYPERLINK("http://141.218.60.56/~jnz1568/getInfo.php?workbook=07_01.xlsx&amp;sheet=A0&amp;row=46&amp;col=16&amp;number=&amp;sourceID=12","")</f>
        <v/>
      </c>
      <c r="Q46" s="4" t="str">
        <f>HYPERLINK("http://141.218.60.56/~jnz1568/getInfo.php?workbook=07_01.xlsx&amp;sheet=A0&amp;row=46&amp;col=17&amp;number=150.18&amp;sourceID=12","150.18")</f>
        <v>150.18</v>
      </c>
      <c r="R46" s="4" t="str">
        <f>HYPERLINK("http://141.218.60.56/~jnz1568/getInfo.php?workbook=07_01.xlsx&amp;sheet=A0&amp;row=46&amp;col=18&amp;number=&amp;sourceID=12","")</f>
        <v/>
      </c>
      <c r="S46" s="4" t="str">
        <f>HYPERLINK("http://141.218.60.56/~jnz1568/getInfo.php?workbook=07_01.xlsx&amp;sheet=A0&amp;row=46&amp;col=19&amp;number=&amp;sourceID=12","")</f>
        <v/>
      </c>
      <c r="T46" s="4" t="str">
        <f>HYPERLINK("http://141.218.60.56/~jnz1568/getInfo.php?workbook=07_01.xlsx&amp;sheet=A0&amp;row=46&amp;col=20&amp;number==&amp;sourceID=30","=")</f>
        <v>=</v>
      </c>
      <c r="U46" s="4" t="str">
        <f>HYPERLINK("http://141.218.60.56/~jnz1568/getInfo.php?workbook=07_01.xlsx&amp;sheet=A0&amp;row=46&amp;col=21&amp;number=&amp;sourceID=30","")</f>
        <v/>
      </c>
      <c r="V46" s="4" t="str">
        <f>HYPERLINK("http://141.218.60.56/~jnz1568/getInfo.php?workbook=07_01.xlsx&amp;sheet=A0&amp;row=46&amp;col=22&amp;number=&amp;sourceID=30","")</f>
        <v/>
      </c>
      <c r="W46" s="4" t="str">
        <f>HYPERLINK("http://141.218.60.56/~jnz1568/getInfo.php?workbook=07_01.xlsx&amp;sheet=A0&amp;row=46&amp;col=23&amp;number=150.2&amp;sourceID=30","150.2")</f>
        <v>150.2</v>
      </c>
      <c r="X46" s="4" t="str">
        <f>HYPERLINK("http://141.218.60.56/~jnz1568/getInfo.php?workbook=07_01.xlsx&amp;sheet=A0&amp;row=46&amp;col=24&amp;number=&amp;sourceID=30","")</f>
        <v/>
      </c>
      <c r="Y46" s="4" t="str">
        <f>HYPERLINK("http://141.218.60.56/~jnz1568/getInfo.php?workbook=07_01.xlsx&amp;sheet=A0&amp;row=46&amp;col=25&amp;number==&amp;sourceID=13","=")</f>
        <v>=</v>
      </c>
      <c r="Z46" s="4" t="str">
        <f>HYPERLINK("http://141.218.60.56/~jnz1568/getInfo.php?workbook=07_01.xlsx&amp;sheet=A0&amp;row=46&amp;col=26&amp;number=&amp;sourceID=13","")</f>
        <v/>
      </c>
      <c r="AA46" s="4" t="str">
        <f>HYPERLINK("http://141.218.60.56/~jnz1568/getInfo.php?workbook=07_01.xlsx&amp;sheet=A0&amp;row=46&amp;col=27&amp;number=&amp;sourceID=13","")</f>
        <v/>
      </c>
      <c r="AB46" s="4" t="str">
        <f>HYPERLINK("http://141.218.60.56/~jnz1568/getInfo.php?workbook=07_01.xlsx&amp;sheet=A0&amp;row=46&amp;col=28&amp;number=&amp;sourceID=13","")</f>
        <v/>
      </c>
      <c r="AC46" s="4" t="str">
        <f>HYPERLINK("http://141.218.60.56/~jnz1568/getInfo.php?workbook=07_01.xlsx&amp;sheet=A0&amp;row=46&amp;col=29&amp;number=165&amp;sourceID=13","165")</f>
        <v>165</v>
      </c>
      <c r="AD46" s="4" t="str">
        <f>HYPERLINK("http://141.218.60.56/~jnz1568/getInfo.php?workbook=07_01.xlsx&amp;sheet=A0&amp;row=46&amp;col=30&amp;number=&amp;sourceID=13","")</f>
        <v/>
      </c>
    </row>
    <row r="47" spans="1:30">
      <c r="A47" s="3">
        <v>7</v>
      </c>
      <c r="B47" s="3">
        <v>1</v>
      </c>
      <c r="C47" s="3">
        <v>11</v>
      </c>
      <c r="D47" s="3">
        <v>2</v>
      </c>
      <c r="E47" s="3">
        <f>((1/(INDEX(E0!J$4:J$28,C47,1)-INDEX(E0!J$4:J$28,D47,1))))*100000000</f>
        <v>0</v>
      </c>
      <c r="F47" s="4" t="str">
        <f>HYPERLINK("http://141.218.60.56/~jnz1568/getInfo.php?workbook=07_01.xlsx&amp;sheet=A0&amp;row=47&amp;col=6&amp;number==&amp;sourceID=11","=")</f>
        <v>=</v>
      </c>
      <c r="G47" s="4" t="str">
        <f>HYPERLINK("http://141.218.60.56/~jnz1568/getInfo.php?workbook=07_01.xlsx&amp;sheet=A0&amp;row=47&amp;col=7&amp;number=2067700000&amp;sourceID=11","2067700000")</f>
        <v>2067700000</v>
      </c>
      <c r="H47" s="4" t="str">
        <f>HYPERLINK("http://141.218.60.56/~jnz1568/getInfo.php?workbook=07_01.xlsx&amp;sheet=A0&amp;row=47&amp;col=8&amp;number=&amp;sourceID=11","")</f>
        <v/>
      </c>
      <c r="I47" s="4" t="str">
        <f>HYPERLINK("http://141.218.60.56/~jnz1568/getInfo.php?workbook=07_01.xlsx&amp;sheet=A0&amp;row=47&amp;col=9&amp;number=&amp;sourceID=11","")</f>
        <v/>
      </c>
      <c r="J47" s="4" t="str">
        <f>HYPERLINK("http://141.218.60.56/~jnz1568/getInfo.php?workbook=07_01.xlsx&amp;sheet=A0&amp;row=47&amp;col=10&amp;number=&amp;sourceID=11","")</f>
        <v/>
      </c>
      <c r="K47" s="4" t="str">
        <f>HYPERLINK("http://141.218.60.56/~jnz1568/getInfo.php?workbook=07_01.xlsx&amp;sheet=A0&amp;row=47&amp;col=11&amp;number=&amp;sourceID=11","")</f>
        <v/>
      </c>
      <c r="L47" s="4" t="str">
        <f>HYPERLINK("http://141.218.60.56/~jnz1568/getInfo.php?workbook=07_01.xlsx&amp;sheet=A0&amp;row=47&amp;col=12&amp;number=&amp;sourceID=11","")</f>
        <v/>
      </c>
      <c r="M47" s="4" t="str">
        <f>HYPERLINK("http://141.218.60.56/~jnz1568/getInfo.php?workbook=07_01.xlsx&amp;sheet=A0&amp;row=47&amp;col=13&amp;number=2067800000&amp;sourceID=12","2067800000")</f>
        <v>2067800000</v>
      </c>
      <c r="N47" s="4" t="str">
        <f>HYPERLINK("http://141.218.60.56/~jnz1568/getInfo.php?workbook=07_01.xlsx&amp;sheet=A0&amp;row=47&amp;col=14&amp;number=2067800000&amp;sourceID=12","2067800000")</f>
        <v>2067800000</v>
      </c>
      <c r="O47" s="4" t="str">
        <f>HYPERLINK("http://141.218.60.56/~jnz1568/getInfo.php?workbook=07_01.xlsx&amp;sheet=A0&amp;row=47&amp;col=15&amp;number=&amp;sourceID=12","")</f>
        <v/>
      </c>
      <c r="P47" s="4" t="str">
        <f>HYPERLINK("http://141.218.60.56/~jnz1568/getInfo.php?workbook=07_01.xlsx&amp;sheet=A0&amp;row=47&amp;col=16&amp;number=&amp;sourceID=12","")</f>
        <v/>
      </c>
      <c r="Q47" s="4" t="str">
        <f>HYPERLINK("http://141.218.60.56/~jnz1568/getInfo.php?workbook=07_01.xlsx&amp;sheet=A0&amp;row=47&amp;col=17&amp;number=&amp;sourceID=12","")</f>
        <v/>
      </c>
      <c r="R47" s="4" t="str">
        <f>HYPERLINK("http://141.218.60.56/~jnz1568/getInfo.php?workbook=07_01.xlsx&amp;sheet=A0&amp;row=47&amp;col=18&amp;number=&amp;sourceID=12","")</f>
        <v/>
      </c>
      <c r="S47" s="4" t="str">
        <f>HYPERLINK("http://141.218.60.56/~jnz1568/getInfo.php?workbook=07_01.xlsx&amp;sheet=A0&amp;row=47&amp;col=19&amp;number=&amp;sourceID=12","")</f>
        <v/>
      </c>
      <c r="T47" s="4" t="str">
        <f>HYPERLINK("http://141.218.60.56/~jnz1568/getInfo.php?workbook=07_01.xlsx&amp;sheet=A0&amp;row=47&amp;col=20&amp;number==&amp;sourceID=30","=")</f>
        <v>=</v>
      </c>
      <c r="U47" s="4" t="str">
        <f>HYPERLINK("http://141.218.60.56/~jnz1568/getInfo.php?workbook=07_01.xlsx&amp;sheet=A0&amp;row=47&amp;col=21&amp;number=2068000000&amp;sourceID=30","2068000000")</f>
        <v>2068000000</v>
      </c>
      <c r="V47" s="4" t="str">
        <f>HYPERLINK("http://141.218.60.56/~jnz1568/getInfo.php?workbook=07_01.xlsx&amp;sheet=A0&amp;row=47&amp;col=22&amp;number=&amp;sourceID=30","")</f>
        <v/>
      </c>
      <c r="W47" s="4" t="str">
        <f>HYPERLINK("http://141.218.60.56/~jnz1568/getInfo.php?workbook=07_01.xlsx&amp;sheet=A0&amp;row=47&amp;col=23&amp;number=&amp;sourceID=30","")</f>
        <v/>
      </c>
      <c r="X47" s="4" t="str">
        <f>HYPERLINK("http://141.218.60.56/~jnz1568/getInfo.php?workbook=07_01.xlsx&amp;sheet=A0&amp;row=47&amp;col=24&amp;number=&amp;sourceID=30","")</f>
        <v/>
      </c>
      <c r="Y47" s="4" t="str">
        <f>HYPERLINK("http://141.218.60.56/~jnz1568/getInfo.php?workbook=07_01.xlsx&amp;sheet=A0&amp;row=47&amp;col=25&amp;number==&amp;sourceID=13","=")</f>
        <v>=</v>
      </c>
      <c r="Z47" s="4" t="str">
        <f>HYPERLINK("http://141.218.60.56/~jnz1568/getInfo.php?workbook=07_01.xlsx&amp;sheet=A0&amp;row=47&amp;col=26&amp;number=2000000000&amp;sourceID=13","2000000000")</f>
        <v>2000000000</v>
      </c>
      <c r="AA47" s="4" t="str">
        <f>HYPERLINK("http://141.218.60.56/~jnz1568/getInfo.php?workbook=07_01.xlsx&amp;sheet=A0&amp;row=47&amp;col=27&amp;number=&amp;sourceID=13","")</f>
        <v/>
      </c>
      <c r="AB47" s="4" t="str">
        <f>HYPERLINK("http://141.218.60.56/~jnz1568/getInfo.php?workbook=07_01.xlsx&amp;sheet=A0&amp;row=47&amp;col=28&amp;number=&amp;sourceID=13","")</f>
        <v/>
      </c>
      <c r="AC47" s="4" t="str">
        <f>HYPERLINK("http://141.218.60.56/~jnz1568/getInfo.php?workbook=07_01.xlsx&amp;sheet=A0&amp;row=47&amp;col=29&amp;number=&amp;sourceID=13","")</f>
        <v/>
      </c>
      <c r="AD47" s="4" t="str">
        <f>HYPERLINK("http://141.218.60.56/~jnz1568/getInfo.php?workbook=07_01.xlsx&amp;sheet=A0&amp;row=47&amp;col=30&amp;number=&amp;sourceID=13","")</f>
        <v/>
      </c>
    </row>
    <row r="48" spans="1:30">
      <c r="A48" s="3">
        <v>7</v>
      </c>
      <c r="B48" s="3">
        <v>1</v>
      </c>
      <c r="C48" s="3">
        <v>11</v>
      </c>
      <c r="D48" s="3">
        <v>3</v>
      </c>
      <c r="E48" s="3">
        <f>((1/(INDEX(E0!J$4:J$28,C48,1)-INDEX(E0!J$4:J$28,D48,1))))*100000000</f>
        <v>0</v>
      </c>
      <c r="F48" s="4" t="str">
        <f>HYPERLINK("http://141.218.60.56/~jnz1568/getInfo.php?workbook=07_01.xlsx&amp;sheet=A0&amp;row=48&amp;col=6&amp;number==&amp;sourceID=11","=")</f>
        <v>=</v>
      </c>
      <c r="G48" s="4" t="str">
        <f>HYPERLINK("http://141.218.60.56/~jnz1568/getInfo.php?workbook=07_01.xlsx&amp;sheet=A0&amp;row=48&amp;col=7&amp;number=&amp;sourceID=11","")</f>
        <v/>
      </c>
      <c r="H48" s="4" t="str">
        <f>HYPERLINK("http://141.218.60.56/~jnz1568/getInfo.php?workbook=07_01.xlsx&amp;sheet=A0&amp;row=48&amp;col=8&amp;number=&amp;sourceID=11","")</f>
        <v/>
      </c>
      <c r="I48" s="4" t="str">
        <f>HYPERLINK("http://141.218.60.56/~jnz1568/getInfo.php?workbook=07_01.xlsx&amp;sheet=A0&amp;row=48&amp;col=9&amp;number=&amp;sourceID=11","")</f>
        <v/>
      </c>
      <c r="J48" s="4" t="str">
        <f>HYPERLINK("http://141.218.60.56/~jnz1568/getInfo.php?workbook=07_01.xlsx&amp;sheet=A0&amp;row=48&amp;col=10&amp;number=0.45882&amp;sourceID=11","0.45882")</f>
        <v>0.45882</v>
      </c>
      <c r="K48" s="4" t="str">
        <f>HYPERLINK("http://141.218.60.56/~jnz1568/getInfo.php?workbook=07_01.xlsx&amp;sheet=A0&amp;row=48&amp;col=11&amp;number=&amp;sourceID=11","")</f>
        <v/>
      </c>
      <c r="L48" s="4" t="str">
        <f>HYPERLINK("http://141.218.60.56/~jnz1568/getInfo.php?workbook=07_01.xlsx&amp;sheet=A0&amp;row=48&amp;col=12&amp;number=&amp;sourceID=11","")</f>
        <v/>
      </c>
      <c r="M48" s="4" t="str">
        <f>HYPERLINK("http://141.218.60.56/~jnz1568/getInfo.php?workbook=07_01.xlsx&amp;sheet=A0&amp;row=48&amp;col=13&amp;number=0.45886&amp;sourceID=12","0.45886")</f>
        <v>0.45886</v>
      </c>
      <c r="N48" s="4" t="str">
        <f>HYPERLINK("http://141.218.60.56/~jnz1568/getInfo.php?workbook=07_01.xlsx&amp;sheet=A0&amp;row=48&amp;col=14&amp;number=&amp;sourceID=12","")</f>
        <v/>
      </c>
      <c r="O48" s="4" t="str">
        <f>HYPERLINK("http://141.218.60.56/~jnz1568/getInfo.php?workbook=07_01.xlsx&amp;sheet=A0&amp;row=48&amp;col=15&amp;number=&amp;sourceID=12","")</f>
        <v/>
      </c>
      <c r="P48" s="4" t="str">
        <f>HYPERLINK("http://141.218.60.56/~jnz1568/getInfo.php?workbook=07_01.xlsx&amp;sheet=A0&amp;row=48&amp;col=16&amp;number=&amp;sourceID=12","")</f>
        <v/>
      </c>
      <c r="Q48" s="4" t="str">
        <f>HYPERLINK("http://141.218.60.56/~jnz1568/getInfo.php?workbook=07_01.xlsx&amp;sheet=A0&amp;row=48&amp;col=17&amp;number=0.45886&amp;sourceID=12","0.45886")</f>
        <v>0.45886</v>
      </c>
      <c r="R48" s="4" t="str">
        <f>HYPERLINK("http://141.218.60.56/~jnz1568/getInfo.php?workbook=07_01.xlsx&amp;sheet=A0&amp;row=48&amp;col=18&amp;number=&amp;sourceID=12","")</f>
        <v/>
      </c>
      <c r="S48" s="4" t="str">
        <f>HYPERLINK("http://141.218.60.56/~jnz1568/getInfo.php?workbook=07_01.xlsx&amp;sheet=A0&amp;row=48&amp;col=19&amp;number=&amp;sourceID=12","")</f>
        <v/>
      </c>
      <c r="T48" s="4" t="str">
        <f>HYPERLINK("http://141.218.60.56/~jnz1568/getInfo.php?workbook=07_01.xlsx&amp;sheet=A0&amp;row=48&amp;col=20&amp;number==&amp;sourceID=30","=")</f>
        <v>=</v>
      </c>
      <c r="U48" s="4" t="str">
        <f>HYPERLINK("http://141.218.60.56/~jnz1568/getInfo.php?workbook=07_01.xlsx&amp;sheet=A0&amp;row=48&amp;col=21&amp;number=&amp;sourceID=30","")</f>
        <v/>
      </c>
      <c r="V48" s="4" t="str">
        <f>HYPERLINK("http://141.218.60.56/~jnz1568/getInfo.php?workbook=07_01.xlsx&amp;sheet=A0&amp;row=48&amp;col=22&amp;number=&amp;sourceID=30","")</f>
        <v/>
      </c>
      <c r="W48" s="4" t="str">
        <f>HYPERLINK("http://141.218.60.56/~jnz1568/getInfo.php?workbook=07_01.xlsx&amp;sheet=A0&amp;row=48&amp;col=23&amp;number=0.4587&amp;sourceID=30","0.4587")</f>
        <v>0.4587</v>
      </c>
      <c r="X48" s="4" t="str">
        <f>HYPERLINK("http://141.218.60.56/~jnz1568/getInfo.php?workbook=07_01.xlsx&amp;sheet=A0&amp;row=48&amp;col=24&amp;number=&amp;sourceID=30","")</f>
        <v/>
      </c>
      <c r="Y48" s="4" t="str">
        <f>HYPERLINK("http://141.218.60.56/~jnz1568/getInfo.php?workbook=07_01.xlsx&amp;sheet=A0&amp;row=48&amp;col=25&amp;number==&amp;sourceID=13","=")</f>
        <v>=</v>
      </c>
      <c r="Z48" s="4" t="str">
        <f>HYPERLINK("http://141.218.60.56/~jnz1568/getInfo.php?workbook=07_01.xlsx&amp;sheet=A0&amp;row=48&amp;col=26&amp;number=&amp;sourceID=13","")</f>
        <v/>
      </c>
      <c r="AA48" s="4" t="str">
        <f>HYPERLINK("http://141.218.60.56/~jnz1568/getInfo.php?workbook=07_01.xlsx&amp;sheet=A0&amp;row=48&amp;col=27&amp;number=&amp;sourceID=13","")</f>
        <v/>
      </c>
      <c r="AB48" s="4" t="str">
        <f>HYPERLINK("http://141.218.60.56/~jnz1568/getInfo.php?workbook=07_01.xlsx&amp;sheet=A0&amp;row=48&amp;col=28&amp;number=&amp;sourceID=13","")</f>
        <v/>
      </c>
      <c r="AC48" s="4" t="str">
        <f>HYPERLINK("http://141.218.60.56/~jnz1568/getInfo.php?workbook=07_01.xlsx&amp;sheet=A0&amp;row=48&amp;col=29&amp;number=0.462&amp;sourceID=13","0.462")</f>
        <v>0.462</v>
      </c>
      <c r="AD48" s="4" t="str">
        <f>HYPERLINK("http://141.218.60.56/~jnz1568/getInfo.php?workbook=07_01.xlsx&amp;sheet=A0&amp;row=48&amp;col=30&amp;number=&amp;sourceID=13","")</f>
        <v/>
      </c>
    </row>
    <row r="49" spans="1:30">
      <c r="A49" s="3">
        <v>7</v>
      </c>
      <c r="B49" s="3">
        <v>1</v>
      </c>
      <c r="C49" s="3">
        <v>11</v>
      </c>
      <c r="D49" s="3">
        <v>4</v>
      </c>
      <c r="E49" s="3">
        <f>((1/(INDEX(E0!J$4:J$28,C49,1)-INDEX(E0!J$4:J$28,D49,1))))*100000000</f>
        <v>0</v>
      </c>
      <c r="F49" s="4" t="str">
        <f>HYPERLINK("http://141.218.60.56/~jnz1568/getInfo.php?workbook=07_01.xlsx&amp;sheet=A0&amp;row=49&amp;col=6&amp;number==&amp;sourceID=11","=")</f>
        <v>=</v>
      </c>
      <c r="G49" s="4" t="str">
        <f>HYPERLINK("http://141.218.60.56/~jnz1568/getInfo.php?workbook=07_01.xlsx&amp;sheet=A0&amp;row=49&amp;col=7&amp;number=4156500000&amp;sourceID=11","4156500000")</f>
        <v>4156500000</v>
      </c>
      <c r="H49" s="4" t="str">
        <f>HYPERLINK("http://141.218.60.56/~jnz1568/getInfo.php?workbook=07_01.xlsx&amp;sheet=A0&amp;row=49&amp;col=8&amp;number=&amp;sourceID=11","")</f>
        <v/>
      </c>
      <c r="I49" s="4" t="str">
        <f>HYPERLINK("http://141.218.60.56/~jnz1568/getInfo.php?workbook=07_01.xlsx&amp;sheet=A0&amp;row=49&amp;col=9&amp;number=&amp;sourceID=11","")</f>
        <v/>
      </c>
      <c r="J49" s="4" t="str">
        <f>HYPERLINK("http://141.218.60.56/~jnz1568/getInfo.php?workbook=07_01.xlsx&amp;sheet=A0&amp;row=49&amp;col=10&amp;number=&amp;sourceID=11","")</f>
        <v/>
      </c>
      <c r="K49" s="4" t="str">
        <f>HYPERLINK("http://141.218.60.56/~jnz1568/getInfo.php?workbook=07_01.xlsx&amp;sheet=A0&amp;row=49&amp;col=11&amp;number=46.666&amp;sourceID=11","46.666")</f>
        <v>46.666</v>
      </c>
      <c r="L49" s="4" t="str">
        <f>HYPERLINK("http://141.218.60.56/~jnz1568/getInfo.php?workbook=07_01.xlsx&amp;sheet=A0&amp;row=49&amp;col=12&amp;number=&amp;sourceID=11","")</f>
        <v/>
      </c>
      <c r="M49" s="4" t="str">
        <f>HYPERLINK("http://141.218.60.56/~jnz1568/getInfo.php?workbook=07_01.xlsx&amp;sheet=A0&amp;row=49&amp;col=13&amp;number=4156600000&amp;sourceID=12","4156600000")</f>
        <v>4156600000</v>
      </c>
      <c r="N49" s="4" t="str">
        <f>HYPERLINK("http://141.218.60.56/~jnz1568/getInfo.php?workbook=07_01.xlsx&amp;sheet=A0&amp;row=49&amp;col=14&amp;number=4156600000&amp;sourceID=12","4156600000")</f>
        <v>4156600000</v>
      </c>
      <c r="O49" s="4" t="str">
        <f>HYPERLINK("http://141.218.60.56/~jnz1568/getInfo.php?workbook=07_01.xlsx&amp;sheet=A0&amp;row=49&amp;col=15&amp;number=&amp;sourceID=12","")</f>
        <v/>
      </c>
      <c r="P49" s="4" t="str">
        <f>HYPERLINK("http://141.218.60.56/~jnz1568/getInfo.php?workbook=07_01.xlsx&amp;sheet=A0&amp;row=49&amp;col=16&amp;number=&amp;sourceID=12","")</f>
        <v/>
      </c>
      <c r="Q49" s="4" t="str">
        <f>HYPERLINK("http://141.218.60.56/~jnz1568/getInfo.php?workbook=07_01.xlsx&amp;sheet=A0&amp;row=49&amp;col=17&amp;number=&amp;sourceID=12","")</f>
        <v/>
      </c>
      <c r="R49" s="4" t="str">
        <f>HYPERLINK("http://141.218.60.56/~jnz1568/getInfo.php?workbook=07_01.xlsx&amp;sheet=A0&amp;row=49&amp;col=18&amp;number=46.668&amp;sourceID=12","46.668")</f>
        <v>46.668</v>
      </c>
      <c r="S49" s="4" t="str">
        <f>HYPERLINK("http://141.218.60.56/~jnz1568/getInfo.php?workbook=07_01.xlsx&amp;sheet=A0&amp;row=49&amp;col=19&amp;number=&amp;sourceID=12","")</f>
        <v/>
      </c>
      <c r="T49" s="4" t="str">
        <f>HYPERLINK("http://141.218.60.56/~jnz1568/getInfo.php?workbook=07_01.xlsx&amp;sheet=A0&amp;row=49&amp;col=20&amp;number==&amp;sourceID=30","=")</f>
        <v>=</v>
      </c>
      <c r="U49" s="4" t="str">
        <f>HYPERLINK("http://141.218.60.56/~jnz1568/getInfo.php?workbook=07_01.xlsx&amp;sheet=A0&amp;row=49&amp;col=21&amp;number=4157000000&amp;sourceID=30","4157000000")</f>
        <v>4157000000</v>
      </c>
      <c r="V49" s="4" t="str">
        <f>HYPERLINK("http://141.218.60.56/~jnz1568/getInfo.php?workbook=07_01.xlsx&amp;sheet=A0&amp;row=49&amp;col=22&amp;number=&amp;sourceID=30","")</f>
        <v/>
      </c>
      <c r="W49" s="4" t="str">
        <f>HYPERLINK("http://141.218.60.56/~jnz1568/getInfo.php?workbook=07_01.xlsx&amp;sheet=A0&amp;row=49&amp;col=23&amp;number=&amp;sourceID=30","")</f>
        <v/>
      </c>
      <c r="X49" s="4" t="str">
        <f>HYPERLINK("http://141.218.60.56/~jnz1568/getInfo.php?workbook=07_01.xlsx&amp;sheet=A0&amp;row=49&amp;col=24&amp;number=46.67&amp;sourceID=30","46.67")</f>
        <v>46.67</v>
      </c>
      <c r="Y49" s="4" t="str">
        <f>HYPERLINK("http://141.218.60.56/~jnz1568/getInfo.php?workbook=07_01.xlsx&amp;sheet=A0&amp;row=49&amp;col=25&amp;number==&amp;sourceID=13","=")</f>
        <v>=</v>
      </c>
      <c r="Z49" s="4" t="str">
        <f>HYPERLINK("http://141.218.60.56/~jnz1568/getInfo.php?workbook=07_01.xlsx&amp;sheet=A0&amp;row=49&amp;col=26&amp;number=4100000000&amp;sourceID=13","4100000000")</f>
        <v>4100000000</v>
      </c>
      <c r="AA49" s="4" t="str">
        <f>HYPERLINK("http://141.218.60.56/~jnz1568/getInfo.php?workbook=07_01.xlsx&amp;sheet=A0&amp;row=49&amp;col=27&amp;number=&amp;sourceID=13","")</f>
        <v/>
      </c>
      <c r="AB49" s="4" t="str">
        <f>HYPERLINK("http://141.218.60.56/~jnz1568/getInfo.php?workbook=07_01.xlsx&amp;sheet=A0&amp;row=49&amp;col=28&amp;number=&amp;sourceID=13","")</f>
        <v/>
      </c>
      <c r="AC49" s="4" t="str">
        <f>HYPERLINK("http://141.218.60.56/~jnz1568/getInfo.php?workbook=07_01.xlsx&amp;sheet=A0&amp;row=49&amp;col=29&amp;number=&amp;sourceID=13","")</f>
        <v/>
      </c>
      <c r="AD49" s="4" t="str">
        <f>HYPERLINK("http://141.218.60.56/~jnz1568/getInfo.php?workbook=07_01.xlsx&amp;sheet=A0&amp;row=49&amp;col=30&amp;number=&amp;sourceID=13","")</f>
        <v/>
      </c>
    </row>
    <row r="50" spans="1:30">
      <c r="A50" s="3">
        <v>7</v>
      </c>
      <c r="B50" s="3">
        <v>1</v>
      </c>
      <c r="C50" s="3">
        <v>11</v>
      </c>
      <c r="D50" s="3">
        <v>5</v>
      </c>
      <c r="E50" s="3">
        <f>((1/(INDEX(E0!J$4:J$28,C50,1)-INDEX(E0!J$4:J$28,D50,1))))*100000000</f>
        <v>0</v>
      </c>
      <c r="F50" s="4" t="str">
        <f>HYPERLINK("http://141.218.60.56/~jnz1568/getInfo.php?workbook=07_01.xlsx&amp;sheet=A0&amp;row=50&amp;col=6&amp;number==&amp;sourceID=11","=")</f>
        <v>=</v>
      </c>
      <c r="G50" s="4" t="str">
        <f>HYPERLINK("http://141.218.60.56/~jnz1568/getInfo.php?workbook=07_01.xlsx&amp;sheet=A0&amp;row=50&amp;col=7&amp;number=1471600000&amp;sourceID=11","1471600000")</f>
        <v>1471600000</v>
      </c>
      <c r="H50" s="4" t="str">
        <f>HYPERLINK("http://141.218.60.56/~jnz1568/getInfo.php?workbook=07_01.xlsx&amp;sheet=A0&amp;row=50&amp;col=8&amp;number=&amp;sourceID=11","")</f>
        <v/>
      </c>
      <c r="I50" s="4" t="str">
        <f>HYPERLINK("http://141.218.60.56/~jnz1568/getInfo.php?workbook=07_01.xlsx&amp;sheet=A0&amp;row=50&amp;col=9&amp;number=&amp;sourceID=11","")</f>
        <v/>
      </c>
      <c r="J50" s="4" t="str">
        <f>HYPERLINK("http://141.218.60.56/~jnz1568/getInfo.php?workbook=07_01.xlsx&amp;sheet=A0&amp;row=50&amp;col=10&amp;number=&amp;sourceID=11","")</f>
        <v/>
      </c>
      <c r="K50" s="4" t="str">
        <f>HYPERLINK("http://141.218.60.56/~jnz1568/getInfo.php?workbook=07_01.xlsx&amp;sheet=A0&amp;row=50&amp;col=11&amp;number=&amp;sourceID=11","")</f>
        <v/>
      </c>
      <c r="L50" s="4" t="str">
        <f>HYPERLINK("http://141.218.60.56/~jnz1568/getInfo.php?workbook=07_01.xlsx&amp;sheet=A0&amp;row=50&amp;col=12&amp;number=&amp;sourceID=11","")</f>
        <v/>
      </c>
      <c r="M50" s="4" t="str">
        <f>HYPERLINK("http://141.218.60.56/~jnz1568/getInfo.php?workbook=07_01.xlsx&amp;sheet=A0&amp;row=50&amp;col=13&amp;number=1471700000&amp;sourceID=12","1471700000")</f>
        <v>1471700000</v>
      </c>
      <c r="N50" s="4" t="str">
        <f>HYPERLINK("http://141.218.60.56/~jnz1568/getInfo.php?workbook=07_01.xlsx&amp;sheet=A0&amp;row=50&amp;col=14&amp;number=1471700000&amp;sourceID=12","1471700000")</f>
        <v>1471700000</v>
      </c>
      <c r="O50" s="4" t="str">
        <f>HYPERLINK("http://141.218.60.56/~jnz1568/getInfo.php?workbook=07_01.xlsx&amp;sheet=A0&amp;row=50&amp;col=15&amp;number=&amp;sourceID=12","")</f>
        <v/>
      </c>
      <c r="P50" s="4" t="str">
        <f>HYPERLINK("http://141.218.60.56/~jnz1568/getInfo.php?workbook=07_01.xlsx&amp;sheet=A0&amp;row=50&amp;col=16&amp;number=&amp;sourceID=12","")</f>
        <v/>
      </c>
      <c r="Q50" s="4" t="str">
        <f>HYPERLINK("http://141.218.60.56/~jnz1568/getInfo.php?workbook=07_01.xlsx&amp;sheet=A0&amp;row=50&amp;col=17&amp;number=&amp;sourceID=12","")</f>
        <v/>
      </c>
      <c r="R50" s="4" t="str">
        <f>HYPERLINK("http://141.218.60.56/~jnz1568/getInfo.php?workbook=07_01.xlsx&amp;sheet=A0&amp;row=50&amp;col=18&amp;number=&amp;sourceID=12","")</f>
        <v/>
      </c>
      <c r="S50" s="4" t="str">
        <f>HYPERLINK("http://141.218.60.56/~jnz1568/getInfo.php?workbook=07_01.xlsx&amp;sheet=A0&amp;row=50&amp;col=19&amp;number=&amp;sourceID=12","")</f>
        <v/>
      </c>
      <c r="T50" s="4" t="str">
        <f>HYPERLINK("http://141.218.60.56/~jnz1568/getInfo.php?workbook=07_01.xlsx&amp;sheet=A0&amp;row=50&amp;col=20&amp;number==&amp;sourceID=30","=")</f>
        <v>=</v>
      </c>
      <c r="U50" s="4" t="str">
        <f>HYPERLINK("http://141.218.60.56/~jnz1568/getInfo.php?workbook=07_01.xlsx&amp;sheet=A0&amp;row=50&amp;col=21&amp;number=1472000000&amp;sourceID=30","1472000000")</f>
        <v>1472000000</v>
      </c>
      <c r="V50" s="4" t="str">
        <f>HYPERLINK("http://141.218.60.56/~jnz1568/getInfo.php?workbook=07_01.xlsx&amp;sheet=A0&amp;row=50&amp;col=22&amp;number=&amp;sourceID=30","")</f>
        <v/>
      </c>
      <c r="W50" s="4" t="str">
        <f>HYPERLINK("http://141.218.60.56/~jnz1568/getInfo.php?workbook=07_01.xlsx&amp;sheet=A0&amp;row=50&amp;col=23&amp;number=&amp;sourceID=30","")</f>
        <v/>
      </c>
      <c r="X50" s="4" t="str">
        <f>HYPERLINK("http://141.218.60.56/~jnz1568/getInfo.php?workbook=07_01.xlsx&amp;sheet=A0&amp;row=50&amp;col=24&amp;number=&amp;sourceID=30","")</f>
        <v/>
      </c>
      <c r="Y50" s="4" t="str">
        <f>HYPERLINK("http://141.218.60.56/~jnz1568/getInfo.php?workbook=07_01.xlsx&amp;sheet=A0&amp;row=50&amp;col=25&amp;number==&amp;sourceID=13","=")</f>
        <v>=</v>
      </c>
      <c r="Z50" s="4" t="str">
        <f>HYPERLINK("http://141.218.60.56/~jnz1568/getInfo.php?workbook=07_01.xlsx&amp;sheet=A0&amp;row=50&amp;col=26&amp;number=1460000000&amp;sourceID=13","1460000000")</f>
        <v>1460000000</v>
      </c>
      <c r="AA50" s="4" t="str">
        <f>HYPERLINK("http://141.218.60.56/~jnz1568/getInfo.php?workbook=07_01.xlsx&amp;sheet=A0&amp;row=50&amp;col=27&amp;number=&amp;sourceID=13","")</f>
        <v/>
      </c>
      <c r="AB50" s="4" t="str">
        <f>HYPERLINK("http://141.218.60.56/~jnz1568/getInfo.php?workbook=07_01.xlsx&amp;sheet=A0&amp;row=50&amp;col=28&amp;number=&amp;sourceID=13","")</f>
        <v/>
      </c>
      <c r="AC50" s="4" t="str">
        <f>HYPERLINK("http://141.218.60.56/~jnz1568/getInfo.php?workbook=07_01.xlsx&amp;sheet=A0&amp;row=50&amp;col=29&amp;number=&amp;sourceID=13","")</f>
        <v/>
      </c>
      <c r="AD50" s="4" t="str">
        <f>HYPERLINK("http://141.218.60.56/~jnz1568/getInfo.php?workbook=07_01.xlsx&amp;sheet=A0&amp;row=50&amp;col=30&amp;number=&amp;sourceID=13","")</f>
        <v/>
      </c>
    </row>
    <row r="51" spans="1:30">
      <c r="A51" s="3">
        <v>7</v>
      </c>
      <c r="B51" s="3">
        <v>1</v>
      </c>
      <c r="C51" s="3">
        <v>11</v>
      </c>
      <c r="D51" s="3">
        <v>6</v>
      </c>
      <c r="E51" s="3">
        <f>((1/(INDEX(E0!J$4:J$28,C51,1)-INDEX(E0!J$4:J$28,D51,1))))*100000000</f>
        <v>0</v>
      </c>
      <c r="F51" s="4" t="str">
        <f>HYPERLINK("http://141.218.60.56/~jnz1568/getInfo.php?workbook=07_01.xlsx&amp;sheet=A0&amp;row=51&amp;col=6&amp;number==&amp;sourceID=11","=")</f>
        <v>=</v>
      </c>
      <c r="G51" s="4" t="str">
        <f>HYPERLINK("http://141.218.60.56/~jnz1568/getInfo.php?workbook=07_01.xlsx&amp;sheet=A0&amp;row=51&amp;col=7&amp;number=&amp;sourceID=11","")</f>
        <v/>
      </c>
      <c r="H51" s="4" t="str">
        <f>HYPERLINK("http://141.218.60.56/~jnz1568/getInfo.php?workbook=07_01.xlsx&amp;sheet=A0&amp;row=51&amp;col=8&amp;number=&amp;sourceID=11","")</f>
        <v/>
      </c>
      <c r="I51" s="4" t="str">
        <f>HYPERLINK("http://141.218.60.56/~jnz1568/getInfo.php?workbook=07_01.xlsx&amp;sheet=A0&amp;row=51&amp;col=9&amp;number=&amp;sourceID=11","")</f>
        <v/>
      </c>
      <c r="J51" s="4" t="str">
        <f>HYPERLINK("http://141.218.60.56/~jnz1568/getInfo.php?workbook=07_01.xlsx&amp;sheet=A0&amp;row=51&amp;col=10&amp;number=0.0058016&amp;sourceID=11","0.0058016")</f>
        <v>0.0058016</v>
      </c>
      <c r="K51" s="4" t="str">
        <f>HYPERLINK("http://141.218.60.56/~jnz1568/getInfo.php?workbook=07_01.xlsx&amp;sheet=A0&amp;row=51&amp;col=11&amp;number=&amp;sourceID=11","")</f>
        <v/>
      </c>
      <c r="L51" s="4" t="str">
        <f>HYPERLINK("http://141.218.60.56/~jnz1568/getInfo.php?workbook=07_01.xlsx&amp;sheet=A0&amp;row=51&amp;col=12&amp;number=&amp;sourceID=11","")</f>
        <v/>
      </c>
      <c r="M51" s="4" t="str">
        <f>HYPERLINK("http://141.218.60.56/~jnz1568/getInfo.php?workbook=07_01.xlsx&amp;sheet=A0&amp;row=51&amp;col=13&amp;number=0.0058018&amp;sourceID=12","0.0058018")</f>
        <v>0.0058018</v>
      </c>
      <c r="N51" s="4" t="str">
        <f>HYPERLINK("http://141.218.60.56/~jnz1568/getInfo.php?workbook=07_01.xlsx&amp;sheet=A0&amp;row=51&amp;col=14&amp;number=&amp;sourceID=12","")</f>
        <v/>
      </c>
      <c r="O51" s="4" t="str">
        <f>HYPERLINK("http://141.218.60.56/~jnz1568/getInfo.php?workbook=07_01.xlsx&amp;sheet=A0&amp;row=51&amp;col=15&amp;number=&amp;sourceID=12","")</f>
        <v/>
      </c>
      <c r="P51" s="4" t="str">
        <f>HYPERLINK("http://141.218.60.56/~jnz1568/getInfo.php?workbook=07_01.xlsx&amp;sheet=A0&amp;row=51&amp;col=16&amp;number=&amp;sourceID=12","")</f>
        <v/>
      </c>
      <c r="Q51" s="4" t="str">
        <f>HYPERLINK("http://141.218.60.56/~jnz1568/getInfo.php?workbook=07_01.xlsx&amp;sheet=A0&amp;row=51&amp;col=17&amp;number=0.0058018&amp;sourceID=12","0.0058018")</f>
        <v>0.0058018</v>
      </c>
      <c r="R51" s="4" t="str">
        <f>HYPERLINK("http://141.218.60.56/~jnz1568/getInfo.php?workbook=07_01.xlsx&amp;sheet=A0&amp;row=51&amp;col=18&amp;number=&amp;sourceID=12","")</f>
        <v/>
      </c>
      <c r="S51" s="4" t="str">
        <f>HYPERLINK("http://141.218.60.56/~jnz1568/getInfo.php?workbook=07_01.xlsx&amp;sheet=A0&amp;row=51&amp;col=19&amp;number=&amp;sourceID=12","")</f>
        <v/>
      </c>
      <c r="T51" s="4" t="str">
        <f>HYPERLINK("http://141.218.60.56/~jnz1568/getInfo.php?workbook=07_01.xlsx&amp;sheet=A0&amp;row=51&amp;col=20&amp;number==&amp;sourceID=30","=")</f>
        <v>=</v>
      </c>
      <c r="U51" s="4" t="str">
        <f>HYPERLINK("http://141.218.60.56/~jnz1568/getInfo.php?workbook=07_01.xlsx&amp;sheet=A0&amp;row=51&amp;col=21&amp;number=&amp;sourceID=30","")</f>
        <v/>
      </c>
      <c r="V51" s="4" t="str">
        <f>HYPERLINK("http://141.218.60.56/~jnz1568/getInfo.php?workbook=07_01.xlsx&amp;sheet=A0&amp;row=51&amp;col=22&amp;number=&amp;sourceID=30","")</f>
        <v/>
      </c>
      <c r="W51" s="4" t="str">
        <f>HYPERLINK("http://141.218.60.56/~jnz1568/getInfo.php?workbook=07_01.xlsx&amp;sheet=A0&amp;row=51&amp;col=23&amp;number=0.005795&amp;sourceID=30","0.005795")</f>
        <v>0.005795</v>
      </c>
      <c r="X51" s="4" t="str">
        <f>HYPERLINK("http://141.218.60.56/~jnz1568/getInfo.php?workbook=07_01.xlsx&amp;sheet=A0&amp;row=51&amp;col=24&amp;number=&amp;sourceID=30","")</f>
        <v/>
      </c>
      <c r="Y51" s="4" t="str">
        <f>HYPERLINK("http://141.218.60.56/~jnz1568/getInfo.php?workbook=07_01.xlsx&amp;sheet=A0&amp;row=51&amp;col=25&amp;number==&amp;sourceID=13","=")</f>
        <v>=</v>
      </c>
      <c r="Z51" s="4" t="str">
        <f>HYPERLINK("http://141.218.60.56/~jnz1568/getInfo.php?workbook=07_01.xlsx&amp;sheet=A0&amp;row=51&amp;col=26&amp;number=&amp;sourceID=13","")</f>
        <v/>
      </c>
      <c r="AA51" s="4" t="str">
        <f>HYPERLINK("http://141.218.60.56/~jnz1568/getInfo.php?workbook=07_01.xlsx&amp;sheet=A0&amp;row=51&amp;col=27&amp;number=&amp;sourceID=13","")</f>
        <v/>
      </c>
      <c r="AB51" s="4" t="str">
        <f>HYPERLINK("http://141.218.60.56/~jnz1568/getInfo.php?workbook=07_01.xlsx&amp;sheet=A0&amp;row=51&amp;col=28&amp;number=&amp;sourceID=13","")</f>
        <v/>
      </c>
      <c r="AC51" s="4" t="str">
        <f>HYPERLINK("http://141.218.60.56/~jnz1568/getInfo.php?workbook=07_01.xlsx&amp;sheet=A0&amp;row=51&amp;col=29&amp;number=0.00575&amp;sourceID=13","0.00575")</f>
        <v>0.00575</v>
      </c>
      <c r="AD51" s="4" t="str">
        <f>HYPERLINK("http://141.218.60.56/~jnz1568/getInfo.php?workbook=07_01.xlsx&amp;sheet=A0&amp;row=51&amp;col=30&amp;number=&amp;sourceID=13","")</f>
        <v/>
      </c>
    </row>
    <row r="52" spans="1:30">
      <c r="A52" s="3">
        <v>7</v>
      </c>
      <c r="B52" s="3">
        <v>1</v>
      </c>
      <c r="C52" s="3">
        <v>11</v>
      </c>
      <c r="D52" s="3">
        <v>7</v>
      </c>
      <c r="E52" s="3">
        <f>((1/(INDEX(E0!J$4:J$28,C52,1)-INDEX(E0!J$4:J$28,D52,1))))*100000000</f>
        <v>0</v>
      </c>
      <c r="F52" s="4" t="str">
        <f>HYPERLINK("http://141.218.60.56/~jnz1568/getInfo.php?workbook=07_01.xlsx&amp;sheet=A0&amp;row=52&amp;col=6&amp;number==&amp;sourceID=11","=")</f>
        <v>=</v>
      </c>
      <c r="G52" s="4" t="str">
        <f>HYPERLINK("http://141.218.60.56/~jnz1568/getInfo.php?workbook=07_01.xlsx&amp;sheet=A0&amp;row=52&amp;col=7&amp;number=&amp;sourceID=11","")</f>
        <v/>
      </c>
      <c r="H52" s="4" t="str">
        <f>HYPERLINK("http://141.218.60.56/~jnz1568/getInfo.php?workbook=07_01.xlsx&amp;sheet=A0&amp;row=52&amp;col=8&amp;number=48517&amp;sourceID=11","48517")</f>
        <v>48517</v>
      </c>
      <c r="I52" s="4" t="str">
        <f>HYPERLINK("http://141.218.60.56/~jnz1568/getInfo.php?workbook=07_01.xlsx&amp;sheet=A0&amp;row=52&amp;col=9&amp;number=&amp;sourceID=11","")</f>
        <v/>
      </c>
      <c r="J52" s="4" t="str">
        <f>HYPERLINK("http://141.218.60.56/~jnz1568/getInfo.php?workbook=07_01.xlsx&amp;sheet=A0&amp;row=52&amp;col=10&amp;number=1.9243e-06&amp;sourceID=11","1.9243e-06")</f>
        <v>1.9243e-06</v>
      </c>
      <c r="K52" s="4" t="str">
        <f>HYPERLINK("http://141.218.60.56/~jnz1568/getInfo.php?workbook=07_01.xlsx&amp;sheet=A0&amp;row=52&amp;col=11&amp;number=&amp;sourceID=11","")</f>
        <v/>
      </c>
      <c r="L52" s="4" t="str">
        <f>HYPERLINK("http://141.218.60.56/~jnz1568/getInfo.php?workbook=07_01.xlsx&amp;sheet=A0&amp;row=52&amp;col=12&amp;number=&amp;sourceID=11","")</f>
        <v/>
      </c>
      <c r="M52" s="4" t="str">
        <f>HYPERLINK("http://141.218.60.56/~jnz1568/getInfo.php?workbook=07_01.xlsx&amp;sheet=A0&amp;row=52&amp;col=13&amp;number=48519&amp;sourceID=12","48519")</f>
        <v>48519</v>
      </c>
      <c r="N52" s="4" t="str">
        <f>HYPERLINK("http://141.218.60.56/~jnz1568/getInfo.php?workbook=07_01.xlsx&amp;sheet=A0&amp;row=52&amp;col=14&amp;number=&amp;sourceID=12","")</f>
        <v/>
      </c>
      <c r="O52" s="4" t="str">
        <f>HYPERLINK("http://141.218.60.56/~jnz1568/getInfo.php?workbook=07_01.xlsx&amp;sheet=A0&amp;row=52&amp;col=15&amp;number=48519&amp;sourceID=12","48519")</f>
        <v>48519</v>
      </c>
      <c r="P52" s="4" t="str">
        <f>HYPERLINK("http://141.218.60.56/~jnz1568/getInfo.php?workbook=07_01.xlsx&amp;sheet=A0&amp;row=52&amp;col=16&amp;number=&amp;sourceID=12","")</f>
        <v/>
      </c>
      <c r="Q52" s="4" t="str">
        <f>HYPERLINK("http://141.218.60.56/~jnz1568/getInfo.php?workbook=07_01.xlsx&amp;sheet=A0&amp;row=52&amp;col=17&amp;number=1.9244e-06&amp;sourceID=12","1.9244e-06")</f>
        <v>1.9244e-06</v>
      </c>
      <c r="R52" s="4" t="str">
        <f>HYPERLINK("http://141.218.60.56/~jnz1568/getInfo.php?workbook=07_01.xlsx&amp;sheet=A0&amp;row=52&amp;col=18&amp;number=&amp;sourceID=12","")</f>
        <v/>
      </c>
      <c r="S52" s="4" t="str">
        <f>HYPERLINK("http://141.218.60.56/~jnz1568/getInfo.php?workbook=07_01.xlsx&amp;sheet=A0&amp;row=52&amp;col=19&amp;number=&amp;sourceID=12","")</f>
        <v/>
      </c>
      <c r="T52" s="4" t="str">
        <f>HYPERLINK("http://141.218.60.56/~jnz1568/getInfo.php?workbook=07_01.xlsx&amp;sheet=A0&amp;row=52&amp;col=20&amp;number==&amp;sourceID=30","=")</f>
        <v>=</v>
      </c>
      <c r="U52" s="4" t="str">
        <f>HYPERLINK("http://141.218.60.56/~jnz1568/getInfo.php?workbook=07_01.xlsx&amp;sheet=A0&amp;row=52&amp;col=21&amp;number=&amp;sourceID=30","")</f>
        <v/>
      </c>
      <c r="V52" s="4" t="str">
        <f>HYPERLINK("http://141.218.60.56/~jnz1568/getInfo.php?workbook=07_01.xlsx&amp;sheet=A0&amp;row=52&amp;col=22&amp;number=48520&amp;sourceID=30","48520")</f>
        <v>48520</v>
      </c>
      <c r="W52" s="4" t="str">
        <f>HYPERLINK("http://141.218.60.56/~jnz1568/getInfo.php?workbook=07_01.xlsx&amp;sheet=A0&amp;row=52&amp;col=23&amp;number=1.964e-06&amp;sourceID=30","1.964e-06")</f>
        <v>1.964e-06</v>
      </c>
      <c r="X52" s="4" t="str">
        <f>HYPERLINK("http://141.218.60.56/~jnz1568/getInfo.php?workbook=07_01.xlsx&amp;sheet=A0&amp;row=52&amp;col=24&amp;number=&amp;sourceID=30","")</f>
        <v/>
      </c>
      <c r="Y52" s="4" t="str">
        <f>HYPERLINK("http://141.218.60.56/~jnz1568/getInfo.php?workbook=07_01.xlsx&amp;sheet=A0&amp;row=52&amp;col=25&amp;number==&amp;sourceID=13","=")</f>
        <v>=</v>
      </c>
      <c r="Z52" s="4" t="str">
        <f>HYPERLINK("http://141.218.60.56/~jnz1568/getInfo.php?workbook=07_01.xlsx&amp;sheet=A0&amp;row=52&amp;col=26&amp;number=&amp;sourceID=13","")</f>
        <v/>
      </c>
      <c r="AA52" s="4" t="str">
        <f>HYPERLINK("http://141.218.60.56/~jnz1568/getInfo.php?workbook=07_01.xlsx&amp;sheet=A0&amp;row=52&amp;col=27&amp;number=48200&amp;sourceID=13","48200")</f>
        <v>48200</v>
      </c>
      <c r="AB52" s="4" t="str">
        <f>HYPERLINK("http://141.218.60.56/~jnz1568/getInfo.php?workbook=07_01.xlsx&amp;sheet=A0&amp;row=52&amp;col=28&amp;number=&amp;sourceID=13","")</f>
        <v/>
      </c>
      <c r="AC52" s="4" t="str">
        <f>HYPERLINK("http://141.218.60.56/~jnz1568/getInfo.php?workbook=07_01.xlsx&amp;sheet=A0&amp;row=52&amp;col=29&amp;number=6.6e-07&amp;sourceID=13","6.6e-07")</f>
        <v>6.6e-07</v>
      </c>
      <c r="AD52" s="4" t="str">
        <f>HYPERLINK("http://141.218.60.56/~jnz1568/getInfo.php?workbook=07_01.xlsx&amp;sheet=A0&amp;row=52&amp;col=30&amp;number=&amp;sourceID=13","")</f>
        <v/>
      </c>
    </row>
    <row r="53" spans="1:30">
      <c r="A53" s="3">
        <v>7</v>
      </c>
      <c r="B53" s="3">
        <v>1</v>
      </c>
      <c r="C53" s="3">
        <v>11</v>
      </c>
      <c r="D53" s="3">
        <v>8</v>
      </c>
      <c r="E53" s="3">
        <f>((1/(INDEX(E0!J$4:J$28,C53,1)-INDEX(E0!J$4:J$28,D53,1))))*100000000</f>
        <v>0</v>
      </c>
      <c r="F53" s="4" t="str">
        <f>HYPERLINK("http://141.218.60.56/~jnz1568/getInfo.php?workbook=07_01.xlsx&amp;sheet=A0&amp;row=53&amp;col=6&amp;number==&amp;sourceID=11","=")</f>
        <v>=</v>
      </c>
      <c r="G53" s="4" t="str">
        <f>HYPERLINK("http://141.218.60.56/~jnz1568/getInfo.php?workbook=07_01.xlsx&amp;sheet=A0&amp;row=53&amp;col=7&amp;number=2957800000&amp;sourceID=11","2957800000")</f>
        <v>2957800000</v>
      </c>
      <c r="H53" s="4" t="str">
        <f>HYPERLINK("http://141.218.60.56/~jnz1568/getInfo.php?workbook=07_01.xlsx&amp;sheet=A0&amp;row=53&amp;col=8&amp;number=&amp;sourceID=11","")</f>
        <v/>
      </c>
      <c r="I53" s="4" t="str">
        <f>HYPERLINK("http://141.218.60.56/~jnz1568/getInfo.php?workbook=07_01.xlsx&amp;sheet=A0&amp;row=53&amp;col=9&amp;number=&amp;sourceID=11","")</f>
        <v/>
      </c>
      <c r="J53" s="4" t="str">
        <f>HYPERLINK("http://141.218.60.56/~jnz1568/getInfo.php?workbook=07_01.xlsx&amp;sheet=A0&amp;row=53&amp;col=10&amp;number=&amp;sourceID=11","")</f>
        <v/>
      </c>
      <c r="K53" s="4" t="str">
        <f>HYPERLINK("http://141.218.60.56/~jnz1568/getInfo.php?workbook=07_01.xlsx&amp;sheet=A0&amp;row=53&amp;col=11&amp;number=2.2303&amp;sourceID=11","2.2303")</f>
        <v>2.2303</v>
      </c>
      <c r="L53" s="4" t="str">
        <f>HYPERLINK("http://141.218.60.56/~jnz1568/getInfo.php?workbook=07_01.xlsx&amp;sheet=A0&amp;row=53&amp;col=12&amp;number=&amp;sourceID=11","")</f>
        <v/>
      </c>
      <c r="M53" s="4" t="str">
        <f>HYPERLINK("http://141.218.60.56/~jnz1568/getInfo.php?workbook=07_01.xlsx&amp;sheet=A0&amp;row=53&amp;col=13&amp;number=2957900000&amp;sourceID=12","2957900000")</f>
        <v>2957900000</v>
      </c>
      <c r="N53" s="4" t="str">
        <f>HYPERLINK("http://141.218.60.56/~jnz1568/getInfo.php?workbook=07_01.xlsx&amp;sheet=A0&amp;row=53&amp;col=14&amp;number=2957900000&amp;sourceID=12","2957900000")</f>
        <v>2957900000</v>
      </c>
      <c r="O53" s="4" t="str">
        <f>HYPERLINK("http://141.218.60.56/~jnz1568/getInfo.php?workbook=07_01.xlsx&amp;sheet=A0&amp;row=53&amp;col=15&amp;number=&amp;sourceID=12","")</f>
        <v/>
      </c>
      <c r="P53" s="4" t="str">
        <f>HYPERLINK("http://141.218.60.56/~jnz1568/getInfo.php?workbook=07_01.xlsx&amp;sheet=A0&amp;row=53&amp;col=16&amp;number=&amp;sourceID=12","")</f>
        <v/>
      </c>
      <c r="Q53" s="4" t="str">
        <f>HYPERLINK("http://141.218.60.56/~jnz1568/getInfo.php?workbook=07_01.xlsx&amp;sheet=A0&amp;row=53&amp;col=17&amp;number=&amp;sourceID=12","")</f>
        <v/>
      </c>
      <c r="R53" s="4" t="str">
        <f>HYPERLINK("http://141.218.60.56/~jnz1568/getInfo.php?workbook=07_01.xlsx&amp;sheet=A0&amp;row=53&amp;col=18&amp;number=2.2304&amp;sourceID=12","2.2304")</f>
        <v>2.2304</v>
      </c>
      <c r="S53" s="4" t="str">
        <f>HYPERLINK("http://141.218.60.56/~jnz1568/getInfo.php?workbook=07_01.xlsx&amp;sheet=A0&amp;row=53&amp;col=19&amp;number=&amp;sourceID=12","")</f>
        <v/>
      </c>
      <c r="T53" s="4" t="str">
        <f>HYPERLINK("http://141.218.60.56/~jnz1568/getInfo.php?workbook=07_01.xlsx&amp;sheet=A0&amp;row=53&amp;col=20&amp;number==&amp;sourceID=30","=")</f>
        <v>=</v>
      </c>
      <c r="U53" s="4" t="str">
        <f>HYPERLINK("http://141.218.60.56/~jnz1568/getInfo.php?workbook=07_01.xlsx&amp;sheet=A0&amp;row=53&amp;col=21&amp;number=2958000000&amp;sourceID=30","2958000000")</f>
        <v>2958000000</v>
      </c>
      <c r="V53" s="4" t="str">
        <f>HYPERLINK("http://141.218.60.56/~jnz1568/getInfo.php?workbook=07_01.xlsx&amp;sheet=A0&amp;row=53&amp;col=22&amp;number=&amp;sourceID=30","")</f>
        <v/>
      </c>
      <c r="W53" s="4" t="str">
        <f>HYPERLINK("http://141.218.60.56/~jnz1568/getInfo.php?workbook=07_01.xlsx&amp;sheet=A0&amp;row=53&amp;col=23&amp;number=&amp;sourceID=30","")</f>
        <v/>
      </c>
      <c r="X53" s="4" t="str">
        <f>HYPERLINK("http://141.218.60.56/~jnz1568/getInfo.php?workbook=07_01.xlsx&amp;sheet=A0&amp;row=53&amp;col=24&amp;number=2.23&amp;sourceID=30","2.23")</f>
        <v>2.23</v>
      </c>
      <c r="Y53" s="4" t="str">
        <f>HYPERLINK("http://141.218.60.56/~jnz1568/getInfo.php?workbook=07_01.xlsx&amp;sheet=A0&amp;row=53&amp;col=25&amp;number==&amp;sourceID=13","=")</f>
        <v>=</v>
      </c>
      <c r="Z53" s="4" t="str">
        <f>HYPERLINK("http://141.218.60.56/~jnz1568/getInfo.php?workbook=07_01.xlsx&amp;sheet=A0&amp;row=53&amp;col=26&amp;number=2940000000&amp;sourceID=13","2940000000")</f>
        <v>2940000000</v>
      </c>
      <c r="AA53" s="4" t="str">
        <f>HYPERLINK("http://141.218.60.56/~jnz1568/getInfo.php?workbook=07_01.xlsx&amp;sheet=A0&amp;row=53&amp;col=27&amp;number=&amp;sourceID=13","")</f>
        <v/>
      </c>
      <c r="AB53" s="4" t="str">
        <f>HYPERLINK("http://141.218.60.56/~jnz1568/getInfo.php?workbook=07_01.xlsx&amp;sheet=A0&amp;row=53&amp;col=28&amp;number=&amp;sourceID=13","")</f>
        <v/>
      </c>
      <c r="AC53" s="4" t="str">
        <f>HYPERLINK("http://141.218.60.56/~jnz1568/getInfo.php?workbook=07_01.xlsx&amp;sheet=A0&amp;row=53&amp;col=29&amp;number=&amp;sourceID=13","")</f>
        <v/>
      </c>
      <c r="AD53" s="4" t="str">
        <f>HYPERLINK("http://141.218.60.56/~jnz1568/getInfo.php?workbook=07_01.xlsx&amp;sheet=A0&amp;row=53&amp;col=30&amp;number=&amp;sourceID=13","")</f>
        <v/>
      </c>
    </row>
    <row r="54" spans="1:30">
      <c r="A54" s="3">
        <v>7</v>
      </c>
      <c r="B54" s="3">
        <v>1</v>
      </c>
      <c r="C54" s="3">
        <v>11</v>
      </c>
      <c r="D54" s="3">
        <v>9</v>
      </c>
      <c r="E54" s="3">
        <f>((1/(INDEX(E0!J$4:J$28,C54,1)-INDEX(E0!J$4:J$28,D54,1))))*100000000</f>
        <v>0</v>
      </c>
      <c r="F54" s="4" t="str">
        <f>HYPERLINK("http://141.218.60.56/~jnz1568/getInfo.php?workbook=07_01.xlsx&amp;sheet=A0&amp;row=54&amp;col=6&amp;number==&amp;sourceID=11","=")</f>
        <v>=</v>
      </c>
      <c r="G54" s="4" t="str">
        <f>HYPERLINK("http://141.218.60.56/~jnz1568/getInfo.php?workbook=07_01.xlsx&amp;sheet=A0&amp;row=54&amp;col=7&amp;number=&amp;sourceID=11","")</f>
        <v/>
      </c>
      <c r="H54" s="4" t="str">
        <f>HYPERLINK("http://141.218.60.56/~jnz1568/getInfo.php?workbook=07_01.xlsx&amp;sheet=A0&amp;row=54&amp;col=8&amp;number=72797&amp;sourceID=11","72797")</f>
        <v>72797</v>
      </c>
      <c r="I54" s="4" t="str">
        <f>HYPERLINK("http://141.218.60.56/~jnz1568/getInfo.php?workbook=07_01.xlsx&amp;sheet=A0&amp;row=54&amp;col=9&amp;number=&amp;sourceID=11","")</f>
        <v/>
      </c>
      <c r="J54" s="4" t="str">
        <f>HYPERLINK("http://141.218.60.56/~jnz1568/getInfo.php?workbook=07_01.xlsx&amp;sheet=A0&amp;row=54&amp;col=10&amp;number=&amp;sourceID=11","")</f>
        <v/>
      </c>
      <c r="K54" s="4" t="str">
        <f>HYPERLINK("http://141.218.60.56/~jnz1568/getInfo.php?workbook=07_01.xlsx&amp;sheet=A0&amp;row=54&amp;col=11&amp;number=&amp;sourceID=11","")</f>
        <v/>
      </c>
      <c r="L54" s="4" t="str">
        <f>HYPERLINK("http://141.218.60.56/~jnz1568/getInfo.php?workbook=07_01.xlsx&amp;sheet=A0&amp;row=54&amp;col=12&amp;number=6.5006e-05&amp;sourceID=11","6.5006e-05")</f>
        <v>6.5006e-05</v>
      </c>
      <c r="M54" s="4" t="str">
        <f>HYPERLINK("http://141.218.60.56/~jnz1568/getInfo.php?workbook=07_01.xlsx&amp;sheet=A0&amp;row=54&amp;col=13&amp;number=72800&amp;sourceID=12","72800")</f>
        <v>72800</v>
      </c>
      <c r="N54" s="4" t="str">
        <f>HYPERLINK("http://141.218.60.56/~jnz1568/getInfo.php?workbook=07_01.xlsx&amp;sheet=A0&amp;row=54&amp;col=14&amp;number=&amp;sourceID=12","")</f>
        <v/>
      </c>
      <c r="O54" s="4" t="str">
        <f>HYPERLINK("http://141.218.60.56/~jnz1568/getInfo.php?workbook=07_01.xlsx&amp;sheet=A0&amp;row=54&amp;col=15&amp;number=72800&amp;sourceID=12","72800")</f>
        <v>72800</v>
      </c>
      <c r="P54" s="4" t="str">
        <f>HYPERLINK("http://141.218.60.56/~jnz1568/getInfo.php?workbook=07_01.xlsx&amp;sheet=A0&amp;row=54&amp;col=16&amp;number=&amp;sourceID=12","")</f>
        <v/>
      </c>
      <c r="Q54" s="4" t="str">
        <f>HYPERLINK("http://141.218.60.56/~jnz1568/getInfo.php?workbook=07_01.xlsx&amp;sheet=A0&amp;row=54&amp;col=17&amp;number=&amp;sourceID=12","")</f>
        <v/>
      </c>
      <c r="R54" s="4" t="str">
        <f>HYPERLINK("http://141.218.60.56/~jnz1568/getInfo.php?workbook=07_01.xlsx&amp;sheet=A0&amp;row=54&amp;col=18&amp;number=&amp;sourceID=12","")</f>
        <v/>
      </c>
      <c r="S54" s="4" t="str">
        <f>HYPERLINK("http://141.218.60.56/~jnz1568/getInfo.php?workbook=07_01.xlsx&amp;sheet=A0&amp;row=54&amp;col=19&amp;number=6.5008e-05&amp;sourceID=12","6.5008e-05")</f>
        <v>6.5008e-05</v>
      </c>
      <c r="T54" s="4" t="str">
        <f>HYPERLINK("http://141.218.60.56/~jnz1568/getInfo.php?workbook=07_01.xlsx&amp;sheet=A0&amp;row=54&amp;col=20&amp;number==&amp;sourceID=30","=")</f>
        <v>=</v>
      </c>
      <c r="U54" s="4" t="str">
        <f>HYPERLINK("http://141.218.60.56/~jnz1568/getInfo.php?workbook=07_01.xlsx&amp;sheet=A0&amp;row=54&amp;col=21&amp;number=&amp;sourceID=30","")</f>
        <v/>
      </c>
      <c r="V54" s="4" t="str">
        <f>HYPERLINK("http://141.218.60.56/~jnz1568/getInfo.php?workbook=07_01.xlsx&amp;sheet=A0&amp;row=54&amp;col=22&amp;number=72800&amp;sourceID=30","72800")</f>
        <v>72800</v>
      </c>
      <c r="W54" s="4" t="str">
        <f>HYPERLINK("http://141.218.60.56/~jnz1568/getInfo.php?workbook=07_01.xlsx&amp;sheet=A0&amp;row=54&amp;col=23&amp;number=&amp;sourceID=30","")</f>
        <v/>
      </c>
      <c r="X54" s="4" t="str">
        <f>HYPERLINK("http://141.218.60.56/~jnz1568/getInfo.php?workbook=07_01.xlsx&amp;sheet=A0&amp;row=54&amp;col=24&amp;number=&amp;sourceID=30","")</f>
        <v/>
      </c>
      <c r="Y54" s="4" t="str">
        <f>HYPERLINK("http://141.218.60.56/~jnz1568/getInfo.php?workbook=07_01.xlsx&amp;sheet=A0&amp;row=54&amp;col=25&amp;number==&amp;sourceID=13","=")</f>
        <v>=</v>
      </c>
      <c r="Z54" s="4" t="str">
        <f>HYPERLINK("http://141.218.60.56/~jnz1568/getInfo.php?workbook=07_01.xlsx&amp;sheet=A0&amp;row=54&amp;col=26&amp;number=&amp;sourceID=13","")</f>
        <v/>
      </c>
      <c r="AA54" s="4" t="str">
        <f>HYPERLINK("http://141.218.60.56/~jnz1568/getInfo.php?workbook=07_01.xlsx&amp;sheet=A0&amp;row=54&amp;col=27&amp;number=72600&amp;sourceID=13","72600")</f>
        <v>72600</v>
      </c>
      <c r="AB54" s="4" t="str">
        <f>HYPERLINK("http://141.218.60.56/~jnz1568/getInfo.php?workbook=07_01.xlsx&amp;sheet=A0&amp;row=54&amp;col=28&amp;number=&amp;sourceID=13","")</f>
        <v/>
      </c>
      <c r="AC54" s="4" t="str">
        <f>HYPERLINK("http://141.218.60.56/~jnz1568/getInfo.php?workbook=07_01.xlsx&amp;sheet=A0&amp;row=54&amp;col=29&amp;number=&amp;sourceID=13","")</f>
        <v/>
      </c>
      <c r="AD54" s="4" t="str">
        <f>HYPERLINK("http://141.218.60.56/~jnz1568/getInfo.php?workbook=07_01.xlsx&amp;sheet=A0&amp;row=54&amp;col=30&amp;number=&amp;sourceID=13","")</f>
        <v/>
      </c>
    </row>
    <row r="55" spans="1:30">
      <c r="A55" s="3">
        <v>7</v>
      </c>
      <c r="B55" s="3">
        <v>1</v>
      </c>
      <c r="C55" s="3">
        <v>12</v>
      </c>
      <c r="D55" s="3">
        <v>1</v>
      </c>
      <c r="E55" s="3">
        <f>((1/(INDEX(E0!J$4:J$28,C55,1)-INDEX(E0!J$4:J$28,D55,1))))*100000000</f>
        <v>0</v>
      </c>
      <c r="F55" s="4" t="str">
        <f>HYPERLINK("http://141.218.60.56/~jnz1568/getInfo.php?workbook=07_01.xlsx&amp;sheet=A0&amp;row=55&amp;col=6&amp;number==&amp;sourceID=11","=")</f>
        <v>=</v>
      </c>
      <c r="G55" s="4" t="str">
        <f>HYPERLINK("http://141.218.60.56/~jnz1568/getInfo.php?workbook=07_01.xlsx&amp;sheet=A0&amp;row=55&amp;col=7&amp;number=&amp;sourceID=11","")</f>
        <v/>
      </c>
      <c r="H55" s="4" t="str">
        <f>HYPERLINK("http://141.218.60.56/~jnz1568/getInfo.php?workbook=07_01.xlsx&amp;sheet=A0&amp;row=55&amp;col=8&amp;number=38436000&amp;sourceID=11","38436000")</f>
        <v>38436000</v>
      </c>
      <c r="I55" s="4" t="str">
        <f>HYPERLINK("http://141.218.60.56/~jnz1568/getInfo.php?workbook=07_01.xlsx&amp;sheet=A0&amp;row=55&amp;col=9&amp;number=&amp;sourceID=11","")</f>
        <v/>
      </c>
      <c r="J55" s="4" t="str">
        <f>HYPERLINK("http://141.218.60.56/~jnz1568/getInfo.php?workbook=07_01.xlsx&amp;sheet=A0&amp;row=55&amp;col=10&amp;number=1.222&amp;sourceID=11","1.222")</f>
        <v>1.222</v>
      </c>
      <c r="K55" s="4" t="str">
        <f>HYPERLINK("http://141.218.60.56/~jnz1568/getInfo.php?workbook=07_01.xlsx&amp;sheet=A0&amp;row=55&amp;col=11&amp;number=&amp;sourceID=11","")</f>
        <v/>
      </c>
      <c r="L55" s="4" t="str">
        <f>HYPERLINK("http://141.218.60.56/~jnz1568/getInfo.php?workbook=07_01.xlsx&amp;sheet=A0&amp;row=55&amp;col=12&amp;number=&amp;sourceID=11","")</f>
        <v/>
      </c>
      <c r="M55" s="4" t="str">
        <f>HYPERLINK("http://141.218.60.56/~jnz1568/getInfo.php?workbook=07_01.xlsx&amp;sheet=A0&amp;row=55&amp;col=13&amp;number=38437000&amp;sourceID=12","38437000")</f>
        <v>38437000</v>
      </c>
      <c r="N55" s="4" t="str">
        <f>HYPERLINK("http://141.218.60.56/~jnz1568/getInfo.php?workbook=07_01.xlsx&amp;sheet=A0&amp;row=55&amp;col=14&amp;number=&amp;sourceID=12","")</f>
        <v/>
      </c>
      <c r="O55" s="4" t="str">
        <f>HYPERLINK("http://141.218.60.56/~jnz1568/getInfo.php?workbook=07_01.xlsx&amp;sheet=A0&amp;row=55&amp;col=15&amp;number=38437000&amp;sourceID=12","38437000")</f>
        <v>38437000</v>
      </c>
      <c r="P55" s="4" t="str">
        <f>HYPERLINK("http://141.218.60.56/~jnz1568/getInfo.php?workbook=07_01.xlsx&amp;sheet=A0&amp;row=55&amp;col=16&amp;number=&amp;sourceID=12","")</f>
        <v/>
      </c>
      <c r="Q55" s="4" t="str">
        <f>HYPERLINK("http://141.218.60.56/~jnz1568/getInfo.php?workbook=07_01.xlsx&amp;sheet=A0&amp;row=55&amp;col=17&amp;number=1.2231&amp;sourceID=12","1.2231")</f>
        <v>1.2231</v>
      </c>
      <c r="R55" s="4" t="str">
        <f>HYPERLINK("http://141.218.60.56/~jnz1568/getInfo.php?workbook=07_01.xlsx&amp;sheet=A0&amp;row=55&amp;col=18&amp;number=&amp;sourceID=12","")</f>
        <v/>
      </c>
      <c r="S55" s="4" t="str">
        <f>HYPERLINK("http://141.218.60.56/~jnz1568/getInfo.php?workbook=07_01.xlsx&amp;sheet=A0&amp;row=55&amp;col=19&amp;number=&amp;sourceID=12","")</f>
        <v/>
      </c>
      <c r="T55" s="4" t="str">
        <f>HYPERLINK("http://141.218.60.56/~jnz1568/getInfo.php?workbook=07_01.xlsx&amp;sheet=A0&amp;row=55&amp;col=20&amp;number==&amp;sourceID=30","=")</f>
        <v>=</v>
      </c>
      <c r="U55" s="4" t="str">
        <f>HYPERLINK("http://141.218.60.56/~jnz1568/getInfo.php?workbook=07_01.xlsx&amp;sheet=A0&amp;row=55&amp;col=21&amp;number=&amp;sourceID=30","")</f>
        <v/>
      </c>
      <c r="V55" s="4" t="str">
        <f>HYPERLINK("http://141.218.60.56/~jnz1568/getInfo.php?workbook=07_01.xlsx&amp;sheet=A0&amp;row=55&amp;col=22&amp;number=38440000&amp;sourceID=30","38440000")</f>
        <v>38440000</v>
      </c>
      <c r="W55" s="4" t="str">
        <f>HYPERLINK("http://141.218.60.56/~jnz1568/getInfo.php?workbook=07_01.xlsx&amp;sheet=A0&amp;row=55&amp;col=23&amp;number=1.222&amp;sourceID=30","1.222")</f>
        <v>1.222</v>
      </c>
      <c r="X55" s="4" t="str">
        <f>HYPERLINK("http://141.218.60.56/~jnz1568/getInfo.php?workbook=07_01.xlsx&amp;sheet=A0&amp;row=55&amp;col=24&amp;number=&amp;sourceID=30","")</f>
        <v/>
      </c>
      <c r="Y55" s="4" t="str">
        <f>HYPERLINK("http://141.218.60.56/~jnz1568/getInfo.php?workbook=07_01.xlsx&amp;sheet=A0&amp;row=55&amp;col=25&amp;number==&amp;sourceID=13","=")</f>
        <v>=</v>
      </c>
      <c r="Z55" s="4" t="str">
        <f>HYPERLINK("http://141.218.60.56/~jnz1568/getInfo.php?workbook=07_01.xlsx&amp;sheet=A0&amp;row=55&amp;col=26&amp;number=&amp;sourceID=13","")</f>
        <v/>
      </c>
      <c r="AA55" s="4" t="str">
        <f>HYPERLINK("http://141.218.60.56/~jnz1568/getInfo.php?workbook=07_01.xlsx&amp;sheet=A0&amp;row=55&amp;col=27&amp;number=40700000&amp;sourceID=13","40700000")</f>
        <v>40700000</v>
      </c>
      <c r="AB55" s="4" t="str">
        <f>HYPERLINK("http://141.218.60.56/~jnz1568/getInfo.php?workbook=07_01.xlsx&amp;sheet=A0&amp;row=55&amp;col=28&amp;number=&amp;sourceID=13","")</f>
        <v/>
      </c>
      <c r="AC55" s="4" t="str">
        <f>HYPERLINK("http://141.218.60.56/~jnz1568/getInfo.php?workbook=07_01.xlsx&amp;sheet=A0&amp;row=55&amp;col=29&amp;number=3.25&amp;sourceID=13","3.25")</f>
        <v>3.25</v>
      </c>
      <c r="AD55" s="4" t="str">
        <f>HYPERLINK("http://141.218.60.56/~jnz1568/getInfo.php?workbook=07_01.xlsx&amp;sheet=A0&amp;row=55&amp;col=30&amp;number=&amp;sourceID=13","")</f>
        <v/>
      </c>
    </row>
    <row r="56" spans="1:30">
      <c r="A56" s="3">
        <v>7</v>
      </c>
      <c r="B56" s="3">
        <v>1</v>
      </c>
      <c r="C56" s="3">
        <v>12</v>
      </c>
      <c r="D56" s="3">
        <v>2</v>
      </c>
      <c r="E56" s="3">
        <f>((1/(INDEX(E0!J$4:J$28,C56,1)-INDEX(E0!J$4:J$28,D56,1))))*100000000</f>
        <v>0</v>
      </c>
      <c r="F56" s="4" t="str">
        <f>HYPERLINK("http://141.218.60.56/~jnz1568/getInfo.php?workbook=07_01.xlsx&amp;sheet=A0&amp;row=56&amp;col=6&amp;number==&amp;sourceID=11","=")</f>
        <v>=</v>
      </c>
      <c r="G56" s="4" t="str">
        <f>HYPERLINK("http://141.218.60.56/~jnz1568/getInfo.php?workbook=07_01.xlsx&amp;sheet=A0&amp;row=56&amp;col=7&amp;number=41361000000&amp;sourceID=11","41361000000")</f>
        <v>41361000000</v>
      </c>
      <c r="H56" s="4" t="str">
        <f>HYPERLINK("http://141.218.60.56/~jnz1568/getInfo.php?workbook=07_01.xlsx&amp;sheet=A0&amp;row=56&amp;col=8&amp;number=&amp;sourceID=11","")</f>
        <v/>
      </c>
      <c r="I56" s="4" t="str">
        <f>HYPERLINK("http://141.218.60.56/~jnz1568/getInfo.php?workbook=07_01.xlsx&amp;sheet=A0&amp;row=56&amp;col=9&amp;number=&amp;sourceID=11","")</f>
        <v/>
      </c>
      <c r="J56" s="4" t="str">
        <f>HYPERLINK("http://141.218.60.56/~jnz1568/getInfo.php?workbook=07_01.xlsx&amp;sheet=A0&amp;row=56&amp;col=10&amp;number=&amp;sourceID=11","")</f>
        <v/>
      </c>
      <c r="K56" s="4" t="str">
        <f>HYPERLINK("http://141.218.60.56/~jnz1568/getInfo.php?workbook=07_01.xlsx&amp;sheet=A0&amp;row=56&amp;col=11&amp;number=18.585&amp;sourceID=11","18.585")</f>
        <v>18.585</v>
      </c>
      <c r="L56" s="4" t="str">
        <f>HYPERLINK("http://141.218.60.56/~jnz1568/getInfo.php?workbook=07_01.xlsx&amp;sheet=A0&amp;row=56&amp;col=12&amp;number=&amp;sourceID=11","")</f>
        <v/>
      </c>
      <c r="M56" s="4" t="str">
        <f>HYPERLINK("http://141.218.60.56/~jnz1568/getInfo.php?workbook=07_01.xlsx&amp;sheet=A0&amp;row=56&amp;col=13&amp;number=41363000000&amp;sourceID=12","41363000000")</f>
        <v>41363000000</v>
      </c>
      <c r="N56" s="4" t="str">
        <f>HYPERLINK("http://141.218.60.56/~jnz1568/getInfo.php?workbook=07_01.xlsx&amp;sheet=A0&amp;row=56&amp;col=14&amp;number=41363000000&amp;sourceID=12","41363000000")</f>
        <v>41363000000</v>
      </c>
      <c r="O56" s="4" t="str">
        <f>HYPERLINK("http://141.218.60.56/~jnz1568/getInfo.php?workbook=07_01.xlsx&amp;sheet=A0&amp;row=56&amp;col=15&amp;number=&amp;sourceID=12","")</f>
        <v/>
      </c>
      <c r="P56" s="4" t="str">
        <f>HYPERLINK("http://141.218.60.56/~jnz1568/getInfo.php?workbook=07_01.xlsx&amp;sheet=A0&amp;row=56&amp;col=16&amp;number=&amp;sourceID=12","")</f>
        <v/>
      </c>
      <c r="Q56" s="4" t="str">
        <f>HYPERLINK("http://141.218.60.56/~jnz1568/getInfo.php?workbook=07_01.xlsx&amp;sheet=A0&amp;row=56&amp;col=17&amp;number=&amp;sourceID=12","")</f>
        <v/>
      </c>
      <c r="R56" s="4" t="str">
        <f>HYPERLINK("http://141.218.60.56/~jnz1568/getInfo.php?workbook=07_01.xlsx&amp;sheet=A0&amp;row=56&amp;col=18&amp;number=18.586&amp;sourceID=12","18.586")</f>
        <v>18.586</v>
      </c>
      <c r="S56" s="4" t="str">
        <f>HYPERLINK("http://141.218.60.56/~jnz1568/getInfo.php?workbook=07_01.xlsx&amp;sheet=A0&amp;row=56&amp;col=19&amp;number=&amp;sourceID=12","")</f>
        <v/>
      </c>
      <c r="T56" s="4" t="str">
        <f>HYPERLINK("http://141.218.60.56/~jnz1568/getInfo.php?workbook=07_01.xlsx&amp;sheet=A0&amp;row=56&amp;col=20&amp;number==&amp;sourceID=30","=")</f>
        <v>=</v>
      </c>
      <c r="U56" s="4" t="str">
        <f>HYPERLINK("http://141.218.60.56/~jnz1568/getInfo.php?workbook=07_01.xlsx&amp;sheet=A0&amp;row=56&amp;col=21&amp;number=41360000000&amp;sourceID=30","41360000000")</f>
        <v>41360000000</v>
      </c>
      <c r="V56" s="4" t="str">
        <f>HYPERLINK("http://141.218.60.56/~jnz1568/getInfo.php?workbook=07_01.xlsx&amp;sheet=A0&amp;row=56&amp;col=22&amp;number=&amp;sourceID=30","")</f>
        <v/>
      </c>
      <c r="W56" s="4" t="str">
        <f>HYPERLINK("http://141.218.60.56/~jnz1568/getInfo.php?workbook=07_01.xlsx&amp;sheet=A0&amp;row=56&amp;col=23&amp;number=&amp;sourceID=30","")</f>
        <v/>
      </c>
      <c r="X56" s="4" t="str">
        <f>HYPERLINK("http://141.218.60.56/~jnz1568/getInfo.php?workbook=07_01.xlsx&amp;sheet=A0&amp;row=56&amp;col=24&amp;number=18.59&amp;sourceID=30","18.59")</f>
        <v>18.59</v>
      </c>
      <c r="Y56" s="4" t="str">
        <f>HYPERLINK("http://141.218.60.56/~jnz1568/getInfo.php?workbook=07_01.xlsx&amp;sheet=A0&amp;row=56&amp;col=25&amp;number==&amp;sourceID=13","=")</f>
        <v>=</v>
      </c>
      <c r="Z56" s="4" t="str">
        <f>HYPERLINK("http://141.218.60.56/~jnz1568/getInfo.php?workbook=07_01.xlsx&amp;sheet=A0&amp;row=56&amp;col=26&amp;number=41200000000&amp;sourceID=13","41200000000")</f>
        <v>41200000000</v>
      </c>
      <c r="AA56" s="4" t="str">
        <f>HYPERLINK("http://141.218.60.56/~jnz1568/getInfo.php?workbook=07_01.xlsx&amp;sheet=A0&amp;row=56&amp;col=27&amp;number=&amp;sourceID=13","")</f>
        <v/>
      </c>
      <c r="AB56" s="4" t="str">
        <f>HYPERLINK("http://141.218.60.56/~jnz1568/getInfo.php?workbook=07_01.xlsx&amp;sheet=A0&amp;row=56&amp;col=28&amp;number=&amp;sourceID=13","")</f>
        <v/>
      </c>
      <c r="AC56" s="4" t="str">
        <f>HYPERLINK("http://141.218.60.56/~jnz1568/getInfo.php?workbook=07_01.xlsx&amp;sheet=A0&amp;row=56&amp;col=29&amp;number=&amp;sourceID=13","")</f>
        <v/>
      </c>
      <c r="AD56" s="4" t="str">
        <f>HYPERLINK("http://141.218.60.56/~jnz1568/getInfo.php?workbook=07_01.xlsx&amp;sheet=A0&amp;row=56&amp;col=30&amp;number=&amp;sourceID=13","")</f>
        <v/>
      </c>
    </row>
    <row r="57" spans="1:30">
      <c r="A57" s="3">
        <v>7</v>
      </c>
      <c r="B57" s="3">
        <v>1</v>
      </c>
      <c r="C57" s="3">
        <v>12</v>
      </c>
      <c r="D57" s="3">
        <v>3</v>
      </c>
      <c r="E57" s="3">
        <f>((1/(INDEX(E0!J$4:J$28,C57,1)-INDEX(E0!J$4:J$28,D57,1))))*100000000</f>
        <v>0</v>
      </c>
      <c r="F57" s="4" t="str">
        <f>HYPERLINK("http://141.218.60.56/~jnz1568/getInfo.php?workbook=07_01.xlsx&amp;sheet=A0&amp;row=57&amp;col=6&amp;number==&amp;sourceID=11","=")</f>
        <v>=</v>
      </c>
      <c r="G57" s="4" t="str">
        <f>HYPERLINK("http://141.218.60.56/~jnz1568/getInfo.php?workbook=07_01.xlsx&amp;sheet=A0&amp;row=57&amp;col=7&amp;number=&amp;sourceID=11","")</f>
        <v/>
      </c>
      <c r="H57" s="4" t="str">
        <f>HYPERLINK("http://141.218.60.56/~jnz1568/getInfo.php?workbook=07_01.xlsx&amp;sheet=A0&amp;row=57&amp;col=8&amp;number=609960&amp;sourceID=11","609960")</f>
        <v>609960</v>
      </c>
      <c r="I57" s="4" t="str">
        <f>HYPERLINK("http://141.218.60.56/~jnz1568/getInfo.php?workbook=07_01.xlsx&amp;sheet=A0&amp;row=57&amp;col=9&amp;number=&amp;sourceID=11","")</f>
        <v/>
      </c>
      <c r="J57" s="4" t="str">
        <f>HYPERLINK("http://141.218.60.56/~jnz1568/getInfo.php?workbook=07_01.xlsx&amp;sheet=A0&amp;row=57&amp;col=10&amp;number=0.017119&amp;sourceID=11","0.017119")</f>
        <v>0.017119</v>
      </c>
      <c r="K57" s="4" t="str">
        <f>HYPERLINK("http://141.218.60.56/~jnz1568/getInfo.php?workbook=07_01.xlsx&amp;sheet=A0&amp;row=57&amp;col=11&amp;number=&amp;sourceID=11","")</f>
        <v/>
      </c>
      <c r="L57" s="4" t="str">
        <f>HYPERLINK("http://141.218.60.56/~jnz1568/getInfo.php?workbook=07_01.xlsx&amp;sheet=A0&amp;row=57&amp;col=12&amp;number=&amp;sourceID=11","")</f>
        <v/>
      </c>
      <c r="M57" s="4" t="str">
        <f>HYPERLINK("http://141.218.60.56/~jnz1568/getInfo.php?workbook=07_01.xlsx&amp;sheet=A0&amp;row=57&amp;col=13&amp;number=609990&amp;sourceID=12","609990")</f>
        <v>609990</v>
      </c>
      <c r="N57" s="4" t="str">
        <f>HYPERLINK("http://141.218.60.56/~jnz1568/getInfo.php?workbook=07_01.xlsx&amp;sheet=A0&amp;row=57&amp;col=14&amp;number=&amp;sourceID=12","")</f>
        <v/>
      </c>
      <c r="O57" s="4" t="str">
        <f>HYPERLINK("http://141.218.60.56/~jnz1568/getInfo.php?workbook=07_01.xlsx&amp;sheet=A0&amp;row=57&amp;col=15&amp;number=609990&amp;sourceID=12","609990")</f>
        <v>609990</v>
      </c>
      <c r="P57" s="4" t="str">
        <f>HYPERLINK("http://141.218.60.56/~jnz1568/getInfo.php?workbook=07_01.xlsx&amp;sheet=A0&amp;row=57&amp;col=16&amp;number=&amp;sourceID=12","")</f>
        <v/>
      </c>
      <c r="Q57" s="4" t="str">
        <f>HYPERLINK("http://141.218.60.56/~jnz1568/getInfo.php?workbook=07_01.xlsx&amp;sheet=A0&amp;row=57&amp;col=17&amp;number=0.017121&amp;sourceID=12","0.017121")</f>
        <v>0.017121</v>
      </c>
      <c r="R57" s="4" t="str">
        <f>HYPERLINK("http://141.218.60.56/~jnz1568/getInfo.php?workbook=07_01.xlsx&amp;sheet=A0&amp;row=57&amp;col=18&amp;number=&amp;sourceID=12","")</f>
        <v/>
      </c>
      <c r="S57" s="4" t="str">
        <f>HYPERLINK("http://141.218.60.56/~jnz1568/getInfo.php?workbook=07_01.xlsx&amp;sheet=A0&amp;row=57&amp;col=19&amp;number=&amp;sourceID=12","")</f>
        <v/>
      </c>
      <c r="T57" s="4" t="str">
        <f>HYPERLINK("http://141.218.60.56/~jnz1568/getInfo.php?workbook=07_01.xlsx&amp;sheet=A0&amp;row=57&amp;col=20&amp;number==&amp;sourceID=30","=")</f>
        <v>=</v>
      </c>
      <c r="U57" s="4" t="str">
        <f>HYPERLINK("http://141.218.60.56/~jnz1568/getInfo.php?workbook=07_01.xlsx&amp;sheet=A0&amp;row=57&amp;col=21&amp;number=&amp;sourceID=30","")</f>
        <v/>
      </c>
      <c r="V57" s="4" t="str">
        <f>HYPERLINK("http://141.218.60.56/~jnz1568/getInfo.php?workbook=07_01.xlsx&amp;sheet=A0&amp;row=57&amp;col=22&amp;number=610000&amp;sourceID=30","610000")</f>
        <v>610000</v>
      </c>
      <c r="W57" s="4" t="str">
        <f>HYPERLINK("http://141.218.60.56/~jnz1568/getInfo.php?workbook=07_01.xlsx&amp;sheet=A0&amp;row=57&amp;col=23&amp;number=0.01712&amp;sourceID=30","0.01712")</f>
        <v>0.01712</v>
      </c>
      <c r="X57" s="4" t="str">
        <f>HYPERLINK("http://141.218.60.56/~jnz1568/getInfo.php?workbook=07_01.xlsx&amp;sheet=A0&amp;row=57&amp;col=24&amp;number=&amp;sourceID=30","")</f>
        <v/>
      </c>
      <c r="Y57" s="4" t="str">
        <f>HYPERLINK("http://141.218.60.56/~jnz1568/getInfo.php?workbook=07_01.xlsx&amp;sheet=A0&amp;row=57&amp;col=25&amp;number==&amp;sourceID=13","=")</f>
        <v>=</v>
      </c>
      <c r="Z57" s="4" t="str">
        <f>HYPERLINK("http://141.218.60.56/~jnz1568/getInfo.php?workbook=07_01.xlsx&amp;sheet=A0&amp;row=57&amp;col=26&amp;number=&amp;sourceID=13","")</f>
        <v/>
      </c>
      <c r="AA57" s="4" t="str">
        <f>HYPERLINK("http://141.218.60.56/~jnz1568/getInfo.php?workbook=07_01.xlsx&amp;sheet=A0&amp;row=57&amp;col=27&amp;number=598000&amp;sourceID=13","598000")</f>
        <v>598000</v>
      </c>
      <c r="AB57" s="4" t="str">
        <f>HYPERLINK("http://141.218.60.56/~jnz1568/getInfo.php?workbook=07_01.xlsx&amp;sheet=A0&amp;row=57&amp;col=28&amp;number=&amp;sourceID=13","")</f>
        <v/>
      </c>
      <c r="AC57" s="4" t="str">
        <f>HYPERLINK("http://141.218.60.56/~jnz1568/getInfo.php?workbook=07_01.xlsx&amp;sheet=A0&amp;row=57&amp;col=29&amp;number=0.0373&amp;sourceID=13","0.0373")</f>
        <v>0.0373</v>
      </c>
      <c r="AD57" s="4" t="str">
        <f>HYPERLINK("http://141.218.60.56/~jnz1568/getInfo.php?workbook=07_01.xlsx&amp;sheet=A0&amp;row=57&amp;col=30&amp;number=&amp;sourceID=13","")</f>
        <v/>
      </c>
    </row>
    <row r="58" spans="1:30">
      <c r="A58" s="3">
        <v>7</v>
      </c>
      <c r="B58" s="3">
        <v>1</v>
      </c>
      <c r="C58" s="3">
        <v>12</v>
      </c>
      <c r="D58" s="3">
        <v>4</v>
      </c>
      <c r="E58" s="3">
        <f>((1/(INDEX(E0!J$4:J$28,C58,1)-INDEX(E0!J$4:J$28,D58,1))))*100000000</f>
        <v>0</v>
      </c>
      <c r="F58" s="4" t="str">
        <f>HYPERLINK("http://141.218.60.56/~jnz1568/getInfo.php?workbook=07_01.xlsx&amp;sheet=A0&amp;row=58&amp;col=6&amp;number==&amp;sourceID=11","=")</f>
        <v>=</v>
      </c>
      <c r="G58" s="4" t="str">
        <f>HYPERLINK("http://141.218.60.56/~jnz1568/getInfo.php?workbook=07_01.xlsx&amp;sheet=A0&amp;row=58&amp;col=7&amp;number=8253400000&amp;sourceID=11","8253400000")</f>
        <v>8253400000</v>
      </c>
      <c r="H58" s="4" t="str">
        <f>HYPERLINK("http://141.218.60.56/~jnz1568/getInfo.php?workbook=07_01.xlsx&amp;sheet=A0&amp;row=58&amp;col=8&amp;number=&amp;sourceID=11","")</f>
        <v/>
      </c>
      <c r="I58" s="4" t="str">
        <f>HYPERLINK("http://141.218.60.56/~jnz1568/getInfo.php?workbook=07_01.xlsx&amp;sheet=A0&amp;row=58&amp;col=9&amp;number=4.242e-05&amp;sourceID=11","4.242e-05")</f>
        <v>4.242e-05</v>
      </c>
      <c r="J58" s="4" t="str">
        <f>HYPERLINK("http://141.218.60.56/~jnz1568/getInfo.php?workbook=07_01.xlsx&amp;sheet=A0&amp;row=58&amp;col=10&amp;number=&amp;sourceID=11","")</f>
        <v/>
      </c>
      <c r="K58" s="4" t="str">
        <f>HYPERLINK("http://141.218.60.56/~jnz1568/getInfo.php?workbook=07_01.xlsx&amp;sheet=A0&amp;row=58&amp;col=11&amp;number=&amp;sourceID=11","")</f>
        <v/>
      </c>
      <c r="L58" s="4" t="str">
        <f>HYPERLINK("http://141.218.60.56/~jnz1568/getInfo.php?workbook=07_01.xlsx&amp;sheet=A0&amp;row=58&amp;col=12&amp;number=&amp;sourceID=11","")</f>
        <v/>
      </c>
      <c r="M58" s="4" t="str">
        <f>HYPERLINK("http://141.218.60.56/~jnz1568/getInfo.php?workbook=07_01.xlsx&amp;sheet=A0&amp;row=58&amp;col=13&amp;number=8253800000&amp;sourceID=12","8253800000")</f>
        <v>8253800000</v>
      </c>
      <c r="N58" s="4" t="str">
        <f>HYPERLINK("http://141.218.60.56/~jnz1568/getInfo.php?workbook=07_01.xlsx&amp;sheet=A0&amp;row=58&amp;col=14&amp;number=8253800000&amp;sourceID=12","8253800000")</f>
        <v>8253800000</v>
      </c>
      <c r="O58" s="4" t="str">
        <f>HYPERLINK("http://141.218.60.56/~jnz1568/getInfo.php?workbook=07_01.xlsx&amp;sheet=A0&amp;row=58&amp;col=15&amp;number=&amp;sourceID=12","")</f>
        <v/>
      </c>
      <c r="P58" s="4" t="str">
        <f>HYPERLINK("http://141.218.60.56/~jnz1568/getInfo.php?workbook=07_01.xlsx&amp;sheet=A0&amp;row=58&amp;col=16&amp;number=4.242e-05&amp;sourceID=12","4.242e-05")</f>
        <v>4.242e-05</v>
      </c>
      <c r="Q58" s="4" t="str">
        <f>HYPERLINK("http://141.218.60.56/~jnz1568/getInfo.php?workbook=07_01.xlsx&amp;sheet=A0&amp;row=58&amp;col=17&amp;number=&amp;sourceID=12","")</f>
        <v/>
      </c>
      <c r="R58" s="4" t="str">
        <f>HYPERLINK("http://141.218.60.56/~jnz1568/getInfo.php?workbook=07_01.xlsx&amp;sheet=A0&amp;row=58&amp;col=18&amp;number=&amp;sourceID=12","")</f>
        <v/>
      </c>
      <c r="S58" s="4" t="str">
        <f>HYPERLINK("http://141.218.60.56/~jnz1568/getInfo.php?workbook=07_01.xlsx&amp;sheet=A0&amp;row=58&amp;col=19&amp;number=&amp;sourceID=12","")</f>
        <v/>
      </c>
      <c r="T58" s="4" t="str">
        <f>HYPERLINK("http://141.218.60.56/~jnz1568/getInfo.php?workbook=07_01.xlsx&amp;sheet=A0&amp;row=58&amp;col=20&amp;number==&amp;sourceID=30","=")</f>
        <v>=</v>
      </c>
      <c r="U58" s="4" t="str">
        <f>HYPERLINK("http://141.218.60.56/~jnz1568/getInfo.php?workbook=07_01.xlsx&amp;sheet=A0&amp;row=58&amp;col=21&amp;number=8254000000&amp;sourceID=30","8254000000")</f>
        <v>8254000000</v>
      </c>
      <c r="V58" s="4" t="str">
        <f>HYPERLINK("http://141.218.60.56/~jnz1568/getInfo.php?workbook=07_01.xlsx&amp;sheet=A0&amp;row=58&amp;col=22&amp;number=&amp;sourceID=30","")</f>
        <v/>
      </c>
      <c r="W58" s="4" t="str">
        <f>HYPERLINK("http://141.218.60.56/~jnz1568/getInfo.php?workbook=07_01.xlsx&amp;sheet=A0&amp;row=58&amp;col=23&amp;number=&amp;sourceID=30","")</f>
        <v/>
      </c>
      <c r="X58" s="4" t="str">
        <f>HYPERLINK("http://141.218.60.56/~jnz1568/getInfo.php?workbook=07_01.xlsx&amp;sheet=A0&amp;row=58&amp;col=24&amp;number=&amp;sourceID=30","")</f>
        <v/>
      </c>
      <c r="Y58" s="4" t="str">
        <f>HYPERLINK("http://141.218.60.56/~jnz1568/getInfo.php?workbook=07_01.xlsx&amp;sheet=A0&amp;row=58&amp;col=25&amp;number==&amp;sourceID=13","=")</f>
        <v>=</v>
      </c>
      <c r="Z58" s="4" t="str">
        <f>HYPERLINK("http://141.218.60.56/~jnz1568/getInfo.php?workbook=07_01.xlsx&amp;sheet=A0&amp;row=58&amp;col=26&amp;number=8240000000&amp;sourceID=13","8240000000")</f>
        <v>8240000000</v>
      </c>
      <c r="AA58" s="4" t="str">
        <f>HYPERLINK("http://141.218.60.56/~jnz1568/getInfo.php?workbook=07_01.xlsx&amp;sheet=A0&amp;row=58&amp;col=27&amp;number=&amp;sourceID=13","")</f>
        <v/>
      </c>
      <c r="AB58" s="4" t="str">
        <f>HYPERLINK("http://141.218.60.56/~jnz1568/getInfo.php?workbook=07_01.xlsx&amp;sheet=A0&amp;row=58&amp;col=28&amp;number=&amp;sourceID=13","")</f>
        <v/>
      </c>
      <c r="AC58" s="4" t="str">
        <f>HYPERLINK("http://141.218.60.56/~jnz1568/getInfo.php?workbook=07_01.xlsx&amp;sheet=A0&amp;row=58&amp;col=29&amp;number=&amp;sourceID=13","")</f>
        <v/>
      </c>
      <c r="AD58" s="4" t="str">
        <f>HYPERLINK("http://141.218.60.56/~jnz1568/getInfo.php?workbook=07_01.xlsx&amp;sheet=A0&amp;row=58&amp;col=30&amp;number=&amp;sourceID=13","")</f>
        <v/>
      </c>
    </row>
    <row r="59" spans="1:30">
      <c r="A59" s="3">
        <v>7</v>
      </c>
      <c r="B59" s="3">
        <v>1</v>
      </c>
      <c r="C59" s="3">
        <v>12</v>
      </c>
      <c r="D59" s="3">
        <v>5</v>
      </c>
      <c r="E59" s="3">
        <f>((1/(INDEX(E0!J$4:J$28,C59,1)-INDEX(E0!J$4:J$28,D59,1))))*100000000</f>
        <v>0</v>
      </c>
      <c r="F59" s="4" t="str">
        <f>HYPERLINK("http://141.218.60.56/~jnz1568/getInfo.php?workbook=07_01.xlsx&amp;sheet=A0&amp;row=59&amp;col=6&amp;number==&amp;sourceID=11","=")</f>
        <v>=</v>
      </c>
      <c r="G59" s="4" t="str">
        <f>HYPERLINK("http://141.218.60.56/~jnz1568/getInfo.php?workbook=07_01.xlsx&amp;sheet=A0&amp;row=59&amp;col=7&amp;number=14089000000&amp;sourceID=11","14089000000")</f>
        <v>14089000000</v>
      </c>
      <c r="H59" s="4" t="str">
        <f>HYPERLINK("http://141.218.60.56/~jnz1568/getInfo.php?workbook=07_01.xlsx&amp;sheet=A0&amp;row=59&amp;col=8&amp;number=&amp;sourceID=11","")</f>
        <v/>
      </c>
      <c r="I59" s="4" t="str">
        <f>HYPERLINK("http://141.218.60.56/~jnz1568/getInfo.php?workbook=07_01.xlsx&amp;sheet=A0&amp;row=59&amp;col=9&amp;number=&amp;sourceID=11","")</f>
        <v/>
      </c>
      <c r="J59" s="4" t="str">
        <f>HYPERLINK("http://141.218.60.56/~jnz1568/getInfo.php?workbook=07_01.xlsx&amp;sheet=A0&amp;row=59&amp;col=10&amp;number=&amp;sourceID=11","")</f>
        <v/>
      </c>
      <c r="K59" s="4" t="str">
        <f>HYPERLINK("http://141.218.60.56/~jnz1568/getInfo.php?workbook=07_01.xlsx&amp;sheet=A0&amp;row=59&amp;col=11&amp;number=0.42597&amp;sourceID=11","0.42597")</f>
        <v>0.42597</v>
      </c>
      <c r="L59" s="4" t="str">
        <f>HYPERLINK("http://141.218.60.56/~jnz1568/getInfo.php?workbook=07_01.xlsx&amp;sheet=A0&amp;row=59&amp;col=12&amp;number=&amp;sourceID=11","")</f>
        <v/>
      </c>
      <c r="M59" s="4" t="str">
        <f>HYPERLINK("http://141.218.60.56/~jnz1568/getInfo.php?workbook=07_01.xlsx&amp;sheet=A0&amp;row=59&amp;col=13&amp;number=14089000000&amp;sourceID=12","14089000000")</f>
        <v>14089000000</v>
      </c>
      <c r="N59" s="4" t="str">
        <f>HYPERLINK("http://141.218.60.56/~jnz1568/getInfo.php?workbook=07_01.xlsx&amp;sheet=A0&amp;row=59&amp;col=14&amp;number=14089000000&amp;sourceID=12","14089000000")</f>
        <v>14089000000</v>
      </c>
      <c r="O59" s="4" t="str">
        <f>HYPERLINK("http://141.218.60.56/~jnz1568/getInfo.php?workbook=07_01.xlsx&amp;sheet=A0&amp;row=59&amp;col=15&amp;number=&amp;sourceID=12","")</f>
        <v/>
      </c>
      <c r="P59" s="4" t="str">
        <f>HYPERLINK("http://141.218.60.56/~jnz1568/getInfo.php?workbook=07_01.xlsx&amp;sheet=A0&amp;row=59&amp;col=16&amp;number=&amp;sourceID=12","")</f>
        <v/>
      </c>
      <c r="Q59" s="4" t="str">
        <f>HYPERLINK("http://141.218.60.56/~jnz1568/getInfo.php?workbook=07_01.xlsx&amp;sheet=A0&amp;row=59&amp;col=17&amp;number=&amp;sourceID=12","")</f>
        <v/>
      </c>
      <c r="R59" s="4" t="str">
        <f>HYPERLINK("http://141.218.60.56/~jnz1568/getInfo.php?workbook=07_01.xlsx&amp;sheet=A0&amp;row=59&amp;col=18&amp;number=0.42599&amp;sourceID=12","0.42599")</f>
        <v>0.42599</v>
      </c>
      <c r="S59" s="4" t="str">
        <f>HYPERLINK("http://141.218.60.56/~jnz1568/getInfo.php?workbook=07_01.xlsx&amp;sheet=A0&amp;row=59&amp;col=19&amp;number=&amp;sourceID=12","")</f>
        <v/>
      </c>
      <c r="T59" s="4" t="str">
        <f>HYPERLINK("http://141.218.60.56/~jnz1568/getInfo.php?workbook=07_01.xlsx&amp;sheet=A0&amp;row=59&amp;col=20&amp;number==&amp;sourceID=30","=")</f>
        <v>=</v>
      </c>
      <c r="U59" s="4" t="str">
        <f>HYPERLINK("http://141.218.60.56/~jnz1568/getInfo.php?workbook=07_01.xlsx&amp;sheet=A0&amp;row=59&amp;col=21&amp;number=14090000000&amp;sourceID=30","14090000000")</f>
        <v>14090000000</v>
      </c>
      <c r="V59" s="4" t="str">
        <f>HYPERLINK("http://141.218.60.56/~jnz1568/getInfo.php?workbook=07_01.xlsx&amp;sheet=A0&amp;row=59&amp;col=22&amp;number=&amp;sourceID=30","")</f>
        <v/>
      </c>
      <c r="W59" s="4" t="str">
        <f>HYPERLINK("http://141.218.60.56/~jnz1568/getInfo.php?workbook=07_01.xlsx&amp;sheet=A0&amp;row=59&amp;col=23&amp;number=&amp;sourceID=30","")</f>
        <v/>
      </c>
      <c r="X59" s="4" t="str">
        <f>HYPERLINK("http://141.218.60.56/~jnz1568/getInfo.php?workbook=07_01.xlsx&amp;sheet=A0&amp;row=59&amp;col=24&amp;number=0.426&amp;sourceID=30","0.426")</f>
        <v>0.426</v>
      </c>
      <c r="Y59" s="4" t="str">
        <f>HYPERLINK("http://141.218.60.56/~jnz1568/getInfo.php?workbook=07_01.xlsx&amp;sheet=A0&amp;row=59&amp;col=25&amp;number==&amp;sourceID=13","=")</f>
        <v>=</v>
      </c>
      <c r="Z59" s="4" t="str">
        <f>HYPERLINK("http://141.218.60.56/~jnz1568/getInfo.php?workbook=07_01.xlsx&amp;sheet=A0&amp;row=59&amp;col=26&amp;number=14100000000&amp;sourceID=13","14100000000")</f>
        <v>14100000000</v>
      </c>
      <c r="AA59" s="4" t="str">
        <f>HYPERLINK("http://141.218.60.56/~jnz1568/getInfo.php?workbook=07_01.xlsx&amp;sheet=A0&amp;row=59&amp;col=27&amp;number=&amp;sourceID=13","")</f>
        <v/>
      </c>
      <c r="AB59" s="4" t="str">
        <f>HYPERLINK("http://141.218.60.56/~jnz1568/getInfo.php?workbook=07_01.xlsx&amp;sheet=A0&amp;row=59&amp;col=28&amp;number=&amp;sourceID=13","")</f>
        <v/>
      </c>
      <c r="AC59" s="4" t="str">
        <f>HYPERLINK("http://141.218.60.56/~jnz1568/getInfo.php?workbook=07_01.xlsx&amp;sheet=A0&amp;row=59&amp;col=29&amp;number=&amp;sourceID=13","")</f>
        <v/>
      </c>
      <c r="AD59" s="4" t="str">
        <f>HYPERLINK("http://141.218.60.56/~jnz1568/getInfo.php?workbook=07_01.xlsx&amp;sheet=A0&amp;row=59&amp;col=30&amp;number=&amp;sourceID=13","")</f>
        <v/>
      </c>
    </row>
    <row r="60" spans="1:30">
      <c r="A60" s="3">
        <v>7</v>
      </c>
      <c r="B60" s="3">
        <v>1</v>
      </c>
      <c r="C60" s="3">
        <v>12</v>
      </c>
      <c r="D60" s="3">
        <v>6</v>
      </c>
      <c r="E60" s="3">
        <f>((1/(INDEX(E0!J$4:J$28,C60,1)-INDEX(E0!J$4:J$28,D60,1))))*100000000</f>
        <v>0</v>
      </c>
      <c r="F60" s="4" t="str">
        <f>HYPERLINK("http://141.218.60.56/~jnz1568/getInfo.php?workbook=07_01.xlsx&amp;sheet=A0&amp;row=60&amp;col=6&amp;number==&amp;sourceID=11","=")</f>
        <v>=</v>
      </c>
      <c r="G60" s="4" t="str">
        <f>HYPERLINK("http://141.218.60.56/~jnz1568/getInfo.php?workbook=07_01.xlsx&amp;sheet=A0&amp;row=60&amp;col=7&amp;number=&amp;sourceID=11","")</f>
        <v/>
      </c>
      <c r="H60" s="4" t="str">
        <f>HYPERLINK("http://141.218.60.56/~jnz1568/getInfo.php?workbook=07_01.xlsx&amp;sheet=A0&amp;row=60&amp;col=8&amp;number=443660&amp;sourceID=11","443660")</f>
        <v>443660</v>
      </c>
      <c r="I60" s="4" t="str">
        <f>HYPERLINK("http://141.218.60.56/~jnz1568/getInfo.php?workbook=07_01.xlsx&amp;sheet=A0&amp;row=60&amp;col=9&amp;number=&amp;sourceID=11","")</f>
        <v/>
      </c>
      <c r="J60" s="4" t="str">
        <f>HYPERLINK("http://141.218.60.56/~jnz1568/getInfo.php?workbook=07_01.xlsx&amp;sheet=A0&amp;row=60&amp;col=10&amp;number=0.00015299&amp;sourceID=11","0.00015299")</f>
        <v>0.00015299</v>
      </c>
      <c r="K60" s="4" t="str">
        <f>HYPERLINK("http://141.218.60.56/~jnz1568/getInfo.php?workbook=07_01.xlsx&amp;sheet=A0&amp;row=60&amp;col=11&amp;number=&amp;sourceID=11","")</f>
        <v/>
      </c>
      <c r="L60" s="4" t="str">
        <f>HYPERLINK("http://141.218.60.56/~jnz1568/getInfo.php?workbook=07_01.xlsx&amp;sheet=A0&amp;row=60&amp;col=12&amp;number=&amp;sourceID=11","")</f>
        <v/>
      </c>
      <c r="M60" s="4" t="str">
        <f>HYPERLINK("http://141.218.60.56/~jnz1568/getInfo.php?workbook=07_01.xlsx&amp;sheet=A0&amp;row=60&amp;col=13&amp;number=443680&amp;sourceID=12","443680")</f>
        <v>443680</v>
      </c>
      <c r="N60" s="4" t="str">
        <f>HYPERLINK("http://141.218.60.56/~jnz1568/getInfo.php?workbook=07_01.xlsx&amp;sheet=A0&amp;row=60&amp;col=14&amp;number=&amp;sourceID=12","")</f>
        <v/>
      </c>
      <c r="O60" s="4" t="str">
        <f>HYPERLINK("http://141.218.60.56/~jnz1568/getInfo.php?workbook=07_01.xlsx&amp;sheet=A0&amp;row=60&amp;col=15&amp;number=443680&amp;sourceID=12","443680")</f>
        <v>443680</v>
      </c>
      <c r="P60" s="4" t="str">
        <f>HYPERLINK("http://141.218.60.56/~jnz1568/getInfo.php?workbook=07_01.xlsx&amp;sheet=A0&amp;row=60&amp;col=16&amp;number=&amp;sourceID=12","")</f>
        <v/>
      </c>
      <c r="Q60" s="4" t="str">
        <f>HYPERLINK("http://141.218.60.56/~jnz1568/getInfo.php?workbook=07_01.xlsx&amp;sheet=A0&amp;row=60&amp;col=17&amp;number=0.000153&amp;sourceID=12","0.000153")</f>
        <v>0.000153</v>
      </c>
      <c r="R60" s="4" t="str">
        <f>HYPERLINK("http://141.218.60.56/~jnz1568/getInfo.php?workbook=07_01.xlsx&amp;sheet=A0&amp;row=60&amp;col=18&amp;number=&amp;sourceID=12","")</f>
        <v/>
      </c>
      <c r="S60" s="4" t="str">
        <f>HYPERLINK("http://141.218.60.56/~jnz1568/getInfo.php?workbook=07_01.xlsx&amp;sheet=A0&amp;row=60&amp;col=19&amp;number=&amp;sourceID=12","")</f>
        <v/>
      </c>
      <c r="T60" s="4" t="str">
        <f>HYPERLINK("http://141.218.60.56/~jnz1568/getInfo.php?workbook=07_01.xlsx&amp;sheet=A0&amp;row=60&amp;col=20&amp;number==&amp;sourceID=30","=")</f>
        <v>=</v>
      </c>
      <c r="U60" s="4" t="str">
        <f>HYPERLINK("http://141.218.60.56/~jnz1568/getInfo.php?workbook=07_01.xlsx&amp;sheet=A0&amp;row=60&amp;col=21&amp;number=&amp;sourceID=30","")</f>
        <v/>
      </c>
      <c r="V60" s="4" t="str">
        <f>HYPERLINK("http://141.218.60.56/~jnz1568/getInfo.php?workbook=07_01.xlsx&amp;sheet=A0&amp;row=60&amp;col=22&amp;number=443700&amp;sourceID=30","443700")</f>
        <v>443700</v>
      </c>
      <c r="W60" s="4" t="str">
        <f>HYPERLINK("http://141.218.60.56/~jnz1568/getInfo.php?workbook=07_01.xlsx&amp;sheet=A0&amp;row=60&amp;col=23&amp;number=0.0001528&amp;sourceID=30","0.0001528")</f>
        <v>0.0001528</v>
      </c>
      <c r="X60" s="4" t="str">
        <f>HYPERLINK("http://141.218.60.56/~jnz1568/getInfo.php?workbook=07_01.xlsx&amp;sheet=A0&amp;row=60&amp;col=24&amp;number=&amp;sourceID=30","")</f>
        <v/>
      </c>
      <c r="Y60" s="4" t="str">
        <f>HYPERLINK("http://141.218.60.56/~jnz1568/getInfo.php?workbook=07_01.xlsx&amp;sheet=A0&amp;row=60&amp;col=25&amp;number==&amp;sourceID=13","=")</f>
        <v>=</v>
      </c>
      <c r="Z60" s="4" t="str">
        <f>HYPERLINK("http://141.218.60.56/~jnz1568/getInfo.php?workbook=07_01.xlsx&amp;sheet=A0&amp;row=60&amp;col=26&amp;number=&amp;sourceID=13","")</f>
        <v/>
      </c>
      <c r="AA60" s="4" t="str">
        <f>HYPERLINK("http://141.218.60.56/~jnz1568/getInfo.php?workbook=07_01.xlsx&amp;sheet=A0&amp;row=60&amp;col=27&amp;number=443000&amp;sourceID=13","443000")</f>
        <v>443000</v>
      </c>
      <c r="AB60" s="4" t="str">
        <f>HYPERLINK("http://141.218.60.56/~jnz1568/getInfo.php?workbook=07_01.xlsx&amp;sheet=A0&amp;row=60&amp;col=28&amp;number=&amp;sourceID=13","")</f>
        <v/>
      </c>
      <c r="AC60" s="4" t="str">
        <f>HYPERLINK("http://141.218.60.56/~jnz1568/getInfo.php?workbook=07_01.xlsx&amp;sheet=A0&amp;row=60&amp;col=29&amp;number=0.000243&amp;sourceID=13","0.000243")</f>
        <v>0.000243</v>
      </c>
      <c r="AD60" s="4" t="str">
        <f>HYPERLINK("http://141.218.60.56/~jnz1568/getInfo.php?workbook=07_01.xlsx&amp;sheet=A0&amp;row=60&amp;col=30&amp;number=&amp;sourceID=13","")</f>
        <v/>
      </c>
    </row>
    <row r="61" spans="1:30">
      <c r="A61" s="3">
        <v>7</v>
      </c>
      <c r="B61" s="3">
        <v>1</v>
      </c>
      <c r="C61" s="3">
        <v>12</v>
      </c>
      <c r="D61" s="3">
        <v>7</v>
      </c>
      <c r="E61" s="3">
        <f>((1/(INDEX(E0!J$4:J$28,C61,1)-INDEX(E0!J$4:J$28,D61,1))))*100000000</f>
        <v>0</v>
      </c>
      <c r="F61" s="4" t="str">
        <f>HYPERLINK("http://141.218.60.56/~jnz1568/getInfo.php?workbook=07_01.xlsx&amp;sheet=A0&amp;row=61&amp;col=6&amp;number==&amp;sourceID=11","=")</f>
        <v>=</v>
      </c>
      <c r="G61" s="4" t="str">
        <f>HYPERLINK("http://141.218.60.56/~jnz1568/getInfo.php?workbook=07_01.xlsx&amp;sheet=A0&amp;row=61&amp;col=7&amp;number=&amp;sourceID=11","")</f>
        <v/>
      </c>
      <c r="H61" s="4" t="str">
        <f>HYPERLINK("http://141.218.60.56/~jnz1568/getInfo.php?workbook=07_01.xlsx&amp;sheet=A0&amp;row=61&amp;col=8&amp;number=98054&amp;sourceID=11","98054")</f>
        <v>98054</v>
      </c>
      <c r="I61" s="4" t="str">
        <f>HYPERLINK("http://141.218.60.56/~jnz1568/getInfo.php?workbook=07_01.xlsx&amp;sheet=A0&amp;row=61&amp;col=9&amp;number=&amp;sourceID=11","")</f>
        <v/>
      </c>
      <c r="J61" s="4" t="str">
        <f>HYPERLINK("http://141.218.60.56/~jnz1568/getInfo.php?workbook=07_01.xlsx&amp;sheet=A0&amp;row=61&amp;col=10&amp;number=0.0051573&amp;sourceID=11","0.0051573")</f>
        <v>0.0051573</v>
      </c>
      <c r="K61" s="4" t="str">
        <f>HYPERLINK("http://141.218.60.56/~jnz1568/getInfo.php?workbook=07_01.xlsx&amp;sheet=A0&amp;row=61&amp;col=11&amp;number=&amp;sourceID=11","")</f>
        <v/>
      </c>
      <c r="L61" s="4" t="str">
        <f>HYPERLINK("http://141.218.60.56/~jnz1568/getInfo.php?workbook=07_01.xlsx&amp;sheet=A0&amp;row=61&amp;col=12&amp;number=3.2207e-06&amp;sourceID=11","3.2207e-06")</f>
        <v>3.2207e-06</v>
      </c>
      <c r="M61" s="4" t="str">
        <f>HYPERLINK("http://141.218.60.56/~jnz1568/getInfo.php?workbook=07_01.xlsx&amp;sheet=A0&amp;row=61&amp;col=13&amp;number=98058&amp;sourceID=12","98058")</f>
        <v>98058</v>
      </c>
      <c r="N61" s="4" t="str">
        <f>HYPERLINK("http://141.218.60.56/~jnz1568/getInfo.php?workbook=07_01.xlsx&amp;sheet=A0&amp;row=61&amp;col=14&amp;number=&amp;sourceID=12","")</f>
        <v/>
      </c>
      <c r="O61" s="4" t="str">
        <f>HYPERLINK("http://141.218.60.56/~jnz1568/getInfo.php?workbook=07_01.xlsx&amp;sheet=A0&amp;row=61&amp;col=15&amp;number=98058&amp;sourceID=12","98058")</f>
        <v>98058</v>
      </c>
      <c r="P61" s="4" t="str">
        <f>HYPERLINK("http://141.218.60.56/~jnz1568/getInfo.php?workbook=07_01.xlsx&amp;sheet=A0&amp;row=61&amp;col=16&amp;number=&amp;sourceID=12","")</f>
        <v/>
      </c>
      <c r="Q61" s="4" t="str">
        <f>HYPERLINK("http://141.218.60.56/~jnz1568/getInfo.php?workbook=07_01.xlsx&amp;sheet=A0&amp;row=61&amp;col=17&amp;number=0.0051576&amp;sourceID=12","0.0051576")</f>
        <v>0.0051576</v>
      </c>
      <c r="R61" s="4" t="str">
        <f>HYPERLINK("http://141.218.60.56/~jnz1568/getInfo.php?workbook=07_01.xlsx&amp;sheet=A0&amp;row=61&amp;col=18&amp;number=&amp;sourceID=12","")</f>
        <v/>
      </c>
      <c r="S61" s="4" t="str">
        <f>HYPERLINK("http://141.218.60.56/~jnz1568/getInfo.php?workbook=07_01.xlsx&amp;sheet=A0&amp;row=61&amp;col=19&amp;number=3.2208e-06&amp;sourceID=12","3.2208e-06")</f>
        <v>3.2208e-06</v>
      </c>
      <c r="T61" s="4" t="str">
        <f>HYPERLINK("http://141.218.60.56/~jnz1568/getInfo.php?workbook=07_01.xlsx&amp;sheet=A0&amp;row=61&amp;col=20&amp;number==&amp;sourceID=30","=")</f>
        <v>=</v>
      </c>
      <c r="U61" s="4" t="str">
        <f>HYPERLINK("http://141.218.60.56/~jnz1568/getInfo.php?workbook=07_01.xlsx&amp;sheet=A0&amp;row=61&amp;col=21&amp;number=&amp;sourceID=30","")</f>
        <v/>
      </c>
      <c r="V61" s="4" t="str">
        <f>HYPERLINK("http://141.218.60.56/~jnz1568/getInfo.php?workbook=07_01.xlsx&amp;sheet=A0&amp;row=61&amp;col=22&amp;number=98060&amp;sourceID=30","98060")</f>
        <v>98060</v>
      </c>
      <c r="W61" s="4" t="str">
        <f>HYPERLINK("http://141.218.60.56/~jnz1568/getInfo.php?workbook=07_01.xlsx&amp;sheet=A0&amp;row=61&amp;col=23&amp;number=0.005159&amp;sourceID=30","0.005159")</f>
        <v>0.005159</v>
      </c>
      <c r="X61" s="4" t="str">
        <f>HYPERLINK("http://141.218.60.56/~jnz1568/getInfo.php?workbook=07_01.xlsx&amp;sheet=A0&amp;row=61&amp;col=24&amp;number=&amp;sourceID=30","")</f>
        <v/>
      </c>
      <c r="Y61" s="4" t="str">
        <f>HYPERLINK("http://141.218.60.56/~jnz1568/getInfo.php?workbook=07_01.xlsx&amp;sheet=A0&amp;row=61&amp;col=25&amp;number==&amp;sourceID=13","=")</f>
        <v>=</v>
      </c>
      <c r="Z61" s="4" t="str">
        <f>HYPERLINK("http://141.218.60.56/~jnz1568/getInfo.php?workbook=07_01.xlsx&amp;sheet=A0&amp;row=61&amp;col=26&amp;number=&amp;sourceID=13","")</f>
        <v/>
      </c>
      <c r="AA61" s="4" t="str">
        <f>HYPERLINK("http://141.218.60.56/~jnz1568/getInfo.php?workbook=07_01.xlsx&amp;sheet=A0&amp;row=61&amp;col=27&amp;number=97900&amp;sourceID=13","97900")</f>
        <v>97900</v>
      </c>
      <c r="AB61" s="4" t="str">
        <f>HYPERLINK("http://141.218.60.56/~jnz1568/getInfo.php?workbook=07_01.xlsx&amp;sheet=A0&amp;row=61&amp;col=28&amp;number=&amp;sourceID=13","")</f>
        <v/>
      </c>
      <c r="AC61" s="4" t="str">
        <f>HYPERLINK("http://141.218.60.56/~jnz1568/getInfo.php?workbook=07_01.xlsx&amp;sheet=A0&amp;row=61&amp;col=29&amp;number=0.00515&amp;sourceID=13","0.00515")</f>
        <v>0.00515</v>
      </c>
      <c r="AD61" s="4" t="str">
        <f>HYPERLINK("http://141.218.60.56/~jnz1568/getInfo.php?workbook=07_01.xlsx&amp;sheet=A0&amp;row=61&amp;col=30&amp;number=&amp;sourceID=13","")</f>
        <v/>
      </c>
    </row>
    <row r="62" spans="1:30">
      <c r="A62" s="3">
        <v>7</v>
      </c>
      <c r="B62" s="3">
        <v>1</v>
      </c>
      <c r="C62" s="3">
        <v>12</v>
      </c>
      <c r="D62" s="3">
        <v>8</v>
      </c>
      <c r="E62" s="3">
        <f>((1/(INDEX(E0!J$4:J$28,C62,1)-INDEX(E0!J$4:J$28,D62,1))))*100000000</f>
        <v>0</v>
      </c>
      <c r="F62" s="4" t="str">
        <f>HYPERLINK("http://141.218.60.56/~jnz1568/getInfo.php?workbook=07_01.xlsx&amp;sheet=A0&amp;row=62&amp;col=6&amp;number==&amp;sourceID=11","=")</f>
        <v>=</v>
      </c>
      <c r="G62" s="4" t="str">
        <f>HYPERLINK("http://141.218.60.56/~jnz1568/getInfo.php?workbook=07_01.xlsx&amp;sheet=A0&amp;row=62&amp;col=7&amp;number=2818700000&amp;sourceID=11","2818700000")</f>
        <v>2818700000</v>
      </c>
      <c r="H62" s="4" t="str">
        <f>HYPERLINK("http://141.218.60.56/~jnz1568/getInfo.php?workbook=07_01.xlsx&amp;sheet=A0&amp;row=62&amp;col=8&amp;number=&amp;sourceID=11","")</f>
        <v/>
      </c>
      <c r="I62" s="4" t="str">
        <f>HYPERLINK("http://141.218.60.56/~jnz1568/getInfo.php?workbook=07_01.xlsx&amp;sheet=A0&amp;row=62&amp;col=9&amp;number=7.2523&amp;sourceID=11","7.2523")</f>
        <v>7.2523</v>
      </c>
      <c r="J62" s="4" t="str">
        <f>HYPERLINK("http://141.218.60.56/~jnz1568/getInfo.php?workbook=07_01.xlsx&amp;sheet=A0&amp;row=62&amp;col=10&amp;number=&amp;sourceID=11","")</f>
        <v/>
      </c>
      <c r="K62" s="4" t="str">
        <f>HYPERLINK("http://141.218.60.56/~jnz1568/getInfo.php?workbook=07_01.xlsx&amp;sheet=A0&amp;row=62&amp;col=11&amp;number=&amp;sourceID=11","")</f>
        <v/>
      </c>
      <c r="L62" s="4" t="str">
        <f>HYPERLINK("http://141.218.60.56/~jnz1568/getInfo.php?workbook=07_01.xlsx&amp;sheet=A0&amp;row=62&amp;col=12&amp;number=&amp;sourceID=11","")</f>
        <v/>
      </c>
      <c r="M62" s="4" t="str">
        <f>HYPERLINK("http://141.218.60.56/~jnz1568/getInfo.php?workbook=07_01.xlsx&amp;sheet=A0&amp;row=62&amp;col=13&amp;number=2818800000&amp;sourceID=12","2818800000")</f>
        <v>2818800000</v>
      </c>
      <c r="N62" s="4" t="str">
        <f>HYPERLINK("http://141.218.60.56/~jnz1568/getInfo.php?workbook=07_01.xlsx&amp;sheet=A0&amp;row=62&amp;col=14&amp;number=2818800000&amp;sourceID=12","2818800000")</f>
        <v>2818800000</v>
      </c>
      <c r="O62" s="4" t="str">
        <f>HYPERLINK("http://141.218.60.56/~jnz1568/getInfo.php?workbook=07_01.xlsx&amp;sheet=A0&amp;row=62&amp;col=15&amp;number=&amp;sourceID=12","")</f>
        <v/>
      </c>
      <c r="P62" s="4" t="str">
        <f>HYPERLINK("http://141.218.60.56/~jnz1568/getInfo.php?workbook=07_01.xlsx&amp;sheet=A0&amp;row=62&amp;col=16&amp;number=7.2526&amp;sourceID=12","7.2526")</f>
        <v>7.2526</v>
      </c>
      <c r="Q62" s="4" t="str">
        <f>HYPERLINK("http://141.218.60.56/~jnz1568/getInfo.php?workbook=07_01.xlsx&amp;sheet=A0&amp;row=62&amp;col=17&amp;number=&amp;sourceID=12","")</f>
        <v/>
      </c>
      <c r="R62" s="4" t="str">
        <f>HYPERLINK("http://141.218.60.56/~jnz1568/getInfo.php?workbook=07_01.xlsx&amp;sheet=A0&amp;row=62&amp;col=18&amp;number=&amp;sourceID=12","")</f>
        <v/>
      </c>
      <c r="S62" s="4" t="str">
        <f>HYPERLINK("http://141.218.60.56/~jnz1568/getInfo.php?workbook=07_01.xlsx&amp;sheet=A0&amp;row=62&amp;col=19&amp;number=&amp;sourceID=12","")</f>
        <v/>
      </c>
      <c r="T62" s="4" t="str">
        <f>HYPERLINK("http://141.218.60.56/~jnz1568/getInfo.php?workbook=07_01.xlsx&amp;sheet=A0&amp;row=62&amp;col=20&amp;number==&amp;sourceID=30","=")</f>
        <v>=</v>
      </c>
      <c r="U62" s="4" t="str">
        <f>HYPERLINK("http://141.218.60.56/~jnz1568/getInfo.php?workbook=07_01.xlsx&amp;sheet=A0&amp;row=62&amp;col=21&amp;number=2819000000&amp;sourceID=30","2819000000")</f>
        <v>2819000000</v>
      </c>
      <c r="V62" s="4" t="str">
        <f>HYPERLINK("http://141.218.60.56/~jnz1568/getInfo.php?workbook=07_01.xlsx&amp;sheet=A0&amp;row=62&amp;col=22&amp;number=&amp;sourceID=30","")</f>
        <v/>
      </c>
      <c r="W62" s="4" t="str">
        <f>HYPERLINK("http://141.218.60.56/~jnz1568/getInfo.php?workbook=07_01.xlsx&amp;sheet=A0&amp;row=62&amp;col=23&amp;number=&amp;sourceID=30","")</f>
        <v/>
      </c>
      <c r="X62" s="4" t="str">
        <f>HYPERLINK("http://141.218.60.56/~jnz1568/getInfo.php?workbook=07_01.xlsx&amp;sheet=A0&amp;row=62&amp;col=24&amp;number=&amp;sourceID=30","")</f>
        <v/>
      </c>
      <c r="Y62" s="4" t="str">
        <f>HYPERLINK("http://141.218.60.56/~jnz1568/getInfo.php?workbook=07_01.xlsx&amp;sheet=A0&amp;row=62&amp;col=25&amp;number==&amp;sourceID=13","=")</f>
        <v>=</v>
      </c>
      <c r="Z62" s="4" t="str">
        <f>HYPERLINK("http://141.218.60.56/~jnz1568/getInfo.php?workbook=07_01.xlsx&amp;sheet=A0&amp;row=62&amp;col=26&amp;number=2820000000&amp;sourceID=13","2820000000")</f>
        <v>2820000000</v>
      </c>
      <c r="AA62" s="4" t="str">
        <f>HYPERLINK("http://141.218.60.56/~jnz1568/getInfo.php?workbook=07_01.xlsx&amp;sheet=A0&amp;row=62&amp;col=27&amp;number=&amp;sourceID=13","")</f>
        <v/>
      </c>
      <c r="AB62" s="4" t="str">
        <f>HYPERLINK("http://141.218.60.56/~jnz1568/getInfo.php?workbook=07_01.xlsx&amp;sheet=A0&amp;row=62&amp;col=28&amp;number=&amp;sourceID=13","")</f>
        <v/>
      </c>
      <c r="AC62" s="4" t="str">
        <f>HYPERLINK("http://141.218.60.56/~jnz1568/getInfo.php?workbook=07_01.xlsx&amp;sheet=A0&amp;row=62&amp;col=29&amp;number=&amp;sourceID=13","")</f>
        <v/>
      </c>
      <c r="AD62" s="4" t="str">
        <f>HYPERLINK("http://141.218.60.56/~jnz1568/getInfo.php?workbook=07_01.xlsx&amp;sheet=A0&amp;row=62&amp;col=30&amp;number=&amp;sourceID=13","")</f>
        <v/>
      </c>
    </row>
    <row r="63" spans="1:30">
      <c r="A63" s="3">
        <v>7</v>
      </c>
      <c r="B63" s="3">
        <v>1</v>
      </c>
      <c r="C63" s="3">
        <v>12</v>
      </c>
      <c r="D63" s="3">
        <v>9</v>
      </c>
      <c r="E63" s="3">
        <f>((1/(INDEX(E0!J$4:J$28,C63,1)-INDEX(E0!J$4:J$28,D63,1))))*100000000</f>
        <v>0</v>
      </c>
      <c r="F63" s="4" t="str">
        <f>HYPERLINK("http://141.218.60.56/~jnz1568/getInfo.php?workbook=07_01.xlsx&amp;sheet=A0&amp;row=63&amp;col=6&amp;number==&amp;sourceID=11","=")</f>
        <v>=</v>
      </c>
      <c r="G63" s="4" t="str">
        <f>HYPERLINK("http://141.218.60.56/~jnz1568/getInfo.php?workbook=07_01.xlsx&amp;sheet=A0&amp;row=63&amp;col=7&amp;number=&amp;sourceID=11","")</f>
        <v/>
      </c>
      <c r="H63" s="4" t="str">
        <f>HYPERLINK("http://141.218.60.56/~jnz1568/getInfo.php?workbook=07_01.xlsx&amp;sheet=A0&amp;row=63&amp;col=8&amp;number=42007&amp;sourceID=11","42007")</f>
        <v>42007</v>
      </c>
      <c r="I63" s="4" t="str">
        <f>HYPERLINK("http://141.218.60.56/~jnz1568/getInfo.php?workbook=07_01.xlsx&amp;sheet=A0&amp;row=63&amp;col=9&amp;number=&amp;sourceID=11","")</f>
        <v/>
      </c>
      <c r="J63" s="4" t="str">
        <f>HYPERLINK("http://141.218.60.56/~jnz1568/getInfo.php?workbook=07_01.xlsx&amp;sheet=A0&amp;row=63&amp;col=10&amp;number=0.015387&amp;sourceID=11","0.015387")</f>
        <v>0.015387</v>
      </c>
      <c r="K63" s="4" t="str">
        <f>HYPERLINK("http://141.218.60.56/~jnz1568/getInfo.php?workbook=07_01.xlsx&amp;sheet=A0&amp;row=63&amp;col=11&amp;number=&amp;sourceID=11","")</f>
        <v/>
      </c>
      <c r="L63" s="4" t="str">
        <f>HYPERLINK("http://141.218.60.56/~jnz1568/getInfo.php?workbook=07_01.xlsx&amp;sheet=A0&amp;row=63&amp;col=12&amp;number=2.1452e-06&amp;sourceID=11","2.1452e-06")</f>
        <v>2.1452e-06</v>
      </c>
      <c r="M63" s="4" t="str">
        <f>HYPERLINK("http://141.218.60.56/~jnz1568/getInfo.php?workbook=07_01.xlsx&amp;sheet=A0&amp;row=63&amp;col=13&amp;number=42009&amp;sourceID=12","42009")</f>
        <v>42009</v>
      </c>
      <c r="N63" s="4" t="str">
        <f>HYPERLINK("http://141.218.60.56/~jnz1568/getInfo.php?workbook=07_01.xlsx&amp;sheet=A0&amp;row=63&amp;col=14&amp;number=&amp;sourceID=12","")</f>
        <v/>
      </c>
      <c r="O63" s="4" t="str">
        <f>HYPERLINK("http://141.218.60.56/~jnz1568/getInfo.php?workbook=07_01.xlsx&amp;sheet=A0&amp;row=63&amp;col=15&amp;number=42009&amp;sourceID=12","42009")</f>
        <v>42009</v>
      </c>
      <c r="P63" s="4" t="str">
        <f>HYPERLINK("http://141.218.60.56/~jnz1568/getInfo.php?workbook=07_01.xlsx&amp;sheet=A0&amp;row=63&amp;col=16&amp;number=&amp;sourceID=12","")</f>
        <v/>
      </c>
      <c r="Q63" s="4" t="str">
        <f>HYPERLINK("http://141.218.60.56/~jnz1568/getInfo.php?workbook=07_01.xlsx&amp;sheet=A0&amp;row=63&amp;col=17&amp;number=0.015387&amp;sourceID=12","0.015387")</f>
        <v>0.015387</v>
      </c>
      <c r="R63" s="4" t="str">
        <f>HYPERLINK("http://141.218.60.56/~jnz1568/getInfo.php?workbook=07_01.xlsx&amp;sheet=A0&amp;row=63&amp;col=18&amp;number=&amp;sourceID=12","")</f>
        <v/>
      </c>
      <c r="S63" s="4" t="str">
        <f>HYPERLINK("http://141.218.60.56/~jnz1568/getInfo.php?workbook=07_01.xlsx&amp;sheet=A0&amp;row=63&amp;col=19&amp;number=2.1453e-06&amp;sourceID=12","2.1453e-06")</f>
        <v>2.1453e-06</v>
      </c>
      <c r="T63" s="4" t="str">
        <f>HYPERLINK("http://141.218.60.56/~jnz1568/getInfo.php?workbook=07_01.xlsx&amp;sheet=A0&amp;row=63&amp;col=20&amp;number==&amp;sourceID=30","=")</f>
        <v>=</v>
      </c>
      <c r="U63" s="4" t="str">
        <f>HYPERLINK("http://141.218.60.56/~jnz1568/getInfo.php?workbook=07_01.xlsx&amp;sheet=A0&amp;row=63&amp;col=21&amp;number=&amp;sourceID=30","")</f>
        <v/>
      </c>
      <c r="V63" s="4" t="str">
        <f>HYPERLINK("http://141.218.60.56/~jnz1568/getInfo.php?workbook=07_01.xlsx&amp;sheet=A0&amp;row=63&amp;col=22&amp;number=42010&amp;sourceID=30","42010")</f>
        <v>42010</v>
      </c>
      <c r="W63" s="4" t="str">
        <f>HYPERLINK("http://141.218.60.56/~jnz1568/getInfo.php?workbook=07_01.xlsx&amp;sheet=A0&amp;row=63&amp;col=23&amp;number=0.01539&amp;sourceID=30","0.01539")</f>
        <v>0.01539</v>
      </c>
      <c r="X63" s="4" t="str">
        <f>HYPERLINK("http://141.218.60.56/~jnz1568/getInfo.php?workbook=07_01.xlsx&amp;sheet=A0&amp;row=63&amp;col=24&amp;number=&amp;sourceID=30","")</f>
        <v/>
      </c>
      <c r="Y63" s="4" t="str">
        <f>HYPERLINK("http://141.218.60.56/~jnz1568/getInfo.php?workbook=07_01.xlsx&amp;sheet=A0&amp;row=63&amp;col=25&amp;number==&amp;sourceID=13","=")</f>
        <v>=</v>
      </c>
      <c r="Z63" s="4" t="str">
        <f>HYPERLINK("http://141.218.60.56/~jnz1568/getInfo.php?workbook=07_01.xlsx&amp;sheet=A0&amp;row=63&amp;col=26&amp;number=&amp;sourceID=13","")</f>
        <v/>
      </c>
      <c r="AA63" s="4" t="str">
        <f>HYPERLINK("http://141.218.60.56/~jnz1568/getInfo.php?workbook=07_01.xlsx&amp;sheet=A0&amp;row=63&amp;col=27&amp;number=42000&amp;sourceID=13","42000")</f>
        <v>42000</v>
      </c>
      <c r="AB63" s="4" t="str">
        <f>HYPERLINK("http://141.218.60.56/~jnz1568/getInfo.php?workbook=07_01.xlsx&amp;sheet=A0&amp;row=63&amp;col=28&amp;number=&amp;sourceID=13","")</f>
        <v/>
      </c>
      <c r="AC63" s="4" t="str">
        <f>HYPERLINK("http://141.218.60.56/~jnz1568/getInfo.php?workbook=07_01.xlsx&amp;sheet=A0&amp;row=63&amp;col=29&amp;number=0.0168&amp;sourceID=13","0.0168")</f>
        <v>0.0168</v>
      </c>
      <c r="AD63" s="4" t="str">
        <f>HYPERLINK("http://141.218.60.56/~jnz1568/getInfo.php?workbook=07_01.xlsx&amp;sheet=A0&amp;row=63&amp;col=30&amp;number=&amp;sourceID=13","")</f>
        <v/>
      </c>
    </row>
    <row r="64" spans="1:30">
      <c r="A64" s="3">
        <v>7</v>
      </c>
      <c r="B64" s="3">
        <v>1</v>
      </c>
      <c r="C64" s="3">
        <v>12</v>
      </c>
      <c r="D64" s="3">
        <v>10</v>
      </c>
      <c r="E64" s="3">
        <f>((1/(INDEX(E0!J$4:J$28,C64,1)-INDEX(E0!J$4:J$28,D64,1))))*100000000</f>
        <v>0</v>
      </c>
      <c r="F64" s="4" t="str">
        <f>HYPERLINK("http://141.218.60.56/~jnz1568/getInfo.php?workbook=07_01.xlsx&amp;sheet=A0&amp;row=64&amp;col=6&amp;number==&amp;sourceID=11","=")</f>
        <v>=</v>
      </c>
      <c r="G64" s="4" t="str">
        <f>HYPERLINK("http://141.218.60.56/~jnz1568/getInfo.php?workbook=07_01.xlsx&amp;sheet=A0&amp;row=64&amp;col=7&amp;number=7.8779&amp;sourceID=11","7.8779")</f>
        <v>7.8779</v>
      </c>
      <c r="H64" s="4" t="str">
        <f>HYPERLINK("http://141.218.60.56/~jnz1568/getInfo.php?workbook=07_01.xlsx&amp;sheet=A0&amp;row=64&amp;col=8&amp;number=&amp;sourceID=11","")</f>
        <v/>
      </c>
      <c r="I64" s="4" t="str">
        <f>HYPERLINK("http://141.218.60.56/~jnz1568/getInfo.php?workbook=07_01.xlsx&amp;sheet=A0&amp;row=64&amp;col=9&amp;number=&amp;sourceID=11","")</f>
        <v/>
      </c>
      <c r="J64" s="4" t="str">
        <f>HYPERLINK("http://141.218.60.56/~jnz1568/getInfo.php?workbook=07_01.xlsx&amp;sheet=A0&amp;row=64&amp;col=10&amp;number=&amp;sourceID=11","")</f>
        <v/>
      </c>
      <c r="K64" s="4" t="str">
        <f>HYPERLINK("http://141.218.60.56/~jnz1568/getInfo.php?workbook=07_01.xlsx&amp;sheet=A0&amp;row=64&amp;col=11&amp;number=0&amp;sourceID=11","0")</f>
        <v>0</v>
      </c>
      <c r="L64" s="4" t="str">
        <f>HYPERLINK("http://141.218.60.56/~jnz1568/getInfo.php?workbook=07_01.xlsx&amp;sheet=A0&amp;row=64&amp;col=12&amp;number=&amp;sourceID=11","")</f>
        <v/>
      </c>
      <c r="M64" s="4" t="str">
        <f>HYPERLINK("http://141.218.60.56/~jnz1568/getInfo.php?workbook=07_01.xlsx&amp;sheet=A0&amp;row=64&amp;col=13&amp;number=7.8783&amp;sourceID=12","7.8783")</f>
        <v>7.8783</v>
      </c>
      <c r="N64" s="4" t="str">
        <f>HYPERLINK("http://141.218.60.56/~jnz1568/getInfo.php?workbook=07_01.xlsx&amp;sheet=A0&amp;row=64&amp;col=14&amp;number=7.8783&amp;sourceID=12","7.8783")</f>
        <v>7.8783</v>
      </c>
      <c r="O64" s="4" t="str">
        <f>HYPERLINK("http://141.218.60.56/~jnz1568/getInfo.php?workbook=07_01.xlsx&amp;sheet=A0&amp;row=64&amp;col=15&amp;number=&amp;sourceID=12","")</f>
        <v/>
      </c>
      <c r="P64" s="4" t="str">
        <f>HYPERLINK("http://141.218.60.56/~jnz1568/getInfo.php?workbook=07_01.xlsx&amp;sheet=A0&amp;row=64&amp;col=16&amp;number=&amp;sourceID=12","")</f>
        <v/>
      </c>
      <c r="Q64" s="4" t="str">
        <f>HYPERLINK("http://141.218.60.56/~jnz1568/getInfo.php?workbook=07_01.xlsx&amp;sheet=A0&amp;row=64&amp;col=17&amp;number=&amp;sourceID=12","")</f>
        <v/>
      </c>
      <c r="R64" s="4" t="str">
        <f>HYPERLINK("http://141.218.60.56/~jnz1568/getInfo.php?workbook=07_01.xlsx&amp;sheet=A0&amp;row=64&amp;col=18&amp;number=0&amp;sourceID=12","0")</f>
        <v>0</v>
      </c>
      <c r="S64" s="4" t="str">
        <f>HYPERLINK("http://141.218.60.56/~jnz1568/getInfo.php?workbook=07_01.xlsx&amp;sheet=A0&amp;row=64&amp;col=19&amp;number=&amp;sourceID=12","")</f>
        <v/>
      </c>
      <c r="T64" s="4" t="str">
        <f>HYPERLINK("http://141.218.60.56/~jnz1568/getInfo.php?workbook=07_01.xlsx&amp;sheet=A0&amp;row=64&amp;col=20&amp;number==&amp;sourceID=30","=")</f>
        <v>=</v>
      </c>
      <c r="U64" s="4" t="str">
        <f>HYPERLINK("http://141.218.60.56/~jnz1568/getInfo.php?workbook=07_01.xlsx&amp;sheet=A0&amp;row=64&amp;col=21&amp;number=7.878&amp;sourceID=30","7.878")</f>
        <v>7.878</v>
      </c>
      <c r="V64" s="4" t="str">
        <f>HYPERLINK("http://141.218.60.56/~jnz1568/getInfo.php?workbook=07_01.xlsx&amp;sheet=A0&amp;row=64&amp;col=22&amp;number=&amp;sourceID=30","")</f>
        <v/>
      </c>
      <c r="W64" s="4" t="str">
        <f>HYPERLINK("http://141.218.60.56/~jnz1568/getInfo.php?workbook=07_01.xlsx&amp;sheet=A0&amp;row=64&amp;col=23&amp;number=&amp;sourceID=30","")</f>
        <v/>
      </c>
      <c r="X64" s="4" t="str">
        <f>HYPERLINK("http://141.218.60.56/~jnz1568/getInfo.php?workbook=07_01.xlsx&amp;sheet=A0&amp;row=64&amp;col=24&amp;number=0&amp;sourceID=30","0")</f>
        <v>0</v>
      </c>
      <c r="Y64" s="4" t="str">
        <f>HYPERLINK("http://141.218.60.56/~jnz1568/getInfo.php?workbook=07_01.xlsx&amp;sheet=A0&amp;row=64&amp;col=25&amp;number=&amp;sourceID=13","")</f>
        <v/>
      </c>
      <c r="Z64" s="4" t="str">
        <f>HYPERLINK("http://141.218.60.56/~jnz1568/getInfo.php?workbook=07_01.xlsx&amp;sheet=A0&amp;row=64&amp;col=26&amp;number=&amp;sourceID=13","")</f>
        <v/>
      </c>
      <c r="AA64" s="4" t="str">
        <f>HYPERLINK("http://141.218.60.56/~jnz1568/getInfo.php?workbook=07_01.xlsx&amp;sheet=A0&amp;row=64&amp;col=27&amp;number=&amp;sourceID=13","")</f>
        <v/>
      </c>
      <c r="AB64" s="4" t="str">
        <f>HYPERLINK("http://141.218.60.56/~jnz1568/getInfo.php?workbook=07_01.xlsx&amp;sheet=A0&amp;row=64&amp;col=28&amp;number=&amp;sourceID=13","")</f>
        <v/>
      </c>
      <c r="AC64" s="4" t="str">
        <f>HYPERLINK("http://141.218.60.56/~jnz1568/getInfo.php?workbook=07_01.xlsx&amp;sheet=A0&amp;row=64&amp;col=29&amp;number=&amp;sourceID=13","")</f>
        <v/>
      </c>
      <c r="AD64" s="4" t="str">
        <f>HYPERLINK("http://141.218.60.56/~jnz1568/getInfo.php?workbook=07_01.xlsx&amp;sheet=A0&amp;row=64&amp;col=30&amp;number=&amp;sourceID=13","")</f>
        <v/>
      </c>
    </row>
    <row r="65" spans="1:30">
      <c r="A65" s="3">
        <v>7</v>
      </c>
      <c r="B65" s="3">
        <v>1</v>
      </c>
      <c r="C65" s="3">
        <v>12</v>
      </c>
      <c r="D65" s="3">
        <v>11</v>
      </c>
      <c r="E65" s="3">
        <f>((1/(INDEX(E0!J$4:J$28,C65,1)-INDEX(E0!J$4:J$28,D65,1))))*100000000</f>
        <v>0</v>
      </c>
      <c r="F65" s="4" t="str">
        <f>HYPERLINK("http://141.218.60.56/~jnz1568/getInfo.php?workbook=07_01.xlsx&amp;sheet=A0&amp;row=65&amp;col=6&amp;number==&amp;sourceID=11","=")</f>
        <v>=</v>
      </c>
      <c r="G65" s="4" t="str">
        <f>HYPERLINK("http://141.218.60.56/~jnz1568/getInfo.php?workbook=07_01.xlsx&amp;sheet=A0&amp;row=65&amp;col=7&amp;number=&amp;sourceID=11","")</f>
        <v/>
      </c>
      <c r="H65" s="4" t="str">
        <f>HYPERLINK("http://141.218.60.56/~jnz1568/getInfo.php?workbook=07_01.xlsx&amp;sheet=A0&amp;row=65&amp;col=8&amp;number=4.2818e-11&amp;sourceID=11","4.2818e-11")</f>
        <v>4.2818e-11</v>
      </c>
      <c r="I65" s="4" t="str">
        <f>HYPERLINK("http://141.218.60.56/~jnz1568/getInfo.php?workbook=07_01.xlsx&amp;sheet=A0&amp;row=65&amp;col=9&amp;number=&amp;sourceID=11","")</f>
        <v/>
      </c>
      <c r="J65" s="4" t="str">
        <f>HYPERLINK("http://141.218.60.56/~jnz1568/getInfo.php?workbook=07_01.xlsx&amp;sheet=A0&amp;row=65&amp;col=10&amp;number=4e-15&amp;sourceID=11","4e-15")</f>
        <v>4e-15</v>
      </c>
      <c r="K65" s="4" t="str">
        <f>HYPERLINK("http://141.218.60.56/~jnz1568/getInfo.php?workbook=07_01.xlsx&amp;sheet=A0&amp;row=65&amp;col=11&amp;number=&amp;sourceID=11","")</f>
        <v/>
      </c>
      <c r="L65" s="4" t="str">
        <f>HYPERLINK("http://141.218.60.56/~jnz1568/getInfo.php?workbook=07_01.xlsx&amp;sheet=A0&amp;row=65&amp;col=12&amp;number=&amp;sourceID=11","")</f>
        <v/>
      </c>
      <c r="M65" s="4" t="str">
        <f>HYPERLINK("http://141.218.60.56/~jnz1568/getInfo.php?workbook=07_01.xlsx&amp;sheet=A0&amp;row=65&amp;col=13&amp;number=4.2825e-11&amp;sourceID=12","4.2825e-11")</f>
        <v>4.2825e-11</v>
      </c>
      <c r="N65" s="4" t="str">
        <f>HYPERLINK("http://141.218.60.56/~jnz1568/getInfo.php?workbook=07_01.xlsx&amp;sheet=A0&amp;row=65&amp;col=14&amp;number=&amp;sourceID=12","")</f>
        <v/>
      </c>
      <c r="O65" s="4" t="str">
        <f>HYPERLINK("http://141.218.60.56/~jnz1568/getInfo.php?workbook=07_01.xlsx&amp;sheet=A0&amp;row=65&amp;col=15&amp;number=4.2821e-11&amp;sourceID=12","4.2821e-11")</f>
        <v>4.2821e-11</v>
      </c>
      <c r="P65" s="4" t="str">
        <f>HYPERLINK("http://141.218.60.56/~jnz1568/getInfo.php?workbook=07_01.xlsx&amp;sheet=A0&amp;row=65&amp;col=16&amp;number=&amp;sourceID=12","")</f>
        <v/>
      </c>
      <c r="Q65" s="4" t="str">
        <f>HYPERLINK("http://141.218.60.56/~jnz1568/getInfo.php?workbook=07_01.xlsx&amp;sheet=A0&amp;row=65&amp;col=17&amp;number=4e-15&amp;sourceID=12","4e-15")</f>
        <v>4e-15</v>
      </c>
      <c r="R65" s="4" t="str">
        <f>HYPERLINK("http://141.218.60.56/~jnz1568/getInfo.php?workbook=07_01.xlsx&amp;sheet=A0&amp;row=65&amp;col=18&amp;number=&amp;sourceID=12","")</f>
        <v/>
      </c>
      <c r="S65" s="4" t="str">
        <f>HYPERLINK("http://141.218.60.56/~jnz1568/getInfo.php?workbook=07_01.xlsx&amp;sheet=A0&amp;row=65&amp;col=19&amp;number=&amp;sourceID=12","")</f>
        <v/>
      </c>
      <c r="T65" s="4" t="str">
        <f>HYPERLINK("http://141.218.60.56/~jnz1568/getInfo.php?workbook=07_01.xlsx&amp;sheet=A0&amp;row=65&amp;col=20&amp;number==&amp;sourceID=30","=")</f>
        <v>=</v>
      </c>
      <c r="U65" s="4" t="str">
        <f>HYPERLINK("http://141.218.60.56/~jnz1568/getInfo.php?workbook=07_01.xlsx&amp;sheet=A0&amp;row=65&amp;col=21&amp;number=&amp;sourceID=30","")</f>
        <v/>
      </c>
      <c r="V65" s="4" t="str">
        <f>HYPERLINK("http://141.218.60.56/~jnz1568/getInfo.php?workbook=07_01.xlsx&amp;sheet=A0&amp;row=65&amp;col=22&amp;number=4.282e-11&amp;sourceID=30","4.282e-11")</f>
        <v>4.282e-11</v>
      </c>
      <c r="W65" s="4" t="str">
        <f>HYPERLINK("http://141.218.60.56/~jnz1568/getInfo.php?workbook=07_01.xlsx&amp;sheet=A0&amp;row=65&amp;col=23&amp;number=4e-15&amp;sourceID=30","4e-15")</f>
        <v>4e-15</v>
      </c>
      <c r="X65" s="4" t="str">
        <f>HYPERLINK("http://141.218.60.56/~jnz1568/getInfo.php?workbook=07_01.xlsx&amp;sheet=A0&amp;row=65&amp;col=24&amp;number=&amp;sourceID=30","")</f>
        <v/>
      </c>
      <c r="Y65" s="4" t="str">
        <f>HYPERLINK("http://141.218.60.56/~jnz1568/getInfo.php?workbook=07_01.xlsx&amp;sheet=A0&amp;row=65&amp;col=25&amp;number=&amp;sourceID=13","")</f>
        <v/>
      </c>
      <c r="Z65" s="4" t="str">
        <f>HYPERLINK("http://141.218.60.56/~jnz1568/getInfo.php?workbook=07_01.xlsx&amp;sheet=A0&amp;row=65&amp;col=26&amp;number=&amp;sourceID=13","")</f>
        <v/>
      </c>
      <c r="AA65" s="4" t="str">
        <f>HYPERLINK("http://141.218.60.56/~jnz1568/getInfo.php?workbook=07_01.xlsx&amp;sheet=A0&amp;row=65&amp;col=27&amp;number=&amp;sourceID=13","")</f>
        <v/>
      </c>
      <c r="AB65" s="4" t="str">
        <f>HYPERLINK("http://141.218.60.56/~jnz1568/getInfo.php?workbook=07_01.xlsx&amp;sheet=A0&amp;row=65&amp;col=28&amp;number=&amp;sourceID=13","")</f>
        <v/>
      </c>
      <c r="AC65" s="4" t="str">
        <f>HYPERLINK("http://141.218.60.56/~jnz1568/getInfo.php?workbook=07_01.xlsx&amp;sheet=A0&amp;row=65&amp;col=29&amp;number=&amp;sourceID=13","")</f>
        <v/>
      </c>
      <c r="AD65" s="4" t="str">
        <f>HYPERLINK("http://141.218.60.56/~jnz1568/getInfo.php?workbook=07_01.xlsx&amp;sheet=A0&amp;row=65&amp;col=30&amp;number=&amp;sourceID=13","")</f>
        <v/>
      </c>
    </row>
    <row r="66" spans="1:30">
      <c r="A66" s="3">
        <v>7</v>
      </c>
      <c r="B66" s="3">
        <v>1</v>
      </c>
      <c r="C66" s="3">
        <v>13</v>
      </c>
      <c r="D66" s="3">
        <v>1</v>
      </c>
      <c r="E66" s="3">
        <f>((1/(INDEX(E0!J$4:J$28,C66,1)-INDEX(E0!J$4:J$28,D66,1))))*100000000</f>
        <v>0</v>
      </c>
      <c r="F66" s="4" t="str">
        <f>HYPERLINK("http://141.218.60.56/~jnz1568/getInfo.php?workbook=07_01.xlsx&amp;sheet=A0&amp;row=66&amp;col=6&amp;number==&amp;sourceID=11","=")</f>
        <v>=</v>
      </c>
      <c r="G66" s="4" t="str">
        <f>HYPERLINK("http://141.218.60.56/~jnz1568/getInfo.php?workbook=07_01.xlsx&amp;sheet=A0&amp;row=66&amp;col=7&amp;number=163760000000&amp;sourceID=11","163760000000")</f>
        <v>163760000000</v>
      </c>
      <c r="H66" s="4" t="str">
        <f>HYPERLINK("http://141.218.60.56/~jnz1568/getInfo.php?workbook=07_01.xlsx&amp;sheet=A0&amp;row=66&amp;col=8&amp;number=&amp;sourceID=11","")</f>
        <v/>
      </c>
      <c r="I66" s="4" t="str">
        <f>HYPERLINK("http://141.218.60.56/~jnz1568/getInfo.php?workbook=07_01.xlsx&amp;sheet=A0&amp;row=66&amp;col=9&amp;number=&amp;sourceID=11","")</f>
        <v/>
      </c>
      <c r="J66" s="4" t="str">
        <f>HYPERLINK("http://141.218.60.56/~jnz1568/getInfo.php?workbook=07_01.xlsx&amp;sheet=A0&amp;row=66&amp;col=10&amp;number=&amp;sourceID=11","")</f>
        <v/>
      </c>
      <c r="K66" s="4" t="str">
        <f>HYPERLINK("http://141.218.60.56/~jnz1568/getInfo.php?workbook=07_01.xlsx&amp;sheet=A0&amp;row=66&amp;col=11&amp;number=45963&amp;sourceID=11","45963")</f>
        <v>45963</v>
      </c>
      <c r="L66" s="4" t="str">
        <f>HYPERLINK("http://141.218.60.56/~jnz1568/getInfo.php?workbook=07_01.xlsx&amp;sheet=A0&amp;row=66&amp;col=12&amp;number=&amp;sourceID=11","")</f>
        <v/>
      </c>
      <c r="M66" s="4" t="str">
        <f>HYPERLINK("http://141.218.60.56/~jnz1568/getInfo.php?workbook=07_01.xlsx&amp;sheet=A0&amp;row=66&amp;col=13&amp;number=163770000000&amp;sourceID=12","163770000000")</f>
        <v>163770000000</v>
      </c>
      <c r="N66" s="4" t="str">
        <f>HYPERLINK("http://141.218.60.56/~jnz1568/getInfo.php?workbook=07_01.xlsx&amp;sheet=A0&amp;row=66&amp;col=14&amp;number=163770000000&amp;sourceID=12","163770000000")</f>
        <v>163770000000</v>
      </c>
      <c r="O66" s="4" t="str">
        <f>HYPERLINK("http://141.218.60.56/~jnz1568/getInfo.php?workbook=07_01.xlsx&amp;sheet=A0&amp;row=66&amp;col=15&amp;number=&amp;sourceID=12","")</f>
        <v/>
      </c>
      <c r="P66" s="4" t="str">
        <f>HYPERLINK("http://141.218.60.56/~jnz1568/getInfo.php?workbook=07_01.xlsx&amp;sheet=A0&amp;row=66&amp;col=16&amp;number=&amp;sourceID=12","")</f>
        <v/>
      </c>
      <c r="Q66" s="4" t="str">
        <f>HYPERLINK("http://141.218.60.56/~jnz1568/getInfo.php?workbook=07_01.xlsx&amp;sheet=A0&amp;row=66&amp;col=17&amp;number=&amp;sourceID=12","")</f>
        <v/>
      </c>
      <c r="R66" s="4" t="str">
        <f>HYPERLINK("http://141.218.60.56/~jnz1568/getInfo.php?workbook=07_01.xlsx&amp;sheet=A0&amp;row=66&amp;col=18&amp;number=45965&amp;sourceID=12","45965")</f>
        <v>45965</v>
      </c>
      <c r="S66" s="4" t="str">
        <f>HYPERLINK("http://141.218.60.56/~jnz1568/getInfo.php?workbook=07_01.xlsx&amp;sheet=A0&amp;row=66&amp;col=19&amp;number=&amp;sourceID=12","")</f>
        <v/>
      </c>
      <c r="T66" s="4" t="str">
        <f>HYPERLINK("http://141.218.60.56/~jnz1568/getInfo.php?workbook=07_01.xlsx&amp;sheet=A0&amp;row=66&amp;col=20&amp;number==&amp;sourceID=30","=")</f>
        <v>=</v>
      </c>
      <c r="U66" s="4" t="str">
        <f>HYPERLINK("http://141.218.60.56/~jnz1568/getInfo.php?workbook=07_01.xlsx&amp;sheet=A0&amp;row=66&amp;col=21&amp;number=163800000000&amp;sourceID=30","163800000000")</f>
        <v>163800000000</v>
      </c>
      <c r="V66" s="4" t="str">
        <f>HYPERLINK("http://141.218.60.56/~jnz1568/getInfo.php?workbook=07_01.xlsx&amp;sheet=A0&amp;row=66&amp;col=22&amp;number=&amp;sourceID=30","")</f>
        <v/>
      </c>
      <c r="W66" s="4" t="str">
        <f>HYPERLINK("http://141.218.60.56/~jnz1568/getInfo.php?workbook=07_01.xlsx&amp;sheet=A0&amp;row=66&amp;col=23&amp;number=&amp;sourceID=30","")</f>
        <v/>
      </c>
      <c r="X66" s="4" t="str">
        <f>HYPERLINK("http://141.218.60.56/~jnz1568/getInfo.php?workbook=07_01.xlsx&amp;sheet=A0&amp;row=66&amp;col=24&amp;number=45960&amp;sourceID=30","45960")</f>
        <v>45960</v>
      </c>
      <c r="Y66" s="4" t="str">
        <f>HYPERLINK("http://141.218.60.56/~jnz1568/getInfo.php?workbook=07_01.xlsx&amp;sheet=A0&amp;row=66&amp;col=25&amp;number==SUM(Z66:AD66)&amp;sourceID=13","=SUM(Z66:AD66)")</f>
        <v>=SUM(Z66:AD66)</v>
      </c>
      <c r="Z66" s="4" t="str">
        <f>HYPERLINK("http://141.218.60.56/~jnz1568/getInfo.php?workbook=07_01.xlsx&amp;sheet=A0&amp;row=66&amp;col=26&amp;number=162000000000&amp;sourceID=13","162000000000")</f>
        <v>162000000000</v>
      </c>
      <c r="AA66" s="4" t="str">
        <f>HYPERLINK("http://141.218.60.56/~jnz1568/getInfo.php?workbook=07_01.xlsx&amp;sheet=A0&amp;row=66&amp;col=27&amp;number=&amp;sourceID=13","")</f>
        <v/>
      </c>
      <c r="AB66" s="4" t="str">
        <f>HYPERLINK("http://141.218.60.56/~jnz1568/getInfo.php?workbook=07_01.xlsx&amp;sheet=A0&amp;row=66&amp;col=28&amp;number=&amp;sourceID=13","")</f>
        <v/>
      </c>
      <c r="AC66" s="4" t="str">
        <f>HYPERLINK("http://141.218.60.56/~jnz1568/getInfo.php?workbook=07_01.xlsx&amp;sheet=A0&amp;row=66&amp;col=29&amp;number=&amp;sourceID=13","")</f>
        <v/>
      </c>
      <c r="AD66" s="4" t="str">
        <f>HYPERLINK("http://141.218.60.56/~jnz1568/getInfo.php?workbook=07_01.xlsx&amp;sheet=A0&amp;row=66&amp;col=30&amp;number=&amp;sourceID=13","")</f>
        <v/>
      </c>
    </row>
    <row r="67" spans="1:30">
      <c r="A67" s="3">
        <v>7</v>
      </c>
      <c r="B67" s="3">
        <v>1</v>
      </c>
      <c r="C67" s="3">
        <v>13</v>
      </c>
      <c r="D67" s="3">
        <v>2</v>
      </c>
      <c r="E67" s="3">
        <f>((1/(INDEX(E0!J$4:J$28,C67,1)-INDEX(E0!J$4:J$28,D67,1))))*100000000</f>
        <v>0</v>
      </c>
      <c r="F67" s="4" t="str">
        <f>HYPERLINK("http://141.218.60.56/~jnz1568/getInfo.php?workbook=07_01.xlsx&amp;sheet=A0&amp;row=67&amp;col=6&amp;number==&amp;sourceID=11","=")</f>
        <v>=</v>
      </c>
      <c r="G67" s="4" t="str">
        <f>HYPERLINK("http://141.218.60.56/~jnz1568/getInfo.php?workbook=07_01.xlsx&amp;sheet=A0&amp;row=67&amp;col=7&amp;number=&amp;sourceID=11","")</f>
        <v/>
      </c>
      <c r="H67" s="4" t="str">
        <f>HYPERLINK("http://141.218.60.56/~jnz1568/getInfo.php?workbook=07_01.xlsx&amp;sheet=A0&amp;row=67&amp;col=8&amp;number=607030&amp;sourceID=11","607030")</f>
        <v>607030</v>
      </c>
      <c r="I67" s="4" t="str">
        <f>HYPERLINK("http://141.218.60.56/~jnz1568/getInfo.php?workbook=07_01.xlsx&amp;sheet=A0&amp;row=67&amp;col=9&amp;number=&amp;sourceID=11","")</f>
        <v/>
      </c>
      <c r="J67" s="4" t="str">
        <f>HYPERLINK("http://141.218.60.56/~jnz1568/getInfo.php?workbook=07_01.xlsx&amp;sheet=A0&amp;row=67&amp;col=10&amp;number=0.49351&amp;sourceID=11","0.49351")</f>
        <v>0.49351</v>
      </c>
      <c r="K67" s="4" t="str">
        <f>HYPERLINK("http://141.218.60.56/~jnz1568/getInfo.php?workbook=07_01.xlsx&amp;sheet=A0&amp;row=67&amp;col=11&amp;number=&amp;sourceID=11","")</f>
        <v/>
      </c>
      <c r="L67" s="4" t="str">
        <f>HYPERLINK("http://141.218.60.56/~jnz1568/getInfo.php?workbook=07_01.xlsx&amp;sheet=A0&amp;row=67&amp;col=12&amp;number=&amp;sourceID=11","")</f>
        <v/>
      </c>
      <c r="M67" s="4" t="str">
        <f>HYPERLINK("http://141.218.60.56/~jnz1568/getInfo.php?workbook=07_01.xlsx&amp;sheet=A0&amp;row=67&amp;col=13&amp;number=607050&amp;sourceID=12","607050")</f>
        <v>607050</v>
      </c>
      <c r="N67" s="4" t="str">
        <f>HYPERLINK("http://141.218.60.56/~jnz1568/getInfo.php?workbook=07_01.xlsx&amp;sheet=A0&amp;row=67&amp;col=14&amp;number=&amp;sourceID=12","")</f>
        <v/>
      </c>
      <c r="O67" s="4" t="str">
        <f>HYPERLINK("http://141.218.60.56/~jnz1568/getInfo.php?workbook=07_01.xlsx&amp;sheet=A0&amp;row=67&amp;col=15&amp;number=607050&amp;sourceID=12","607050")</f>
        <v>607050</v>
      </c>
      <c r="P67" s="4" t="str">
        <f>HYPERLINK("http://141.218.60.56/~jnz1568/getInfo.php?workbook=07_01.xlsx&amp;sheet=A0&amp;row=67&amp;col=16&amp;number=&amp;sourceID=12","")</f>
        <v/>
      </c>
      <c r="Q67" s="4" t="str">
        <f>HYPERLINK("http://141.218.60.56/~jnz1568/getInfo.php?workbook=07_01.xlsx&amp;sheet=A0&amp;row=67&amp;col=17&amp;number=0.49352&amp;sourceID=12","0.49352")</f>
        <v>0.49352</v>
      </c>
      <c r="R67" s="4" t="str">
        <f>HYPERLINK("http://141.218.60.56/~jnz1568/getInfo.php?workbook=07_01.xlsx&amp;sheet=A0&amp;row=67&amp;col=18&amp;number=&amp;sourceID=12","")</f>
        <v/>
      </c>
      <c r="S67" s="4" t="str">
        <f>HYPERLINK("http://141.218.60.56/~jnz1568/getInfo.php?workbook=07_01.xlsx&amp;sheet=A0&amp;row=67&amp;col=19&amp;number=&amp;sourceID=12","")</f>
        <v/>
      </c>
      <c r="T67" s="4" t="str">
        <f>HYPERLINK("http://141.218.60.56/~jnz1568/getInfo.php?workbook=07_01.xlsx&amp;sheet=A0&amp;row=67&amp;col=20&amp;number==&amp;sourceID=30","=")</f>
        <v>=</v>
      </c>
      <c r="U67" s="4" t="str">
        <f>HYPERLINK("http://141.218.60.56/~jnz1568/getInfo.php?workbook=07_01.xlsx&amp;sheet=A0&amp;row=67&amp;col=21&amp;number=&amp;sourceID=30","")</f>
        <v/>
      </c>
      <c r="V67" s="4" t="str">
        <f>HYPERLINK("http://141.218.60.56/~jnz1568/getInfo.php?workbook=07_01.xlsx&amp;sheet=A0&amp;row=67&amp;col=22&amp;number=607000&amp;sourceID=30","607000")</f>
        <v>607000</v>
      </c>
      <c r="W67" s="4" t="str">
        <f>HYPERLINK("http://141.218.60.56/~jnz1568/getInfo.php?workbook=07_01.xlsx&amp;sheet=A0&amp;row=67&amp;col=23&amp;number=0.4936&amp;sourceID=30","0.4936")</f>
        <v>0.4936</v>
      </c>
      <c r="X67" s="4" t="str">
        <f>HYPERLINK("http://141.218.60.56/~jnz1568/getInfo.php?workbook=07_01.xlsx&amp;sheet=A0&amp;row=67&amp;col=24&amp;number=&amp;sourceID=30","")</f>
        <v/>
      </c>
      <c r="Y67" s="4" t="str">
        <f>HYPERLINK("http://141.218.60.56/~jnz1568/getInfo.php?workbook=07_01.xlsx&amp;sheet=A0&amp;row=67&amp;col=25&amp;number==&amp;sourceID=13","=")</f>
        <v>=</v>
      </c>
      <c r="Z67" s="4" t="str">
        <f>HYPERLINK("http://141.218.60.56/~jnz1568/getInfo.php?workbook=07_01.xlsx&amp;sheet=A0&amp;row=67&amp;col=26&amp;number=&amp;sourceID=13","")</f>
        <v/>
      </c>
      <c r="AA67" s="4" t="str">
        <f>HYPERLINK("http://141.218.60.56/~jnz1568/getInfo.php?workbook=07_01.xlsx&amp;sheet=A0&amp;row=67&amp;col=27&amp;number=586000&amp;sourceID=13","586000")</f>
        <v>586000</v>
      </c>
      <c r="AB67" s="4" t="str">
        <f>HYPERLINK("http://141.218.60.56/~jnz1568/getInfo.php?workbook=07_01.xlsx&amp;sheet=A0&amp;row=67&amp;col=28&amp;number=&amp;sourceID=13","")</f>
        <v/>
      </c>
      <c r="AC67" s="4" t="str">
        <f>HYPERLINK("http://141.218.60.56/~jnz1568/getInfo.php?workbook=07_01.xlsx&amp;sheet=A0&amp;row=67&amp;col=29&amp;number=0.406&amp;sourceID=13","0.406")</f>
        <v>0.406</v>
      </c>
      <c r="AD67" s="4" t="str">
        <f>HYPERLINK("http://141.218.60.56/~jnz1568/getInfo.php?workbook=07_01.xlsx&amp;sheet=A0&amp;row=67&amp;col=30&amp;number=&amp;sourceID=13","")</f>
        <v/>
      </c>
    </row>
    <row r="68" spans="1:30">
      <c r="A68" s="3">
        <v>7</v>
      </c>
      <c r="B68" s="3">
        <v>1</v>
      </c>
      <c r="C68" s="3">
        <v>13</v>
      </c>
      <c r="D68" s="3">
        <v>3</v>
      </c>
      <c r="E68" s="3">
        <f>((1/(INDEX(E0!J$4:J$28,C68,1)-INDEX(E0!J$4:J$28,D68,1))))*100000000</f>
        <v>0</v>
      </c>
      <c r="F68" s="4" t="str">
        <f>HYPERLINK("http://141.218.60.56/~jnz1568/getInfo.php?workbook=07_01.xlsx&amp;sheet=A0&amp;row=68&amp;col=6&amp;number==&amp;sourceID=11","=")</f>
        <v>=</v>
      </c>
      <c r="G68" s="4" t="str">
        <f>HYPERLINK("http://141.218.60.56/~jnz1568/getInfo.php?workbook=07_01.xlsx&amp;sheet=A0&amp;row=68&amp;col=7&amp;number=23223000000&amp;sourceID=11","23223000000")</f>
        <v>23223000000</v>
      </c>
      <c r="H68" s="4" t="str">
        <f>HYPERLINK("http://141.218.60.56/~jnz1568/getInfo.php?workbook=07_01.xlsx&amp;sheet=A0&amp;row=68&amp;col=8&amp;number=&amp;sourceID=11","")</f>
        <v/>
      </c>
      <c r="I68" s="4" t="str">
        <f>HYPERLINK("http://141.218.60.56/~jnz1568/getInfo.php?workbook=07_01.xlsx&amp;sheet=A0&amp;row=68&amp;col=9&amp;number=&amp;sourceID=11","")</f>
        <v/>
      </c>
      <c r="J68" s="4" t="str">
        <f>HYPERLINK("http://141.218.60.56/~jnz1568/getInfo.php?workbook=07_01.xlsx&amp;sheet=A0&amp;row=68&amp;col=10&amp;number=&amp;sourceID=11","")</f>
        <v/>
      </c>
      <c r="K68" s="4" t="str">
        <f>HYPERLINK("http://141.218.60.56/~jnz1568/getInfo.php?workbook=07_01.xlsx&amp;sheet=A0&amp;row=68&amp;col=11&amp;number=261.08&amp;sourceID=11","261.08")</f>
        <v>261.08</v>
      </c>
      <c r="L68" s="4" t="str">
        <f>HYPERLINK("http://141.218.60.56/~jnz1568/getInfo.php?workbook=07_01.xlsx&amp;sheet=A0&amp;row=68&amp;col=12&amp;number=&amp;sourceID=11","")</f>
        <v/>
      </c>
      <c r="M68" s="4" t="str">
        <f>HYPERLINK("http://141.218.60.56/~jnz1568/getInfo.php?workbook=07_01.xlsx&amp;sheet=A0&amp;row=68&amp;col=13&amp;number=23224000000&amp;sourceID=12","23224000000")</f>
        <v>23224000000</v>
      </c>
      <c r="N68" s="4" t="str">
        <f>HYPERLINK("http://141.218.60.56/~jnz1568/getInfo.php?workbook=07_01.xlsx&amp;sheet=A0&amp;row=68&amp;col=14&amp;number=23224000000&amp;sourceID=12","23224000000")</f>
        <v>23224000000</v>
      </c>
      <c r="O68" s="4" t="str">
        <f>HYPERLINK("http://141.218.60.56/~jnz1568/getInfo.php?workbook=07_01.xlsx&amp;sheet=A0&amp;row=68&amp;col=15&amp;number=&amp;sourceID=12","")</f>
        <v/>
      </c>
      <c r="P68" s="4" t="str">
        <f>HYPERLINK("http://141.218.60.56/~jnz1568/getInfo.php?workbook=07_01.xlsx&amp;sheet=A0&amp;row=68&amp;col=16&amp;number=&amp;sourceID=12","")</f>
        <v/>
      </c>
      <c r="Q68" s="4" t="str">
        <f>HYPERLINK("http://141.218.60.56/~jnz1568/getInfo.php?workbook=07_01.xlsx&amp;sheet=A0&amp;row=68&amp;col=17&amp;number=&amp;sourceID=12","")</f>
        <v/>
      </c>
      <c r="R68" s="4" t="str">
        <f>HYPERLINK("http://141.218.60.56/~jnz1568/getInfo.php?workbook=07_01.xlsx&amp;sheet=A0&amp;row=68&amp;col=18&amp;number=261.09&amp;sourceID=12","261.09")</f>
        <v>261.09</v>
      </c>
      <c r="S68" s="4" t="str">
        <f>HYPERLINK("http://141.218.60.56/~jnz1568/getInfo.php?workbook=07_01.xlsx&amp;sheet=A0&amp;row=68&amp;col=19&amp;number=&amp;sourceID=12","")</f>
        <v/>
      </c>
      <c r="T68" s="4" t="str">
        <f>HYPERLINK("http://141.218.60.56/~jnz1568/getInfo.php?workbook=07_01.xlsx&amp;sheet=A0&amp;row=68&amp;col=20&amp;number==&amp;sourceID=30","=")</f>
        <v>=</v>
      </c>
      <c r="U68" s="4" t="str">
        <f>HYPERLINK("http://141.218.60.56/~jnz1568/getInfo.php?workbook=07_01.xlsx&amp;sheet=A0&amp;row=68&amp;col=21&amp;number=23220000000&amp;sourceID=30","23220000000")</f>
        <v>23220000000</v>
      </c>
      <c r="V68" s="4" t="str">
        <f>HYPERLINK("http://141.218.60.56/~jnz1568/getInfo.php?workbook=07_01.xlsx&amp;sheet=A0&amp;row=68&amp;col=22&amp;number=&amp;sourceID=30","")</f>
        <v/>
      </c>
      <c r="W68" s="4" t="str">
        <f>HYPERLINK("http://141.218.60.56/~jnz1568/getInfo.php?workbook=07_01.xlsx&amp;sheet=A0&amp;row=68&amp;col=23&amp;number=&amp;sourceID=30","")</f>
        <v/>
      </c>
      <c r="X68" s="4" t="str">
        <f>HYPERLINK("http://141.218.60.56/~jnz1568/getInfo.php?workbook=07_01.xlsx&amp;sheet=A0&amp;row=68&amp;col=24&amp;number=261.1&amp;sourceID=30","261.1")</f>
        <v>261.1</v>
      </c>
      <c r="Y68" s="4" t="str">
        <f>HYPERLINK("http://141.218.60.56/~jnz1568/getInfo.php?workbook=07_01.xlsx&amp;sheet=A0&amp;row=68&amp;col=25&amp;number==&amp;sourceID=13","=")</f>
        <v>=</v>
      </c>
      <c r="Z68" s="4" t="str">
        <f>HYPERLINK("http://141.218.60.56/~jnz1568/getInfo.php?workbook=07_01.xlsx&amp;sheet=A0&amp;row=68&amp;col=26&amp;number=23100000000&amp;sourceID=13","23100000000")</f>
        <v>23100000000</v>
      </c>
      <c r="AA68" s="4" t="str">
        <f>HYPERLINK("http://141.218.60.56/~jnz1568/getInfo.php?workbook=07_01.xlsx&amp;sheet=A0&amp;row=68&amp;col=27&amp;number=&amp;sourceID=13","")</f>
        <v/>
      </c>
      <c r="AB68" s="4" t="str">
        <f>HYPERLINK("http://141.218.60.56/~jnz1568/getInfo.php?workbook=07_01.xlsx&amp;sheet=A0&amp;row=68&amp;col=28&amp;number=&amp;sourceID=13","")</f>
        <v/>
      </c>
      <c r="AC68" s="4" t="str">
        <f>HYPERLINK("http://141.218.60.56/~jnz1568/getInfo.php?workbook=07_01.xlsx&amp;sheet=A0&amp;row=68&amp;col=29&amp;number=&amp;sourceID=13","")</f>
        <v/>
      </c>
      <c r="AD68" s="4" t="str">
        <f>HYPERLINK("http://141.218.60.56/~jnz1568/getInfo.php?workbook=07_01.xlsx&amp;sheet=A0&amp;row=68&amp;col=30&amp;number=&amp;sourceID=13","")</f>
        <v/>
      </c>
    </row>
    <row r="69" spans="1:30">
      <c r="A69" s="3">
        <v>7</v>
      </c>
      <c r="B69" s="3">
        <v>1</v>
      </c>
      <c r="C69" s="3">
        <v>13</v>
      </c>
      <c r="D69" s="3">
        <v>4</v>
      </c>
      <c r="E69" s="3">
        <f>((1/(INDEX(E0!J$4:J$28,C69,1)-INDEX(E0!J$4:J$28,D69,1))))*100000000</f>
        <v>0</v>
      </c>
      <c r="F69" s="4" t="str">
        <f>HYPERLINK("http://141.218.60.56/~jnz1568/getInfo.php?workbook=07_01.xlsx&amp;sheet=A0&amp;row=69&amp;col=6&amp;number==&amp;sourceID=11","=")</f>
        <v>=</v>
      </c>
      <c r="G69" s="4" t="str">
        <f>HYPERLINK("http://141.218.60.56/~jnz1568/getInfo.php?workbook=07_01.xlsx&amp;sheet=A0&amp;row=69&amp;col=7&amp;number=&amp;sourceID=11","")</f>
        <v/>
      </c>
      <c r="H69" s="4" t="str">
        <f>HYPERLINK("http://141.218.60.56/~jnz1568/getInfo.php?workbook=07_01.xlsx&amp;sheet=A0&amp;row=69&amp;col=8&amp;number=605710&amp;sourceID=11","605710")</f>
        <v>605710</v>
      </c>
      <c r="I69" s="4" t="str">
        <f>HYPERLINK("http://141.218.60.56/~jnz1568/getInfo.php?workbook=07_01.xlsx&amp;sheet=A0&amp;row=69&amp;col=9&amp;number=&amp;sourceID=11","")</f>
        <v/>
      </c>
      <c r="J69" s="4" t="str">
        <f>HYPERLINK("http://141.218.60.56/~jnz1568/getInfo.php?workbook=07_01.xlsx&amp;sheet=A0&amp;row=69&amp;col=10&amp;number=0.78366&amp;sourceID=11","0.78366")</f>
        <v>0.78366</v>
      </c>
      <c r="K69" s="4" t="str">
        <f>HYPERLINK("http://141.218.60.56/~jnz1568/getInfo.php?workbook=07_01.xlsx&amp;sheet=A0&amp;row=69&amp;col=11&amp;number=&amp;sourceID=11","")</f>
        <v/>
      </c>
      <c r="L69" s="4" t="str">
        <f>HYPERLINK("http://141.218.60.56/~jnz1568/getInfo.php?workbook=07_01.xlsx&amp;sheet=A0&amp;row=69&amp;col=12&amp;number=0.014502&amp;sourceID=11","0.014502")</f>
        <v>0.014502</v>
      </c>
      <c r="M69" s="4" t="str">
        <f>HYPERLINK("http://141.218.60.56/~jnz1568/getInfo.php?workbook=07_01.xlsx&amp;sheet=A0&amp;row=69&amp;col=13&amp;number=605740&amp;sourceID=12","605740")</f>
        <v>605740</v>
      </c>
      <c r="N69" s="4" t="str">
        <f>HYPERLINK("http://141.218.60.56/~jnz1568/getInfo.php?workbook=07_01.xlsx&amp;sheet=A0&amp;row=69&amp;col=14&amp;number=&amp;sourceID=12","")</f>
        <v/>
      </c>
      <c r="O69" s="4" t="str">
        <f>HYPERLINK("http://141.218.60.56/~jnz1568/getInfo.php?workbook=07_01.xlsx&amp;sheet=A0&amp;row=69&amp;col=15&amp;number=605740&amp;sourceID=12","605740")</f>
        <v>605740</v>
      </c>
      <c r="P69" s="4" t="str">
        <f>HYPERLINK("http://141.218.60.56/~jnz1568/getInfo.php?workbook=07_01.xlsx&amp;sheet=A0&amp;row=69&amp;col=16&amp;number=&amp;sourceID=12","")</f>
        <v/>
      </c>
      <c r="Q69" s="4" t="str">
        <f>HYPERLINK("http://141.218.60.56/~jnz1568/getInfo.php?workbook=07_01.xlsx&amp;sheet=A0&amp;row=69&amp;col=17&amp;number=0.78371&amp;sourceID=12","0.78371")</f>
        <v>0.78371</v>
      </c>
      <c r="R69" s="4" t="str">
        <f>HYPERLINK("http://141.218.60.56/~jnz1568/getInfo.php?workbook=07_01.xlsx&amp;sheet=A0&amp;row=69&amp;col=18&amp;number=&amp;sourceID=12","")</f>
        <v/>
      </c>
      <c r="S69" s="4" t="str">
        <f>HYPERLINK("http://141.218.60.56/~jnz1568/getInfo.php?workbook=07_01.xlsx&amp;sheet=A0&amp;row=69&amp;col=19&amp;number=0.014503&amp;sourceID=12","0.014503")</f>
        <v>0.014503</v>
      </c>
      <c r="T69" s="4" t="str">
        <f>HYPERLINK("http://141.218.60.56/~jnz1568/getInfo.php?workbook=07_01.xlsx&amp;sheet=A0&amp;row=69&amp;col=20&amp;number==&amp;sourceID=30","=")</f>
        <v>=</v>
      </c>
      <c r="U69" s="4" t="str">
        <f>HYPERLINK("http://141.218.60.56/~jnz1568/getInfo.php?workbook=07_01.xlsx&amp;sheet=A0&amp;row=69&amp;col=21&amp;number=&amp;sourceID=30","")</f>
        <v/>
      </c>
      <c r="V69" s="4" t="str">
        <f>HYPERLINK("http://141.218.60.56/~jnz1568/getInfo.php?workbook=07_01.xlsx&amp;sheet=A0&amp;row=69&amp;col=22&amp;number=605700&amp;sourceID=30","605700")</f>
        <v>605700</v>
      </c>
      <c r="W69" s="4" t="str">
        <f>HYPERLINK("http://141.218.60.56/~jnz1568/getInfo.php?workbook=07_01.xlsx&amp;sheet=A0&amp;row=69&amp;col=23&amp;number=0.7836&amp;sourceID=30","0.7836")</f>
        <v>0.7836</v>
      </c>
      <c r="X69" s="4" t="str">
        <f>HYPERLINK("http://141.218.60.56/~jnz1568/getInfo.php?workbook=07_01.xlsx&amp;sheet=A0&amp;row=69&amp;col=24&amp;number=&amp;sourceID=30","")</f>
        <v/>
      </c>
      <c r="Y69" s="4" t="str">
        <f>HYPERLINK("http://141.218.60.56/~jnz1568/getInfo.php?workbook=07_01.xlsx&amp;sheet=A0&amp;row=69&amp;col=25&amp;number==&amp;sourceID=13","=")</f>
        <v>=</v>
      </c>
      <c r="Z69" s="4" t="str">
        <f>HYPERLINK("http://141.218.60.56/~jnz1568/getInfo.php?workbook=07_01.xlsx&amp;sheet=A0&amp;row=69&amp;col=26&amp;number=&amp;sourceID=13","")</f>
        <v/>
      </c>
      <c r="AA69" s="4" t="str">
        <f>HYPERLINK("http://141.218.60.56/~jnz1568/getInfo.php?workbook=07_01.xlsx&amp;sheet=A0&amp;row=69&amp;col=27&amp;number=599000&amp;sourceID=13","599000")</f>
        <v>599000</v>
      </c>
      <c r="AB69" s="4" t="str">
        <f>HYPERLINK("http://141.218.60.56/~jnz1568/getInfo.php?workbook=07_01.xlsx&amp;sheet=A0&amp;row=69&amp;col=28&amp;number=&amp;sourceID=13","")</f>
        <v/>
      </c>
      <c r="AC69" s="4" t="str">
        <f>HYPERLINK("http://141.218.60.56/~jnz1568/getInfo.php?workbook=07_01.xlsx&amp;sheet=A0&amp;row=69&amp;col=29&amp;number=0.786&amp;sourceID=13","0.786")</f>
        <v>0.786</v>
      </c>
      <c r="AD69" s="4" t="str">
        <f>HYPERLINK("http://141.218.60.56/~jnz1568/getInfo.php?workbook=07_01.xlsx&amp;sheet=A0&amp;row=69&amp;col=30&amp;number=&amp;sourceID=13","")</f>
        <v/>
      </c>
    </row>
    <row r="70" spans="1:30">
      <c r="A70" s="3">
        <v>7</v>
      </c>
      <c r="B70" s="3">
        <v>1</v>
      </c>
      <c r="C70" s="3">
        <v>13</v>
      </c>
      <c r="D70" s="3">
        <v>5</v>
      </c>
      <c r="E70" s="3">
        <f>((1/(INDEX(E0!J$4:J$28,C70,1)-INDEX(E0!J$4:J$28,D70,1))))*100000000</f>
        <v>0</v>
      </c>
      <c r="F70" s="4" t="str">
        <f>HYPERLINK("http://141.218.60.56/~jnz1568/getInfo.php?workbook=07_01.xlsx&amp;sheet=A0&amp;row=70&amp;col=6&amp;number==SUM(G70:L70)&amp;sourceID=11","=SUM(G70:L70)")</f>
        <v>=SUM(G70:L70)</v>
      </c>
      <c r="G70" s="4" t="str">
        <f>HYPERLINK("http://141.218.60.56/~jnz1568/getInfo.php?workbook=07_01.xlsx&amp;sheet=A0&amp;row=70&amp;col=7&amp;number=&amp;sourceID=11","")</f>
        <v/>
      </c>
      <c r="H70" s="4" t="str">
        <f>HYPERLINK("http://141.218.60.56/~jnz1568/getInfo.php?workbook=07_01.xlsx&amp;sheet=A0&amp;row=70&amp;col=8&amp;number=150230&amp;sourceID=11","150230")</f>
        <v>150230</v>
      </c>
      <c r="I70" s="4" t="str">
        <f>HYPERLINK("http://141.218.60.56/~jnz1568/getInfo.php?workbook=07_01.xlsx&amp;sheet=A0&amp;row=70&amp;col=9&amp;number=&amp;sourceID=11","")</f>
        <v/>
      </c>
      <c r="J70" s="4" t="str">
        <f>HYPERLINK("http://141.218.60.56/~jnz1568/getInfo.php?workbook=07_01.xlsx&amp;sheet=A0&amp;row=70&amp;col=10&amp;number=0.054484&amp;sourceID=11","0.054484")</f>
        <v>0.054484</v>
      </c>
      <c r="K70" s="4" t="str">
        <f>HYPERLINK("http://141.218.60.56/~jnz1568/getInfo.php?workbook=07_01.xlsx&amp;sheet=A0&amp;row=70&amp;col=11&amp;number=&amp;sourceID=11","")</f>
        <v/>
      </c>
      <c r="L70" s="4" t="str">
        <f>HYPERLINK("http://141.218.60.56/~jnz1568/getInfo.php?workbook=07_01.xlsx&amp;sheet=A0&amp;row=70&amp;col=12&amp;number=&amp;sourceID=11","")</f>
        <v/>
      </c>
      <c r="M70" s="4" t="str">
        <f>HYPERLINK("http://141.218.60.56/~jnz1568/getInfo.php?workbook=07_01.xlsx&amp;sheet=A0&amp;row=70&amp;col=13&amp;number=150230&amp;sourceID=12","150230")</f>
        <v>150230</v>
      </c>
      <c r="N70" s="4" t="str">
        <f>HYPERLINK("http://141.218.60.56/~jnz1568/getInfo.php?workbook=07_01.xlsx&amp;sheet=A0&amp;row=70&amp;col=14&amp;number=&amp;sourceID=12","")</f>
        <v/>
      </c>
      <c r="O70" s="4" t="str">
        <f>HYPERLINK("http://141.218.60.56/~jnz1568/getInfo.php?workbook=07_01.xlsx&amp;sheet=A0&amp;row=70&amp;col=15&amp;number=150230&amp;sourceID=12","150230")</f>
        <v>150230</v>
      </c>
      <c r="P70" s="4" t="str">
        <f>HYPERLINK("http://141.218.60.56/~jnz1568/getInfo.php?workbook=07_01.xlsx&amp;sheet=A0&amp;row=70&amp;col=16&amp;number=&amp;sourceID=12","")</f>
        <v/>
      </c>
      <c r="Q70" s="4" t="str">
        <f>HYPERLINK("http://141.218.60.56/~jnz1568/getInfo.php?workbook=07_01.xlsx&amp;sheet=A0&amp;row=70&amp;col=17&amp;number=0.054486&amp;sourceID=12","0.054486")</f>
        <v>0.054486</v>
      </c>
      <c r="R70" s="4" t="str">
        <f>HYPERLINK("http://141.218.60.56/~jnz1568/getInfo.php?workbook=07_01.xlsx&amp;sheet=A0&amp;row=70&amp;col=18&amp;number=&amp;sourceID=12","")</f>
        <v/>
      </c>
      <c r="S70" s="4" t="str">
        <f>HYPERLINK("http://141.218.60.56/~jnz1568/getInfo.php?workbook=07_01.xlsx&amp;sheet=A0&amp;row=70&amp;col=19&amp;number=&amp;sourceID=12","")</f>
        <v/>
      </c>
      <c r="T70" s="4" t="str">
        <f>HYPERLINK("http://141.218.60.56/~jnz1568/getInfo.php?workbook=07_01.xlsx&amp;sheet=A0&amp;row=70&amp;col=20&amp;number==SUM(U70:X70)&amp;sourceID=30","=SUM(U70:X70)")</f>
        <v>=SUM(U70:X70)</v>
      </c>
      <c r="U70" s="4" t="str">
        <f>HYPERLINK("http://141.218.60.56/~jnz1568/getInfo.php?workbook=07_01.xlsx&amp;sheet=A0&amp;row=70&amp;col=21&amp;number=&amp;sourceID=30","")</f>
        <v/>
      </c>
      <c r="V70" s="4" t="str">
        <f>HYPERLINK("http://141.218.60.56/~jnz1568/getInfo.php?workbook=07_01.xlsx&amp;sheet=A0&amp;row=70&amp;col=22&amp;number=150200&amp;sourceID=30","150200")</f>
        <v>150200</v>
      </c>
      <c r="W70" s="4" t="str">
        <f>HYPERLINK("http://141.218.60.56/~jnz1568/getInfo.php?workbook=07_01.xlsx&amp;sheet=A0&amp;row=70&amp;col=23&amp;number=0.05449&amp;sourceID=30","0.05449")</f>
        <v>0.05449</v>
      </c>
      <c r="X70" s="4" t="str">
        <f>HYPERLINK("http://141.218.60.56/~jnz1568/getInfo.php?workbook=07_01.xlsx&amp;sheet=A0&amp;row=70&amp;col=24&amp;number=&amp;sourceID=30","")</f>
        <v/>
      </c>
      <c r="Y70" s="4" t="str">
        <f>HYPERLINK("http://141.218.60.56/~jnz1568/getInfo.php?workbook=07_01.xlsx&amp;sheet=A0&amp;row=70&amp;col=25&amp;number==&amp;sourceID=13","=")</f>
        <v>=</v>
      </c>
      <c r="Z70" s="4" t="str">
        <f>HYPERLINK("http://141.218.60.56/~jnz1568/getInfo.php?workbook=07_01.xlsx&amp;sheet=A0&amp;row=70&amp;col=26&amp;number=&amp;sourceID=13","")</f>
        <v/>
      </c>
      <c r="AA70" s="4" t="str">
        <f>HYPERLINK("http://141.218.60.56/~jnz1568/getInfo.php?workbook=07_01.xlsx&amp;sheet=A0&amp;row=70&amp;col=27&amp;number=150000&amp;sourceID=13","150000")</f>
        <v>150000</v>
      </c>
      <c r="AB70" s="4" t="str">
        <f>HYPERLINK("http://141.218.60.56/~jnz1568/getInfo.php?workbook=07_01.xlsx&amp;sheet=A0&amp;row=70&amp;col=28&amp;number=&amp;sourceID=13","")</f>
        <v/>
      </c>
      <c r="AC70" s="4" t="str">
        <f>HYPERLINK("http://141.218.60.56/~jnz1568/getInfo.php?workbook=07_01.xlsx&amp;sheet=A0&amp;row=70&amp;col=29&amp;number=0.0516&amp;sourceID=13","0.0516")</f>
        <v>0.0516</v>
      </c>
      <c r="AD70" s="4" t="str">
        <f>HYPERLINK("http://141.218.60.56/~jnz1568/getInfo.php?workbook=07_01.xlsx&amp;sheet=A0&amp;row=70&amp;col=30&amp;number=&amp;sourceID=13","")</f>
        <v/>
      </c>
    </row>
    <row r="71" spans="1:30">
      <c r="A71" s="3">
        <v>7</v>
      </c>
      <c r="B71" s="3">
        <v>1</v>
      </c>
      <c r="C71" s="3">
        <v>13</v>
      </c>
      <c r="D71" s="3">
        <v>6</v>
      </c>
      <c r="E71" s="3">
        <f>((1/(INDEX(E0!J$4:J$28,C71,1)-INDEX(E0!J$4:J$28,D71,1))))*100000000</f>
        <v>0</v>
      </c>
      <c r="F71" s="4" t="str">
        <f>HYPERLINK("http://141.218.60.56/~jnz1568/getInfo.php?workbook=07_01.xlsx&amp;sheet=A0&amp;row=71&amp;col=6&amp;number==&amp;sourceID=11","=")</f>
        <v>=</v>
      </c>
      <c r="G71" s="4" t="str">
        <f>HYPERLINK("http://141.218.60.56/~jnz1568/getInfo.php?workbook=07_01.xlsx&amp;sheet=A0&amp;row=71&amp;col=7&amp;number=7353400000&amp;sourceID=11","7353400000")</f>
        <v>7353400000</v>
      </c>
      <c r="H71" s="4" t="str">
        <f>HYPERLINK("http://141.218.60.56/~jnz1568/getInfo.php?workbook=07_01.xlsx&amp;sheet=A0&amp;row=71&amp;col=8&amp;number=&amp;sourceID=11","")</f>
        <v/>
      </c>
      <c r="I71" s="4" t="str">
        <f>HYPERLINK("http://141.218.60.56/~jnz1568/getInfo.php?workbook=07_01.xlsx&amp;sheet=A0&amp;row=71&amp;col=9&amp;number=&amp;sourceID=11","")</f>
        <v/>
      </c>
      <c r="J71" s="4" t="str">
        <f>HYPERLINK("http://141.218.60.56/~jnz1568/getInfo.php?workbook=07_01.xlsx&amp;sheet=A0&amp;row=71&amp;col=10&amp;number=&amp;sourceID=11","")</f>
        <v/>
      </c>
      <c r="K71" s="4" t="str">
        <f>HYPERLINK("http://141.218.60.56/~jnz1568/getInfo.php?workbook=07_01.xlsx&amp;sheet=A0&amp;row=71&amp;col=11&amp;number=5.5596&amp;sourceID=11","5.5596")</f>
        <v>5.5596</v>
      </c>
      <c r="L71" s="4" t="str">
        <f>HYPERLINK("http://141.218.60.56/~jnz1568/getInfo.php?workbook=07_01.xlsx&amp;sheet=A0&amp;row=71&amp;col=12&amp;number=&amp;sourceID=11","")</f>
        <v/>
      </c>
      <c r="M71" s="4" t="str">
        <f>HYPERLINK("http://141.218.60.56/~jnz1568/getInfo.php?workbook=07_01.xlsx&amp;sheet=A0&amp;row=71&amp;col=13&amp;number=7353700000&amp;sourceID=12","7353700000")</f>
        <v>7353700000</v>
      </c>
      <c r="N71" s="4" t="str">
        <f>HYPERLINK("http://141.218.60.56/~jnz1568/getInfo.php?workbook=07_01.xlsx&amp;sheet=A0&amp;row=71&amp;col=14&amp;number=7353700000&amp;sourceID=12","7353700000")</f>
        <v>7353700000</v>
      </c>
      <c r="O71" s="4" t="str">
        <f>HYPERLINK("http://141.218.60.56/~jnz1568/getInfo.php?workbook=07_01.xlsx&amp;sheet=A0&amp;row=71&amp;col=15&amp;number=&amp;sourceID=12","")</f>
        <v/>
      </c>
      <c r="P71" s="4" t="str">
        <f>HYPERLINK("http://141.218.60.56/~jnz1568/getInfo.php?workbook=07_01.xlsx&amp;sheet=A0&amp;row=71&amp;col=16&amp;number=&amp;sourceID=12","")</f>
        <v/>
      </c>
      <c r="Q71" s="4" t="str">
        <f>HYPERLINK("http://141.218.60.56/~jnz1568/getInfo.php?workbook=07_01.xlsx&amp;sheet=A0&amp;row=71&amp;col=17&amp;number=&amp;sourceID=12","")</f>
        <v/>
      </c>
      <c r="R71" s="4" t="str">
        <f>HYPERLINK("http://141.218.60.56/~jnz1568/getInfo.php?workbook=07_01.xlsx&amp;sheet=A0&amp;row=71&amp;col=18&amp;number=5.5598&amp;sourceID=12","5.5598")</f>
        <v>5.5598</v>
      </c>
      <c r="S71" s="4" t="str">
        <f>HYPERLINK("http://141.218.60.56/~jnz1568/getInfo.php?workbook=07_01.xlsx&amp;sheet=A0&amp;row=71&amp;col=19&amp;number=&amp;sourceID=12","")</f>
        <v/>
      </c>
      <c r="T71" s="4" t="str">
        <f>HYPERLINK("http://141.218.60.56/~jnz1568/getInfo.php?workbook=07_01.xlsx&amp;sheet=A0&amp;row=71&amp;col=20&amp;number==&amp;sourceID=30","=")</f>
        <v>=</v>
      </c>
      <c r="U71" s="4" t="str">
        <f>HYPERLINK("http://141.218.60.56/~jnz1568/getInfo.php?workbook=07_01.xlsx&amp;sheet=A0&amp;row=71&amp;col=21&amp;number=7354000000&amp;sourceID=30","7354000000")</f>
        <v>7354000000</v>
      </c>
      <c r="V71" s="4" t="str">
        <f>HYPERLINK("http://141.218.60.56/~jnz1568/getInfo.php?workbook=07_01.xlsx&amp;sheet=A0&amp;row=71&amp;col=22&amp;number=&amp;sourceID=30","")</f>
        <v/>
      </c>
      <c r="W71" s="4" t="str">
        <f>HYPERLINK("http://141.218.60.56/~jnz1568/getInfo.php?workbook=07_01.xlsx&amp;sheet=A0&amp;row=71&amp;col=23&amp;number=&amp;sourceID=30","")</f>
        <v/>
      </c>
      <c r="X71" s="4" t="str">
        <f>HYPERLINK("http://141.218.60.56/~jnz1568/getInfo.php?workbook=07_01.xlsx&amp;sheet=A0&amp;row=71&amp;col=24&amp;number=5.56&amp;sourceID=30","5.56")</f>
        <v>5.56</v>
      </c>
      <c r="Y71" s="4" t="str">
        <f>HYPERLINK("http://141.218.60.56/~jnz1568/getInfo.php?workbook=07_01.xlsx&amp;sheet=A0&amp;row=71&amp;col=25&amp;number==&amp;sourceID=13","=")</f>
        <v>=</v>
      </c>
      <c r="Z71" s="4" t="str">
        <f>HYPERLINK("http://141.218.60.56/~jnz1568/getInfo.php?workbook=07_01.xlsx&amp;sheet=A0&amp;row=71&amp;col=26&amp;number=7340000000&amp;sourceID=13","7340000000")</f>
        <v>7340000000</v>
      </c>
      <c r="AA71" s="4" t="str">
        <f>HYPERLINK("http://141.218.60.56/~jnz1568/getInfo.php?workbook=07_01.xlsx&amp;sheet=A0&amp;row=71&amp;col=27&amp;number=&amp;sourceID=13","")</f>
        <v/>
      </c>
      <c r="AB71" s="4" t="str">
        <f>HYPERLINK("http://141.218.60.56/~jnz1568/getInfo.php?workbook=07_01.xlsx&amp;sheet=A0&amp;row=71&amp;col=28&amp;number=&amp;sourceID=13","")</f>
        <v/>
      </c>
      <c r="AC71" s="4" t="str">
        <f>HYPERLINK("http://141.218.60.56/~jnz1568/getInfo.php?workbook=07_01.xlsx&amp;sheet=A0&amp;row=71&amp;col=29&amp;number=&amp;sourceID=13","")</f>
        <v/>
      </c>
      <c r="AD71" s="4" t="str">
        <f>HYPERLINK("http://141.218.60.56/~jnz1568/getInfo.php?workbook=07_01.xlsx&amp;sheet=A0&amp;row=71&amp;col=30&amp;number=&amp;sourceID=13","")</f>
        <v/>
      </c>
    </row>
    <row r="72" spans="1:30">
      <c r="A72" s="3">
        <v>7</v>
      </c>
      <c r="B72" s="3">
        <v>1</v>
      </c>
      <c r="C72" s="3">
        <v>13</v>
      </c>
      <c r="D72" s="3">
        <v>7</v>
      </c>
      <c r="E72" s="3">
        <f>((1/(INDEX(E0!J$4:J$28,C72,1)-INDEX(E0!J$4:J$28,D72,1))))*100000000</f>
        <v>0</v>
      </c>
      <c r="F72" s="4" t="str">
        <f>HYPERLINK("http://141.218.60.56/~jnz1568/getInfo.php?workbook=07_01.xlsx&amp;sheet=A0&amp;row=72&amp;col=6&amp;number==&amp;sourceID=11","=")</f>
        <v>=</v>
      </c>
      <c r="G72" s="4" t="str">
        <f>HYPERLINK("http://141.218.60.56/~jnz1568/getInfo.php?workbook=07_01.xlsx&amp;sheet=A0&amp;row=72&amp;col=7&amp;number=83530000&amp;sourceID=11","83530000")</f>
        <v>83530000</v>
      </c>
      <c r="H72" s="4" t="str">
        <f>HYPERLINK("http://141.218.60.56/~jnz1568/getInfo.php?workbook=07_01.xlsx&amp;sheet=A0&amp;row=72&amp;col=8&amp;number=&amp;sourceID=11","")</f>
        <v/>
      </c>
      <c r="I72" s="4" t="str">
        <f>HYPERLINK("http://141.218.60.56/~jnz1568/getInfo.php?workbook=07_01.xlsx&amp;sheet=A0&amp;row=72&amp;col=9&amp;number=1.625&amp;sourceID=11","1.625")</f>
        <v>1.625</v>
      </c>
      <c r="J72" s="4" t="str">
        <f>HYPERLINK("http://141.218.60.56/~jnz1568/getInfo.php?workbook=07_01.xlsx&amp;sheet=A0&amp;row=72&amp;col=10&amp;number=&amp;sourceID=11","")</f>
        <v/>
      </c>
      <c r="K72" s="4" t="str">
        <f>HYPERLINK("http://141.218.60.56/~jnz1568/getInfo.php?workbook=07_01.xlsx&amp;sheet=A0&amp;row=72&amp;col=11&amp;number=&amp;sourceID=11","")</f>
        <v/>
      </c>
      <c r="L72" s="4" t="str">
        <f>HYPERLINK("http://141.218.60.56/~jnz1568/getInfo.php?workbook=07_01.xlsx&amp;sheet=A0&amp;row=72&amp;col=12&amp;number=&amp;sourceID=11","")</f>
        <v/>
      </c>
      <c r="M72" s="4" t="str">
        <f>HYPERLINK("http://141.218.60.56/~jnz1568/getInfo.php?workbook=07_01.xlsx&amp;sheet=A0&amp;row=72&amp;col=13&amp;number=83533000&amp;sourceID=12","83533000")</f>
        <v>83533000</v>
      </c>
      <c r="N72" s="4" t="str">
        <f>HYPERLINK("http://141.218.60.56/~jnz1568/getInfo.php?workbook=07_01.xlsx&amp;sheet=A0&amp;row=72&amp;col=14&amp;number=83533000&amp;sourceID=12","83533000")</f>
        <v>83533000</v>
      </c>
      <c r="O72" s="4" t="str">
        <f>HYPERLINK("http://141.218.60.56/~jnz1568/getInfo.php?workbook=07_01.xlsx&amp;sheet=A0&amp;row=72&amp;col=15&amp;number=&amp;sourceID=12","")</f>
        <v/>
      </c>
      <c r="P72" s="4" t="str">
        <f>HYPERLINK("http://141.218.60.56/~jnz1568/getInfo.php?workbook=07_01.xlsx&amp;sheet=A0&amp;row=72&amp;col=16&amp;number=1.625&amp;sourceID=12","1.625")</f>
        <v>1.625</v>
      </c>
      <c r="Q72" s="4" t="str">
        <f>HYPERLINK("http://141.218.60.56/~jnz1568/getInfo.php?workbook=07_01.xlsx&amp;sheet=A0&amp;row=72&amp;col=17&amp;number=&amp;sourceID=12","")</f>
        <v/>
      </c>
      <c r="R72" s="4" t="str">
        <f>HYPERLINK("http://141.218.60.56/~jnz1568/getInfo.php?workbook=07_01.xlsx&amp;sheet=A0&amp;row=72&amp;col=18&amp;number=&amp;sourceID=12","")</f>
        <v/>
      </c>
      <c r="S72" s="4" t="str">
        <f>HYPERLINK("http://141.218.60.56/~jnz1568/getInfo.php?workbook=07_01.xlsx&amp;sheet=A0&amp;row=72&amp;col=19&amp;number=&amp;sourceID=12","")</f>
        <v/>
      </c>
      <c r="T72" s="4" t="str">
        <f>HYPERLINK("http://141.218.60.56/~jnz1568/getInfo.php?workbook=07_01.xlsx&amp;sheet=A0&amp;row=72&amp;col=20&amp;number==&amp;sourceID=30","=")</f>
        <v>=</v>
      </c>
      <c r="U72" s="4" t="str">
        <f>HYPERLINK("http://141.218.60.56/~jnz1568/getInfo.php?workbook=07_01.xlsx&amp;sheet=A0&amp;row=72&amp;col=21&amp;number=83530000&amp;sourceID=30","83530000")</f>
        <v>83530000</v>
      </c>
      <c r="V72" s="4" t="str">
        <f>HYPERLINK("http://141.218.60.56/~jnz1568/getInfo.php?workbook=07_01.xlsx&amp;sheet=A0&amp;row=72&amp;col=22&amp;number=&amp;sourceID=30","")</f>
        <v/>
      </c>
      <c r="W72" s="4" t="str">
        <f>HYPERLINK("http://141.218.60.56/~jnz1568/getInfo.php?workbook=07_01.xlsx&amp;sheet=A0&amp;row=72&amp;col=23&amp;number=&amp;sourceID=30","")</f>
        <v/>
      </c>
      <c r="X72" s="4" t="str">
        <f>HYPERLINK("http://141.218.60.56/~jnz1568/getInfo.php?workbook=07_01.xlsx&amp;sheet=A0&amp;row=72&amp;col=24&amp;number=&amp;sourceID=30","")</f>
        <v/>
      </c>
      <c r="Y72" s="4" t="str">
        <f>HYPERLINK("http://141.218.60.56/~jnz1568/getInfo.php?workbook=07_01.xlsx&amp;sheet=A0&amp;row=72&amp;col=25&amp;number==&amp;sourceID=13","=")</f>
        <v>=</v>
      </c>
      <c r="Z72" s="4" t="str">
        <f>HYPERLINK("http://141.218.60.56/~jnz1568/getInfo.php?workbook=07_01.xlsx&amp;sheet=A0&amp;row=72&amp;col=26&amp;number=83100000&amp;sourceID=13","83100000")</f>
        <v>83100000</v>
      </c>
      <c r="AA72" s="4" t="str">
        <f>HYPERLINK("http://141.218.60.56/~jnz1568/getInfo.php?workbook=07_01.xlsx&amp;sheet=A0&amp;row=72&amp;col=27&amp;number=&amp;sourceID=13","")</f>
        <v/>
      </c>
      <c r="AB72" s="4" t="str">
        <f>HYPERLINK("http://141.218.60.56/~jnz1568/getInfo.php?workbook=07_01.xlsx&amp;sheet=A0&amp;row=72&amp;col=28&amp;number=&amp;sourceID=13","")</f>
        <v/>
      </c>
      <c r="AC72" s="4" t="str">
        <f>HYPERLINK("http://141.218.60.56/~jnz1568/getInfo.php?workbook=07_01.xlsx&amp;sheet=A0&amp;row=72&amp;col=29&amp;number=&amp;sourceID=13","")</f>
        <v/>
      </c>
      <c r="AD72" s="4" t="str">
        <f>HYPERLINK("http://141.218.60.56/~jnz1568/getInfo.php?workbook=07_01.xlsx&amp;sheet=A0&amp;row=72&amp;col=30&amp;number=&amp;sourceID=13","")</f>
        <v/>
      </c>
    </row>
    <row r="73" spans="1:30">
      <c r="A73" s="3">
        <v>7</v>
      </c>
      <c r="B73" s="3">
        <v>1</v>
      </c>
      <c r="C73" s="3">
        <v>13</v>
      </c>
      <c r="D73" s="3">
        <v>8</v>
      </c>
      <c r="E73" s="3">
        <f>((1/(INDEX(E0!J$4:J$28,C73,1)-INDEX(E0!J$4:J$28,D73,1))))*100000000</f>
        <v>0</v>
      </c>
      <c r="F73" s="4" t="str">
        <f>HYPERLINK("http://141.218.60.56/~jnz1568/getInfo.php?workbook=07_01.xlsx&amp;sheet=A0&amp;row=73&amp;col=6&amp;number==&amp;sourceID=11","=")</f>
        <v>=</v>
      </c>
      <c r="G73" s="4" t="str">
        <f>HYPERLINK("http://141.218.60.56/~jnz1568/getInfo.php?workbook=07_01.xlsx&amp;sheet=A0&amp;row=73&amp;col=7&amp;number=&amp;sourceID=11","")</f>
        <v/>
      </c>
      <c r="H73" s="4" t="str">
        <f>HYPERLINK("http://141.218.60.56/~jnz1568/getInfo.php?workbook=07_01.xlsx&amp;sheet=A0&amp;row=73&amp;col=8&amp;number=150100&amp;sourceID=11","150100")</f>
        <v>150100</v>
      </c>
      <c r="I73" s="4" t="str">
        <f>HYPERLINK("http://141.218.60.56/~jnz1568/getInfo.php?workbook=07_01.xlsx&amp;sheet=A0&amp;row=73&amp;col=9&amp;number=&amp;sourceID=11","")</f>
        <v/>
      </c>
      <c r="J73" s="4" t="str">
        <f>HYPERLINK("http://141.218.60.56/~jnz1568/getInfo.php?workbook=07_01.xlsx&amp;sheet=A0&amp;row=73&amp;col=10&amp;number=0.01305&amp;sourceID=11","0.01305")</f>
        <v>0.01305</v>
      </c>
      <c r="K73" s="4" t="str">
        <f>HYPERLINK("http://141.218.60.56/~jnz1568/getInfo.php?workbook=07_01.xlsx&amp;sheet=A0&amp;row=73&amp;col=11&amp;number=&amp;sourceID=11","")</f>
        <v/>
      </c>
      <c r="L73" s="4" t="str">
        <f>HYPERLINK("http://141.218.60.56/~jnz1568/getInfo.php?workbook=07_01.xlsx&amp;sheet=A0&amp;row=73&amp;col=12&amp;number=0.00024162&amp;sourceID=11","0.00024162")</f>
        <v>0.00024162</v>
      </c>
      <c r="M73" s="4" t="str">
        <f>HYPERLINK("http://141.218.60.56/~jnz1568/getInfo.php?workbook=07_01.xlsx&amp;sheet=A0&amp;row=73&amp;col=13&amp;number=150110&amp;sourceID=12","150110")</f>
        <v>150110</v>
      </c>
      <c r="N73" s="4" t="str">
        <f>HYPERLINK("http://141.218.60.56/~jnz1568/getInfo.php?workbook=07_01.xlsx&amp;sheet=A0&amp;row=73&amp;col=14&amp;number=&amp;sourceID=12","")</f>
        <v/>
      </c>
      <c r="O73" s="4" t="str">
        <f>HYPERLINK("http://141.218.60.56/~jnz1568/getInfo.php?workbook=07_01.xlsx&amp;sheet=A0&amp;row=73&amp;col=15&amp;number=150110&amp;sourceID=12","150110")</f>
        <v>150110</v>
      </c>
      <c r="P73" s="4" t="str">
        <f>HYPERLINK("http://141.218.60.56/~jnz1568/getInfo.php?workbook=07_01.xlsx&amp;sheet=A0&amp;row=73&amp;col=16&amp;number=&amp;sourceID=12","")</f>
        <v/>
      </c>
      <c r="Q73" s="4" t="str">
        <f>HYPERLINK("http://141.218.60.56/~jnz1568/getInfo.php?workbook=07_01.xlsx&amp;sheet=A0&amp;row=73&amp;col=17&amp;number=0.01305&amp;sourceID=12","0.01305")</f>
        <v>0.01305</v>
      </c>
      <c r="R73" s="4" t="str">
        <f>HYPERLINK("http://141.218.60.56/~jnz1568/getInfo.php?workbook=07_01.xlsx&amp;sheet=A0&amp;row=73&amp;col=18&amp;number=&amp;sourceID=12","")</f>
        <v/>
      </c>
      <c r="S73" s="4" t="str">
        <f>HYPERLINK("http://141.218.60.56/~jnz1568/getInfo.php?workbook=07_01.xlsx&amp;sheet=A0&amp;row=73&amp;col=19&amp;number=0.00024163&amp;sourceID=12","0.00024163")</f>
        <v>0.00024163</v>
      </c>
      <c r="T73" s="4" t="str">
        <f>HYPERLINK("http://141.218.60.56/~jnz1568/getInfo.php?workbook=07_01.xlsx&amp;sheet=A0&amp;row=73&amp;col=20&amp;number==&amp;sourceID=30","=")</f>
        <v>=</v>
      </c>
      <c r="U73" s="4" t="str">
        <f>HYPERLINK("http://141.218.60.56/~jnz1568/getInfo.php?workbook=07_01.xlsx&amp;sheet=A0&amp;row=73&amp;col=21&amp;number=&amp;sourceID=30","")</f>
        <v/>
      </c>
      <c r="V73" s="4" t="str">
        <f>HYPERLINK("http://141.218.60.56/~jnz1568/getInfo.php?workbook=07_01.xlsx&amp;sheet=A0&amp;row=73&amp;col=22&amp;number=150100&amp;sourceID=30","150100")</f>
        <v>150100</v>
      </c>
      <c r="W73" s="4" t="str">
        <f>HYPERLINK("http://141.218.60.56/~jnz1568/getInfo.php?workbook=07_01.xlsx&amp;sheet=A0&amp;row=73&amp;col=23&amp;number=0.01304&amp;sourceID=30","0.01304")</f>
        <v>0.01304</v>
      </c>
      <c r="X73" s="4" t="str">
        <f>HYPERLINK("http://141.218.60.56/~jnz1568/getInfo.php?workbook=07_01.xlsx&amp;sheet=A0&amp;row=73&amp;col=24&amp;number=&amp;sourceID=30","")</f>
        <v/>
      </c>
      <c r="Y73" s="4" t="str">
        <f>HYPERLINK("http://141.218.60.56/~jnz1568/getInfo.php?workbook=07_01.xlsx&amp;sheet=A0&amp;row=73&amp;col=25&amp;number==&amp;sourceID=13","=")</f>
        <v>=</v>
      </c>
      <c r="Z73" s="4" t="str">
        <f>HYPERLINK("http://141.218.60.56/~jnz1568/getInfo.php?workbook=07_01.xlsx&amp;sheet=A0&amp;row=73&amp;col=26&amp;number=&amp;sourceID=13","")</f>
        <v/>
      </c>
      <c r="AA73" s="4" t="str">
        <f>HYPERLINK("http://141.218.60.56/~jnz1568/getInfo.php?workbook=07_01.xlsx&amp;sheet=A0&amp;row=73&amp;col=27&amp;number=150000&amp;sourceID=13","150000")</f>
        <v>150000</v>
      </c>
      <c r="AB73" s="4" t="str">
        <f>HYPERLINK("http://141.218.60.56/~jnz1568/getInfo.php?workbook=07_01.xlsx&amp;sheet=A0&amp;row=73&amp;col=28&amp;number=&amp;sourceID=13","")</f>
        <v/>
      </c>
      <c r="AC73" s="4" t="str">
        <f>HYPERLINK("http://141.218.60.56/~jnz1568/getInfo.php?workbook=07_01.xlsx&amp;sheet=A0&amp;row=73&amp;col=29&amp;number=0.013&amp;sourceID=13","0.013")</f>
        <v>0.013</v>
      </c>
      <c r="AD73" s="4" t="str">
        <f>HYPERLINK("http://141.218.60.56/~jnz1568/getInfo.php?workbook=07_01.xlsx&amp;sheet=A0&amp;row=73&amp;col=30&amp;number=&amp;sourceID=13","")</f>
        <v/>
      </c>
    </row>
    <row r="74" spans="1:30">
      <c r="A74" s="3">
        <v>7</v>
      </c>
      <c r="B74" s="3">
        <v>1</v>
      </c>
      <c r="C74" s="3">
        <v>13</v>
      </c>
      <c r="D74" s="3">
        <v>9</v>
      </c>
      <c r="E74" s="3">
        <f>((1/(INDEX(E0!J$4:J$28,C74,1)-INDEX(E0!J$4:J$28,D74,1))))*100000000</f>
        <v>0</v>
      </c>
      <c r="F74" s="4" t="str">
        <f>HYPERLINK("http://141.218.60.56/~jnz1568/getInfo.php?workbook=07_01.xlsx&amp;sheet=A0&amp;row=74&amp;col=6&amp;number==&amp;sourceID=11","=")</f>
        <v>=</v>
      </c>
      <c r="G74" s="4" t="str">
        <f>HYPERLINK("http://141.218.60.56/~jnz1568/getInfo.php?workbook=07_01.xlsx&amp;sheet=A0&amp;row=74&amp;col=7&amp;number=753430000&amp;sourceID=11","753430000")</f>
        <v>753430000</v>
      </c>
      <c r="H74" s="4" t="str">
        <f>HYPERLINK("http://141.218.60.56/~jnz1568/getInfo.php?workbook=07_01.xlsx&amp;sheet=A0&amp;row=74&amp;col=8&amp;number=&amp;sourceID=11","")</f>
        <v/>
      </c>
      <c r="I74" s="4" t="str">
        <f>HYPERLINK("http://141.218.60.56/~jnz1568/getInfo.php?workbook=07_01.xlsx&amp;sheet=A0&amp;row=74&amp;col=9&amp;number=1.0824&amp;sourceID=11","1.0824")</f>
        <v>1.0824</v>
      </c>
      <c r="J74" s="4" t="str">
        <f>HYPERLINK("http://141.218.60.56/~jnz1568/getInfo.php?workbook=07_01.xlsx&amp;sheet=A0&amp;row=74&amp;col=10&amp;number=&amp;sourceID=11","")</f>
        <v/>
      </c>
      <c r="K74" s="4" t="str">
        <f>HYPERLINK("http://141.218.60.56/~jnz1568/getInfo.php?workbook=07_01.xlsx&amp;sheet=A0&amp;row=74&amp;col=11&amp;number=0.73664&amp;sourceID=11","0.73664")</f>
        <v>0.73664</v>
      </c>
      <c r="L74" s="4" t="str">
        <f>HYPERLINK("http://141.218.60.56/~jnz1568/getInfo.php?workbook=07_01.xlsx&amp;sheet=A0&amp;row=74&amp;col=12&amp;number=&amp;sourceID=11","")</f>
        <v/>
      </c>
      <c r="M74" s="4" t="str">
        <f>HYPERLINK("http://141.218.60.56/~jnz1568/getInfo.php?workbook=07_01.xlsx&amp;sheet=A0&amp;row=74&amp;col=13&amp;number=753460000&amp;sourceID=12","753460000")</f>
        <v>753460000</v>
      </c>
      <c r="N74" s="4" t="str">
        <f>HYPERLINK("http://141.218.60.56/~jnz1568/getInfo.php?workbook=07_01.xlsx&amp;sheet=A0&amp;row=74&amp;col=14&amp;number=753460000&amp;sourceID=12","753460000")</f>
        <v>753460000</v>
      </c>
      <c r="O74" s="4" t="str">
        <f>HYPERLINK("http://141.218.60.56/~jnz1568/getInfo.php?workbook=07_01.xlsx&amp;sheet=A0&amp;row=74&amp;col=15&amp;number=&amp;sourceID=12","")</f>
        <v/>
      </c>
      <c r="P74" s="4" t="str">
        <f>HYPERLINK("http://141.218.60.56/~jnz1568/getInfo.php?workbook=07_01.xlsx&amp;sheet=A0&amp;row=74&amp;col=16&amp;number=1.0824&amp;sourceID=12","1.0824")</f>
        <v>1.0824</v>
      </c>
      <c r="Q74" s="4" t="str">
        <f>HYPERLINK("http://141.218.60.56/~jnz1568/getInfo.php?workbook=07_01.xlsx&amp;sheet=A0&amp;row=74&amp;col=17&amp;number=&amp;sourceID=12","")</f>
        <v/>
      </c>
      <c r="R74" s="4" t="str">
        <f>HYPERLINK("http://141.218.60.56/~jnz1568/getInfo.php?workbook=07_01.xlsx&amp;sheet=A0&amp;row=74&amp;col=18&amp;number=0.73667&amp;sourceID=12","0.73667")</f>
        <v>0.73667</v>
      </c>
      <c r="S74" s="4" t="str">
        <f>HYPERLINK("http://141.218.60.56/~jnz1568/getInfo.php?workbook=07_01.xlsx&amp;sheet=A0&amp;row=74&amp;col=19&amp;number=&amp;sourceID=12","")</f>
        <v/>
      </c>
      <c r="T74" s="4" t="str">
        <f>HYPERLINK("http://141.218.60.56/~jnz1568/getInfo.php?workbook=07_01.xlsx&amp;sheet=A0&amp;row=74&amp;col=20&amp;number==&amp;sourceID=30","=")</f>
        <v>=</v>
      </c>
      <c r="U74" s="4" t="str">
        <f>HYPERLINK("http://141.218.60.56/~jnz1568/getInfo.php?workbook=07_01.xlsx&amp;sheet=A0&amp;row=74&amp;col=21&amp;number=753500000&amp;sourceID=30","753500000")</f>
        <v>753500000</v>
      </c>
      <c r="V74" s="4" t="str">
        <f>HYPERLINK("http://141.218.60.56/~jnz1568/getInfo.php?workbook=07_01.xlsx&amp;sheet=A0&amp;row=74&amp;col=22&amp;number=&amp;sourceID=30","")</f>
        <v/>
      </c>
      <c r="W74" s="4" t="str">
        <f>HYPERLINK("http://141.218.60.56/~jnz1568/getInfo.php?workbook=07_01.xlsx&amp;sheet=A0&amp;row=74&amp;col=23&amp;number=&amp;sourceID=30","")</f>
        <v/>
      </c>
      <c r="X74" s="4" t="str">
        <f>HYPERLINK("http://141.218.60.56/~jnz1568/getInfo.php?workbook=07_01.xlsx&amp;sheet=A0&amp;row=74&amp;col=24&amp;number=0.7367&amp;sourceID=30","0.7367")</f>
        <v>0.7367</v>
      </c>
      <c r="Y74" s="4" t="str">
        <f>HYPERLINK("http://141.218.60.56/~jnz1568/getInfo.php?workbook=07_01.xlsx&amp;sheet=A0&amp;row=74&amp;col=25&amp;number==&amp;sourceID=13","=")</f>
        <v>=</v>
      </c>
      <c r="Z74" s="4" t="str">
        <f>HYPERLINK("http://141.218.60.56/~jnz1568/getInfo.php?workbook=07_01.xlsx&amp;sheet=A0&amp;row=74&amp;col=26&amp;number=751000000&amp;sourceID=13","751000000")</f>
        <v>751000000</v>
      </c>
      <c r="AA74" s="4" t="str">
        <f>HYPERLINK("http://141.218.60.56/~jnz1568/getInfo.php?workbook=07_01.xlsx&amp;sheet=A0&amp;row=74&amp;col=27&amp;number=&amp;sourceID=13","")</f>
        <v/>
      </c>
      <c r="AB74" s="4" t="str">
        <f>HYPERLINK("http://141.218.60.56/~jnz1568/getInfo.php?workbook=07_01.xlsx&amp;sheet=A0&amp;row=74&amp;col=28&amp;number=&amp;sourceID=13","")</f>
        <v/>
      </c>
      <c r="AC74" s="4" t="str">
        <f>HYPERLINK("http://141.218.60.56/~jnz1568/getInfo.php?workbook=07_01.xlsx&amp;sheet=A0&amp;row=74&amp;col=29&amp;number=&amp;sourceID=13","")</f>
        <v/>
      </c>
      <c r="AD74" s="4" t="str">
        <f>HYPERLINK("http://141.218.60.56/~jnz1568/getInfo.php?workbook=07_01.xlsx&amp;sheet=A0&amp;row=74&amp;col=30&amp;number=&amp;sourceID=13","")</f>
        <v/>
      </c>
    </row>
    <row r="75" spans="1:30">
      <c r="A75" s="3">
        <v>7</v>
      </c>
      <c r="B75" s="3">
        <v>1</v>
      </c>
      <c r="C75" s="3">
        <v>13</v>
      </c>
      <c r="D75" s="3">
        <v>10</v>
      </c>
      <c r="E75" s="3">
        <f>((1/(INDEX(E0!J$4:J$28,C75,1)-INDEX(E0!J$4:J$28,D75,1))))*100000000</f>
        <v>0</v>
      </c>
      <c r="F75" s="4" t="str">
        <f>HYPERLINK("http://141.218.60.56/~jnz1568/getInfo.php?workbook=07_01.xlsx&amp;sheet=A0&amp;row=75&amp;col=6&amp;number==&amp;sourceID=11","=")</f>
        <v>=</v>
      </c>
      <c r="G75" s="4" t="str">
        <f>HYPERLINK("http://141.218.60.56/~jnz1568/getInfo.php?workbook=07_01.xlsx&amp;sheet=A0&amp;row=75&amp;col=7&amp;number=&amp;sourceID=11","")</f>
        <v/>
      </c>
      <c r="H75" s="4" t="str">
        <f>HYPERLINK("http://141.218.60.56/~jnz1568/getInfo.php?workbook=07_01.xlsx&amp;sheet=A0&amp;row=75&amp;col=8&amp;number=5.3493e-11&amp;sourceID=11","5.3493e-11")</f>
        <v>5.3493e-11</v>
      </c>
      <c r="I75" s="4" t="str">
        <f>HYPERLINK("http://141.218.60.56/~jnz1568/getInfo.php?workbook=07_01.xlsx&amp;sheet=A0&amp;row=75&amp;col=9&amp;number=&amp;sourceID=11","")</f>
        <v/>
      </c>
      <c r="J75" s="4" t="str">
        <f>HYPERLINK("http://141.218.60.56/~jnz1568/getInfo.php?workbook=07_01.xlsx&amp;sheet=A0&amp;row=75&amp;col=10&amp;number=1.1898e-05&amp;sourceID=11","1.1898e-05")</f>
        <v>1.1898e-05</v>
      </c>
      <c r="K75" s="4" t="str">
        <f>HYPERLINK("http://141.218.60.56/~jnz1568/getInfo.php?workbook=07_01.xlsx&amp;sheet=A0&amp;row=75&amp;col=11&amp;number=&amp;sourceID=11","")</f>
        <v/>
      </c>
      <c r="L75" s="4" t="str">
        <f>HYPERLINK("http://141.218.60.56/~jnz1568/getInfo.php?workbook=07_01.xlsx&amp;sheet=A0&amp;row=75&amp;col=12&amp;number=&amp;sourceID=11","")</f>
        <v/>
      </c>
      <c r="M75" s="4" t="str">
        <f>HYPERLINK("http://141.218.60.56/~jnz1568/getInfo.php?workbook=07_01.xlsx&amp;sheet=A0&amp;row=75&amp;col=13&amp;number=1.1899e-05&amp;sourceID=12","1.1899e-05")</f>
        <v>1.1899e-05</v>
      </c>
      <c r="N75" s="4" t="str">
        <f>HYPERLINK("http://141.218.60.56/~jnz1568/getInfo.php?workbook=07_01.xlsx&amp;sheet=A0&amp;row=75&amp;col=14&amp;number=&amp;sourceID=12","")</f>
        <v/>
      </c>
      <c r="O75" s="4" t="str">
        <f>HYPERLINK("http://141.218.60.56/~jnz1568/getInfo.php?workbook=07_01.xlsx&amp;sheet=A0&amp;row=75&amp;col=15&amp;number=5.3497e-11&amp;sourceID=12","5.3497e-11")</f>
        <v>5.3497e-11</v>
      </c>
      <c r="P75" s="4" t="str">
        <f>HYPERLINK("http://141.218.60.56/~jnz1568/getInfo.php?workbook=07_01.xlsx&amp;sheet=A0&amp;row=75&amp;col=16&amp;number=&amp;sourceID=12","")</f>
        <v/>
      </c>
      <c r="Q75" s="4" t="str">
        <f>HYPERLINK("http://141.218.60.56/~jnz1568/getInfo.php?workbook=07_01.xlsx&amp;sheet=A0&amp;row=75&amp;col=17&amp;number=1.1899e-05&amp;sourceID=12","1.1899e-05")</f>
        <v>1.1899e-05</v>
      </c>
      <c r="R75" s="4" t="str">
        <f>HYPERLINK("http://141.218.60.56/~jnz1568/getInfo.php?workbook=07_01.xlsx&amp;sheet=A0&amp;row=75&amp;col=18&amp;number=&amp;sourceID=12","")</f>
        <v/>
      </c>
      <c r="S75" s="4" t="str">
        <f>HYPERLINK("http://141.218.60.56/~jnz1568/getInfo.php?workbook=07_01.xlsx&amp;sheet=A0&amp;row=75&amp;col=19&amp;number=&amp;sourceID=12","")</f>
        <v/>
      </c>
      <c r="T75" s="4" t="str">
        <f>HYPERLINK("http://141.218.60.56/~jnz1568/getInfo.php?workbook=07_01.xlsx&amp;sheet=A0&amp;row=75&amp;col=20&amp;number==&amp;sourceID=30","=")</f>
        <v>=</v>
      </c>
      <c r="U75" s="4" t="str">
        <f>HYPERLINK("http://141.218.60.56/~jnz1568/getInfo.php?workbook=07_01.xlsx&amp;sheet=A0&amp;row=75&amp;col=21&amp;number=&amp;sourceID=30","")</f>
        <v/>
      </c>
      <c r="V75" s="4" t="str">
        <f>HYPERLINK("http://141.218.60.56/~jnz1568/getInfo.php?workbook=07_01.xlsx&amp;sheet=A0&amp;row=75&amp;col=22&amp;number=5.35e-11&amp;sourceID=30","5.35e-11")</f>
        <v>5.35e-11</v>
      </c>
      <c r="W75" s="4" t="str">
        <f>HYPERLINK("http://141.218.60.56/~jnz1568/getInfo.php?workbook=07_01.xlsx&amp;sheet=A0&amp;row=75&amp;col=23&amp;number=1.19e-05&amp;sourceID=30","1.19e-05")</f>
        <v>1.19e-05</v>
      </c>
      <c r="X75" s="4" t="str">
        <f>HYPERLINK("http://141.218.60.56/~jnz1568/getInfo.php?workbook=07_01.xlsx&amp;sheet=A0&amp;row=75&amp;col=24&amp;number=&amp;sourceID=30","")</f>
        <v/>
      </c>
      <c r="Y75" s="4" t="str">
        <f>HYPERLINK("http://141.218.60.56/~jnz1568/getInfo.php?workbook=07_01.xlsx&amp;sheet=A0&amp;row=75&amp;col=25&amp;number=&amp;sourceID=13","")</f>
        <v/>
      </c>
      <c r="Z75" s="4" t="str">
        <f>HYPERLINK("http://141.218.60.56/~jnz1568/getInfo.php?workbook=07_01.xlsx&amp;sheet=A0&amp;row=75&amp;col=26&amp;number=&amp;sourceID=13","")</f>
        <v/>
      </c>
      <c r="AA75" s="4" t="str">
        <f>HYPERLINK("http://141.218.60.56/~jnz1568/getInfo.php?workbook=07_01.xlsx&amp;sheet=A0&amp;row=75&amp;col=27&amp;number=&amp;sourceID=13","")</f>
        <v/>
      </c>
      <c r="AB75" s="4" t="str">
        <f>HYPERLINK("http://141.218.60.56/~jnz1568/getInfo.php?workbook=07_01.xlsx&amp;sheet=A0&amp;row=75&amp;col=28&amp;number=&amp;sourceID=13","")</f>
        <v/>
      </c>
      <c r="AC75" s="4" t="str">
        <f>HYPERLINK("http://141.218.60.56/~jnz1568/getInfo.php?workbook=07_01.xlsx&amp;sheet=A0&amp;row=75&amp;col=29&amp;number=&amp;sourceID=13","")</f>
        <v/>
      </c>
      <c r="AD75" s="4" t="str">
        <f>HYPERLINK("http://141.218.60.56/~jnz1568/getInfo.php?workbook=07_01.xlsx&amp;sheet=A0&amp;row=75&amp;col=30&amp;number=&amp;sourceID=13","")</f>
        <v/>
      </c>
    </row>
    <row r="76" spans="1:30">
      <c r="A76" s="3">
        <v>7</v>
      </c>
      <c r="B76" s="3">
        <v>1</v>
      </c>
      <c r="C76" s="3">
        <v>13</v>
      </c>
      <c r="D76" s="3">
        <v>11</v>
      </c>
      <c r="E76" s="3">
        <f>((1/(INDEX(E0!J$4:J$28,C76,1)-INDEX(E0!J$4:J$28,D76,1))))*100000000</f>
        <v>0</v>
      </c>
      <c r="F76" s="4" t="str">
        <f>HYPERLINK("http://141.218.60.56/~jnz1568/getInfo.php?workbook=07_01.xlsx&amp;sheet=A0&amp;row=76&amp;col=6&amp;number==&amp;sourceID=11","=")</f>
        <v>=</v>
      </c>
      <c r="G76" s="4" t="str">
        <f>HYPERLINK("http://141.218.60.56/~jnz1568/getInfo.php?workbook=07_01.xlsx&amp;sheet=A0&amp;row=76&amp;col=7&amp;number=9.8449&amp;sourceID=11","9.8449")</f>
        <v>9.8449</v>
      </c>
      <c r="H76" s="4" t="str">
        <f>HYPERLINK("http://141.218.60.56/~jnz1568/getInfo.php?workbook=07_01.xlsx&amp;sheet=A0&amp;row=76&amp;col=8&amp;number=&amp;sourceID=11","")</f>
        <v/>
      </c>
      <c r="I76" s="4" t="str">
        <f>HYPERLINK("http://141.218.60.56/~jnz1568/getInfo.php?workbook=07_01.xlsx&amp;sheet=A0&amp;row=76&amp;col=9&amp;number=&amp;sourceID=11","")</f>
        <v/>
      </c>
      <c r="J76" s="4" t="str">
        <f>HYPERLINK("http://141.218.60.56/~jnz1568/getInfo.php?workbook=07_01.xlsx&amp;sheet=A0&amp;row=76&amp;col=10&amp;number=&amp;sourceID=11","")</f>
        <v/>
      </c>
      <c r="K76" s="4" t="str">
        <f>HYPERLINK("http://141.218.60.56/~jnz1568/getInfo.php?workbook=07_01.xlsx&amp;sheet=A0&amp;row=76&amp;col=11&amp;number=1e-15&amp;sourceID=11","1e-15")</f>
        <v>1e-15</v>
      </c>
      <c r="L76" s="4" t="str">
        <f>HYPERLINK("http://141.218.60.56/~jnz1568/getInfo.php?workbook=07_01.xlsx&amp;sheet=A0&amp;row=76&amp;col=12&amp;number=&amp;sourceID=11","")</f>
        <v/>
      </c>
      <c r="M76" s="4" t="str">
        <f>HYPERLINK("http://141.218.60.56/~jnz1568/getInfo.php?workbook=07_01.xlsx&amp;sheet=A0&amp;row=76&amp;col=13&amp;number=9.8455&amp;sourceID=12","9.8455")</f>
        <v>9.8455</v>
      </c>
      <c r="N76" s="4" t="str">
        <f>HYPERLINK("http://141.218.60.56/~jnz1568/getInfo.php?workbook=07_01.xlsx&amp;sheet=A0&amp;row=76&amp;col=14&amp;number=9.8455&amp;sourceID=12","9.8455")</f>
        <v>9.8455</v>
      </c>
      <c r="O76" s="4" t="str">
        <f>HYPERLINK("http://141.218.60.56/~jnz1568/getInfo.php?workbook=07_01.xlsx&amp;sheet=A0&amp;row=76&amp;col=15&amp;number=&amp;sourceID=12","")</f>
        <v/>
      </c>
      <c r="P76" s="4" t="str">
        <f>HYPERLINK("http://141.218.60.56/~jnz1568/getInfo.php?workbook=07_01.xlsx&amp;sheet=A0&amp;row=76&amp;col=16&amp;number=&amp;sourceID=12","")</f>
        <v/>
      </c>
      <c r="Q76" s="4" t="str">
        <f>HYPERLINK("http://141.218.60.56/~jnz1568/getInfo.php?workbook=07_01.xlsx&amp;sheet=A0&amp;row=76&amp;col=17&amp;number=&amp;sourceID=12","")</f>
        <v/>
      </c>
      <c r="R76" s="4" t="str">
        <f>HYPERLINK("http://141.218.60.56/~jnz1568/getInfo.php?workbook=07_01.xlsx&amp;sheet=A0&amp;row=76&amp;col=18&amp;number=1e-15&amp;sourceID=12","1e-15")</f>
        <v>1e-15</v>
      </c>
      <c r="S76" s="4" t="str">
        <f>HYPERLINK("http://141.218.60.56/~jnz1568/getInfo.php?workbook=07_01.xlsx&amp;sheet=A0&amp;row=76&amp;col=19&amp;number=&amp;sourceID=12","")</f>
        <v/>
      </c>
      <c r="T76" s="4" t="str">
        <f>HYPERLINK("http://141.218.60.56/~jnz1568/getInfo.php?workbook=07_01.xlsx&amp;sheet=A0&amp;row=76&amp;col=20&amp;number==&amp;sourceID=30","=")</f>
        <v>=</v>
      </c>
      <c r="U76" s="4" t="str">
        <f>HYPERLINK("http://141.218.60.56/~jnz1568/getInfo.php?workbook=07_01.xlsx&amp;sheet=A0&amp;row=76&amp;col=21&amp;number=9.845&amp;sourceID=30","9.845")</f>
        <v>9.845</v>
      </c>
      <c r="V76" s="4" t="str">
        <f>HYPERLINK("http://141.218.60.56/~jnz1568/getInfo.php?workbook=07_01.xlsx&amp;sheet=A0&amp;row=76&amp;col=22&amp;number=&amp;sourceID=30","")</f>
        <v/>
      </c>
      <c r="W76" s="4" t="str">
        <f>HYPERLINK("http://141.218.60.56/~jnz1568/getInfo.php?workbook=07_01.xlsx&amp;sheet=A0&amp;row=76&amp;col=23&amp;number=&amp;sourceID=30","")</f>
        <v/>
      </c>
      <c r="X76" s="4" t="str">
        <f>HYPERLINK("http://141.218.60.56/~jnz1568/getInfo.php?workbook=07_01.xlsx&amp;sheet=A0&amp;row=76&amp;col=24&amp;number=1e-15&amp;sourceID=30","1e-15")</f>
        <v>1e-15</v>
      </c>
      <c r="Y76" s="4" t="str">
        <f>HYPERLINK("http://141.218.60.56/~jnz1568/getInfo.php?workbook=07_01.xlsx&amp;sheet=A0&amp;row=76&amp;col=25&amp;number=&amp;sourceID=13","")</f>
        <v/>
      </c>
      <c r="Z76" s="4" t="str">
        <f>HYPERLINK("http://141.218.60.56/~jnz1568/getInfo.php?workbook=07_01.xlsx&amp;sheet=A0&amp;row=76&amp;col=26&amp;number=&amp;sourceID=13","")</f>
        <v/>
      </c>
      <c r="AA76" s="4" t="str">
        <f>HYPERLINK("http://141.218.60.56/~jnz1568/getInfo.php?workbook=07_01.xlsx&amp;sheet=A0&amp;row=76&amp;col=27&amp;number=&amp;sourceID=13","")</f>
        <v/>
      </c>
      <c r="AB76" s="4" t="str">
        <f>HYPERLINK("http://141.218.60.56/~jnz1568/getInfo.php?workbook=07_01.xlsx&amp;sheet=A0&amp;row=76&amp;col=28&amp;number=&amp;sourceID=13","")</f>
        <v/>
      </c>
      <c r="AC76" s="4" t="str">
        <f>HYPERLINK("http://141.218.60.56/~jnz1568/getInfo.php?workbook=07_01.xlsx&amp;sheet=A0&amp;row=76&amp;col=29&amp;number=&amp;sourceID=13","")</f>
        <v/>
      </c>
      <c r="AD76" s="4" t="str">
        <f>HYPERLINK("http://141.218.60.56/~jnz1568/getInfo.php?workbook=07_01.xlsx&amp;sheet=A0&amp;row=76&amp;col=30&amp;number=&amp;sourceID=13","")</f>
        <v/>
      </c>
    </row>
    <row r="77" spans="1:30">
      <c r="A77" s="3">
        <v>7</v>
      </c>
      <c r="B77" s="3">
        <v>1</v>
      </c>
      <c r="C77" s="3">
        <v>14</v>
      </c>
      <c r="D77" s="3">
        <v>1</v>
      </c>
      <c r="E77" s="3">
        <f>((1/(INDEX(E0!J$4:J$28,C77,1)-INDEX(E0!J$4:J$28,D77,1))))*100000000</f>
        <v>0</v>
      </c>
      <c r="F77" s="4" t="str">
        <f>HYPERLINK("http://141.218.60.56/~jnz1568/getInfo.php?workbook=07_01.xlsx&amp;sheet=A0&amp;row=77&amp;col=6&amp;number==&amp;sourceID=11","=")</f>
        <v>=</v>
      </c>
      <c r="G77" s="4" t="str">
        <f>HYPERLINK("http://141.218.60.56/~jnz1568/getInfo.php?workbook=07_01.xlsx&amp;sheet=A0&amp;row=77&amp;col=7&amp;number=&amp;sourceID=11","")</f>
        <v/>
      </c>
      <c r="H77" s="4" t="str">
        <f>HYPERLINK("http://141.218.60.56/~jnz1568/getInfo.php?workbook=07_01.xlsx&amp;sheet=A0&amp;row=77&amp;col=8&amp;number=&amp;sourceID=11","")</f>
        <v/>
      </c>
      <c r="I77" s="4" t="str">
        <f>HYPERLINK("http://141.218.60.56/~jnz1568/getInfo.php?workbook=07_01.xlsx&amp;sheet=A0&amp;row=77&amp;col=9&amp;number=1789&amp;sourceID=11","1789")</f>
        <v>1789</v>
      </c>
      <c r="J77" s="4" t="str">
        <f>HYPERLINK("http://141.218.60.56/~jnz1568/getInfo.php?workbook=07_01.xlsx&amp;sheet=A0&amp;row=77&amp;col=10&amp;number=&amp;sourceID=11","")</f>
        <v/>
      </c>
      <c r="K77" s="4" t="str">
        <f>HYPERLINK("http://141.218.60.56/~jnz1568/getInfo.php?workbook=07_01.xlsx&amp;sheet=A0&amp;row=77&amp;col=11&amp;number=2.2517e-05&amp;sourceID=11","2.2517e-05")</f>
        <v>2.2517e-05</v>
      </c>
      <c r="L77" s="4" t="str">
        <f>HYPERLINK("http://141.218.60.56/~jnz1568/getInfo.php?workbook=07_01.xlsx&amp;sheet=A0&amp;row=77&amp;col=12&amp;number=&amp;sourceID=11","")</f>
        <v/>
      </c>
      <c r="M77" s="4" t="str">
        <f>HYPERLINK("http://141.218.60.56/~jnz1568/getInfo.php?workbook=07_01.xlsx&amp;sheet=A0&amp;row=77&amp;col=13&amp;number=1789.1&amp;sourceID=12","1789.1")</f>
        <v>1789.1</v>
      </c>
      <c r="N77" s="4" t="str">
        <f>HYPERLINK("http://141.218.60.56/~jnz1568/getInfo.php?workbook=07_01.xlsx&amp;sheet=A0&amp;row=77&amp;col=14&amp;number=&amp;sourceID=12","")</f>
        <v/>
      </c>
      <c r="O77" s="4" t="str">
        <f>HYPERLINK("http://141.218.60.56/~jnz1568/getInfo.php?workbook=07_01.xlsx&amp;sheet=A0&amp;row=77&amp;col=15&amp;number=&amp;sourceID=12","")</f>
        <v/>
      </c>
      <c r="P77" s="4" t="str">
        <f>HYPERLINK("http://141.218.60.56/~jnz1568/getInfo.php?workbook=07_01.xlsx&amp;sheet=A0&amp;row=77&amp;col=16&amp;number=1789.1&amp;sourceID=12","1789.1")</f>
        <v>1789.1</v>
      </c>
      <c r="Q77" s="4" t="str">
        <f>HYPERLINK("http://141.218.60.56/~jnz1568/getInfo.php?workbook=07_01.xlsx&amp;sheet=A0&amp;row=77&amp;col=17&amp;number=&amp;sourceID=12","")</f>
        <v/>
      </c>
      <c r="R77" s="4" t="str">
        <f>HYPERLINK("http://141.218.60.56/~jnz1568/getInfo.php?workbook=07_01.xlsx&amp;sheet=A0&amp;row=77&amp;col=18&amp;number=2.2069e-05&amp;sourceID=12","2.2069e-05")</f>
        <v>2.2069e-05</v>
      </c>
      <c r="S77" s="4" t="str">
        <f>HYPERLINK("http://141.218.60.56/~jnz1568/getInfo.php?workbook=07_01.xlsx&amp;sheet=A0&amp;row=77&amp;col=19&amp;number=&amp;sourceID=12","")</f>
        <v/>
      </c>
      <c r="T77" s="4" t="str">
        <f>HYPERLINK("http://141.218.60.56/~jnz1568/getInfo.php?workbook=07_01.xlsx&amp;sheet=A0&amp;row=77&amp;col=20&amp;number==&amp;sourceID=30","=")</f>
        <v>=</v>
      </c>
      <c r="U77" s="4" t="str">
        <f>HYPERLINK("http://141.218.60.56/~jnz1568/getInfo.php?workbook=07_01.xlsx&amp;sheet=A0&amp;row=77&amp;col=21&amp;number=&amp;sourceID=30","")</f>
        <v/>
      </c>
      <c r="V77" s="4" t="str">
        <f>HYPERLINK("http://141.218.60.56/~jnz1568/getInfo.php?workbook=07_01.xlsx&amp;sheet=A0&amp;row=77&amp;col=22&amp;number=&amp;sourceID=30","")</f>
        <v/>
      </c>
      <c r="W77" s="4" t="str">
        <f>HYPERLINK("http://141.218.60.56/~jnz1568/getInfo.php?workbook=07_01.xlsx&amp;sheet=A0&amp;row=77&amp;col=23&amp;number=&amp;sourceID=30","")</f>
        <v/>
      </c>
      <c r="X77" s="4" t="str">
        <f>HYPERLINK("http://141.218.60.56/~jnz1568/getInfo.php?workbook=07_01.xlsx&amp;sheet=A0&amp;row=77&amp;col=24&amp;number=2.252e-05&amp;sourceID=30","2.252e-05")</f>
        <v>2.252e-05</v>
      </c>
      <c r="Y77" s="4" t="str">
        <f>HYPERLINK("http://141.218.60.56/~jnz1568/getInfo.php?workbook=07_01.xlsx&amp;sheet=A0&amp;row=77&amp;col=25&amp;number==SUM(Z77:AD77)&amp;sourceID=13","=SUM(Z77:AD77)")</f>
        <v>=SUM(Z77:AD77)</v>
      </c>
      <c r="Z77" s="4" t="str">
        <f>HYPERLINK("http://141.218.60.56/~jnz1568/getInfo.php?workbook=07_01.xlsx&amp;sheet=A0&amp;row=77&amp;col=26&amp;number=&amp;sourceID=13","")</f>
        <v/>
      </c>
      <c r="AA77" s="4" t="str">
        <f>HYPERLINK("http://141.218.60.56/~jnz1568/getInfo.php?workbook=07_01.xlsx&amp;sheet=A0&amp;row=77&amp;col=27&amp;number=&amp;sourceID=13","")</f>
        <v/>
      </c>
      <c r="AB77" s="4" t="str">
        <f>HYPERLINK("http://141.218.60.56/~jnz1568/getInfo.php?workbook=07_01.xlsx&amp;sheet=A0&amp;row=77&amp;col=28&amp;number=960&amp;sourceID=13","960")</f>
        <v>960</v>
      </c>
      <c r="AC77" s="4" t="str">
        <f>HYPERLINK("http://141.218.60.56/~jnz1568/getInfo.php?workbook=07_01.xlsx&amp;sheet=A0&amp;row=77&amp;col=29&amp;number=&amp;sourceID=13","")</f>
        <v/>
      </c>
      <c r="AD77" s="4" t="str">
        <f>HYPERLINK("http://141.218.60.56/~jnz1568/getInfo.php?workbook=07_01.xlsx&amp;sheet=A0&amp;row=77&amp;col=30&amp;number=&amp;sourceID=13","")</f>
        <v/>
      </c>
    </row>
    <row r="78" spans="1:30">
      <c r="A78" s="3">
        <v>7</v>
      </c>
      <c r="B78" s="3">
        <v>1</v>
      </c>
      <c r="C78" s="3">
        <v>14</v>
      </c>
      <c r="D78" s="3">
        <v>2</v>
      </c>
      <c r="E78" s="3">
        <f>((1/(INDEX(E0!J$4:J$28,C78,1)-INDEX(E0!J$4:J$28,D78,1))))*100000000</f>
        <v>0</v>
      </c>
      <c r="F78" s="4" t="str">
        <f>HYPERLINK("http://141.218.60.56/~jnz1568/getInfo.php?workbook=07_01.xlsx&amp;sheet=A0&amp;row=78&amp;col=6&amp;number==&amp;sourceID=11","=")</f>
        <v>=</v>
      </c>
      <c r="G78" s="4" t="str">
        <f>HYPERLINK("http://141.218.60.56/~jnz1568/getInfo.php?workbook=07_01.xlsx&amp;sheet=A0&amp;row=78&amp;col=7&amp;number=&amp;sourceID=11","")</f>
        <v/>
      </c>
      <c r="H78" s="4" t="str">
        <f>HYPERLINK("http://141.218.60.56/~jnz1568/getInfo.php?workbook=07_01.xlsx&amp;sheet=A0&amp;row=78&amp;col=8&amp;number=5655600&amp;sourceID=11","5655600")</f>
        <v>5655600</v>
      </c>
      <c r="I78" s="4" t="str">
        <f>HYPERLINK("http://141.218.60.56/~jnz1568/getInfo.php?workbook=07_01.xlsx&amp;sheet=A0&amp;row=78&amp;col=9&amp;number=&amp;sourceID=11","")</f>
        <v/>
      </c>
      <c r="J78" s="4" t="str">
        <f>HYPERLINK("http://141.218.60.56/~jnz1568/getInfo.php?workbook=07_01.xlsx&amp;sheet=A0&amp;row=78&amp;col=10&amp;number=&amp;sourceID=11","")</f>
        <v/>
      </c>
      <c r="K78" s="4" t="str">
        <f>HYPERLINK("http://141.218.60.56/~jnz1568/getInfo.php?workbook=07_01.xlsx&amp;sheet=A0&amp;row=78&amp;col=11&amp;number=&amp;sourceID=11","")</f>
        <v/>
      </c>
      <c r="L78" s="4" t="str">
        <f>HYPERLINK("http://141.218.60.56/~jnz1568/getInfo.php?workbook=07_01.xlsx&amp;sheet=A0&amp;row=78&amp;col=12&amp;number=0.0015376&amp;sourceID=11","0.0015376")</f>
        <v>0.0015376</v>
      </c>
      <c r="M78" s="4" t="str">
        <f>HYPERLINK("http://141.218.60.56/~jnz1568/getInfo.php?workbook=07_01.xlsx&amp;sheet=A0&amp;row=78&amp;col=13&amp;number=5655800&amp;sourceID=12","5655800")</f>
        <v>5655800</v>
      </c>
      <c r="N78" s="4" t="str">
        <f>HYPERLINK("http://141.218.60.56/~jnz1568/getInfo.php?workbook=07_01.xlsx&amp;sheet=A0&amp;row=78&amp;col=14&amp;number=&amp;sourceID=12","")</f>
        <v/>
      </c>
      <c r="O78" s="4" t="str">
        <f>HYPERLINK("http://141.218.60.56/~jnz1568/getInfo.php?workbook=07_01.xlsx&amp;sheet=A0&amp;row=78&amp;col=15&amp;number=5655800&amp;sourceID=12","5655800")</f>
        <v>5655800</v>
      </c>
      <c r="P78" s="4" t="str">
        <f>HYPERLINK("http://141.218.60.56/~jnz1568/getInfo.php?workbook=07_01.xlsx&amp;sheet=A0&amp;row=78&amp;col=16&amp;number=&amp;sourceID=12","")</f>
        <v/>
      </c>
      <c r="Q78" s="4" t="str">
        <f>HYPERLINK("http://141.218.60.56/~jnz1568/getInfo.php?workbook=07_01.xlsx&amp;sheet=A0&amp;row=78&amp;col=17&amp;number=&amp;sourceID=12","")</f>
        <v/>
      </c>
      <c r="R78" s="4" t="str">
        <f>HYPERLINK("http://141.218.60.56/~jnz1568/getInfo.php?workbook=07_01.xlsx&amp;sheet=A0&amp;row=78&amp;col=18&amp;number=&amp;sourceID=12","")</f>
        <v/>
      </c>
      <c r="S78" s="4" t="str">
        <f>HYPERLINK("http://141.218.60.56/~jnz1568/getInfo.php?workbook=07_01.xlsx&amp;sheet=A0&amp;row=78&amp;col=19&amp;number=0.0015376&amp;sourceID=12","0.0015376")</f>
        <v>0.0015376</v>
      </c>
      <c r="T78" s="4" t="str">
        <f>HYPERLINK("http://141.218.60.56/~jnz1568/getInfo.php?workbook=07_01.xlsx&amp;sheet=A0&amp;row=78&amp;col=20&amp;number==&amp;sourceID=30","=")</f>
        <v>=</v>
      </c>
      <c r="U78" s="4" t="str">
        <f>HYPERLINK("http://141.218.60.56/~jnz1568/getInfo.php?workbook=07_01.xlsx&amp;sheet=A0&amp;row=78&amp;col=21&amp;number=&amp;sourceID=30","")</f>
        <v/>
      </c>
      <c r="V78" s="4" t="str">
        <f>HYPERLINK("http://141.218.60.56/~jnz1568/getInfo.php?workbook=07_01.xlsx&amp;sheet=A0&amp;row=78&amp;col=22&amp;number=5656000&amp;sourceID=30","5656000")</f>
        <v>5656000</v>
      </c>
      <c r="W78" s="4" t="str">
        <f>HYPERLINK("http://141.218.60.56/~jnz1568/getInfo.php?workbook=07_01.xlsx&amp;sheet=A0&amp;row=78&amp;col=23&amp;number=&amp;sourceID=30","")</f>
        <v/>
      </c>
      <c r="X78" s="4" t="str">
        <f>HYPERLINK("http://141.218.60.56/~jnz1568/getInfo.php?workbook=07_01.xlsx&amp;sheet=A0&amp;row=78&amp;col=24&amp;number=&amp;sourceID=30","")</f>
        <v/>
      </c>
      <c r="Y78" s="4" t="str">
        <f>HYPERLINK("http://141.218.60.56/~jnz1568/getInfo.php?workbook=07_01.xlsx&amp;sheet=A0&amp;row=78&amp;col=25&amp;number==&amp;sourceID=13","=")</f>
        <v>=</v>
      </c>
      <c r="Z78" s="4" t="str">
        <f>HYPERLINK("http://141.218.60.56/~jnz1568/getInfo.php?workbook=07_01.xlsx&amp;sheet=A0&amp;row=78&amp;col=26&amp;number=&amp;sourceID=13","")</f>
        <v/>
      </c>
      <c r="AA78" s="4" t="str">
        <f>HYPERLINK("http://141.218.60.56/~jnz1568/getInfo.php?workbook=07_01.xlsx&amp;sheet=A0&amp;row=78&amp;col=27&amp;number=5670000&amp;sourceID=13","5670000")</f>
        <v>5670000</v>
      </c>
      <c r="AB78" s="4" t="str">
        <f>HYPERLINK("http://141.218.60.56/~jnz1568/getInfo.php?workbook=07_01.xlsx&amp;sheet=A0&amp;row=78&amp;col=28&amp;number=&amp;sourceID=13","")</f>
        <v/>
      </c>
      <c r="AC78" s="4" t="str">
        <f>HYPERLINK("http://141.218.60.56/~jnz1568/getInfo.php?workbook=07_01.xlsx&amp;sheet=A0&amp;row=78&amp;col=29&amp;number=&amp;sourceID=13","")</f>
        <v/>
      </c>
      <c r="AD78" s="4" t="str">
        <f>HYPERLINK("http://141.218.60.56/~jnz1568/getInfo.php?workbook=07_01.xlsx&amp;sheet=A0&amp;row=78&amp;col=30&amp;number=&amp;sourceID=13","")</f>
        <v/>
      </c>
    </row>
    <row r="79" spans="1:30">
      <c r="A79" s="3">
        <v>7</v>
      </c>
      <c r="B79" s="3">
        <v>1</v>
      </c>
      <c r="C79" s="3">
        <v>14</v>
      </c>
      <c r="D79" s="3">
        <v>3</v>
      </c>
      <c r="E79" s="3">
        <f>((1/(INDEX(E0!J$4:J$28,C79,1)-INDEX(E0!J$4:J$28,D79,1))))*100000000</f>
        <v>0</v>
      </c>
      <c r="F79" s="4" t="str">
        <f>HYPERLINK("http://141.218.60.56/~jnz1568/getInfo.php?workbook=07_01.xlsx&amp;sheet=A0&amp;row=79&amp;col=6&amp;number==&amp;sourceID=11","=")</f>
        <v>=</v>
      </c>
      <c r="G79" s="4" t="str">
        <f>HYPERLINK("http://141.218.60.56/~jnz1568/getInfo.php?workbook=07_01.xlsx&amp;sheet=A0&amp;row=79&amp;col=7&amp;number=&amp;sourceID=11","")</f>
        <v/>
      </c>
      <c r="H79" s="4" t="str">
        <f>HYPERLINK("http://141.218.60.56/~jnz1568/getInfo.php?workbook=07_01.xlsx&amp;sheet=A0&amp;row=79&amp;col=8&amp;number=&amp;sourceID=11","")</f>
        <v/>
      </c>
      <c r="I79" s="4" t="str">
        <f>HYPERLINK("http://141.218.60.56/~jnz1568/getInfo.php?workbook=07_01.xlsx&amp;sheet=A0&amp;row=79&amp;col=9&amp;number=707.05&amp;sourceID=11","707.05")</f>
        <v>707.05</v>
      </c>
      <c r="J79" s="4" t="str">
        <f>HYPERLINK("http://141.218.60.56/~jnz1568/getInfo.php?workbook=07_01.xlsx&amp;sheet=A0&amp;row=79&amp;col=10&amp;number=&amp;sourceID=11","")</f>
        <v/>
      </c>
      <c r="K79" s="4" t="str">
        <f>HYPERLINK("http://141.218.60.56/~jnz1568/getInfo.php?workbook=07_01.xlsx&amp;sheet=A0&amp;row=79&amp;col=11&amp;number=1.1532e-06&amp;sourceID=11","1.1532e-06")</f>
        <v>1.1532e-06</v>
      </c>
      <c r="L79" s="4" t="str">
        <f>HYPERLINK("http://141.218.60.56/~jnz1568/getInfo.php?workbook=07_01.xlsx&amp;sheet=A0&amp;row=79&amp;col=12&amp;number=&amp;sourceID=11","")</f>
        <v/>
      </c>
      <c r="M79" s="4" t="str">
        <f>HYPERLINK("http://141.218.60.56/~jnz1568/getInfo.php?workbook=07_01.xlsx&amp;sheet=A0&amp;row=79&amp;col=13&amp;number=707.07&amp;sourceID=12","707.07")</f>
        <v>707.07</v>
      </c>
      <c r="N79" s="4" t="str">
        <f>HYPERLINK("http://141.218.60.56/~jnz1568/getInfo.php?workbook=07_01.xlsx&amp;sheet=A0&amp;row=79&amp;col=14&amp;number=&amp;sourceID=12","")</f>
        <v/>
      </c>
      <c r="O79" s="4" t="str">
        <f>HYPERLINK("http://141.218.60.56/~jnz1568/getInfo.php?workbook=07_01.xlsx&amp;sheet=A0&amp;row=79&amp;col=15&amp;number=&amp;sourceID=12","")</f>
        <v/>
      </c>
      <c r="P79" s="4" t="str">
        <f>HYPERLINK("http://141.218.60.56/~jnz1568/getInfo.php?workbook=07_01.xlsx&amp;sheet=A0&amp;row=79&amp;col=16&amp;number=707.07&amp;sourceID=12","707.07")</f>
        <v>707.07</v>
      </c>
      <c r="Q79" s="4" t="str">
        <f>HYPERLINK("http://141.218.60.56/~jnz1568/getInfo.php?workbook=07_01.xlsx&amp;sheet=A0&amp;row=79&amp;col=17&amp;number=&amp;sourceID=12","")</f>
        <v/>
      </c>
      <c r="R79" s="4" t="str">
        <f>HYPERLINK("http://141.218.60.56/~jnz1568/getInfo.php?workbook=07_01.xlsx&amp;sheet=A0&amp;row=79&amp;col=18&amp;number=1.1529e-06&amp;sourceID=12","1.1529e-06")</f>
        <v>1.1529e-06</v>
      </c>
      <c r="S79" s="4" t="str">
        <f>HYPERLINK("http://141.218.60.56/~jnz1568/getInfo.php?workbook=07_01.xlsx&amp;sheet=A0&amp;row=79&amp;col=19&amp;number=&amp;sourceID=12","")</f>
        <v/>
      </c>
      <c r="T79" s="4" t="str">
        <f>HYPERLINK("http://141.218.60.56/~jnz1568/getInfo.php?workbook=07_01.xlsx&amp;sheet=A0&amp;row=79&amp;col=20&amp;number==&amp;sourceID=30","=")</f>
        <v>=</v>
      </c>
      <c r="U79" s="4" t="str">
        <f>HYPERLINK("http://141.218.60.56/~jnz1568/getInfo.php?workbook=07_01.xlsx&amp;sheet=A0&amp;row=79&amp;col=21&amp;number=&amp;sourceID=30","")</f>
        <v/>
      </c>
      <c r="V79" s="4" t="str">
        <f>HYPERLINK("http://141.218.60.56/~jnz1568/getInfo.php?workbook=07_01.xlsx&amp;sheet=A0&amp;row=79&amp;col=22&amp;number=&amp;sourceID=30","")</f>
        <v/>
      </c>
      <c r="W79" s="4" t="str">
        <f>HYPERLINK("http://141.218.60.56/~jnz1568/getInfo.php?workbook=07_01.xlsx&amp;sheet=A0&amp;row=79&amp;col=23&amp;number=&amp;sourceID=30","")</f>
        <v/>
      </c>
      <c r="X79" s="4" t="str">
        <f>HYPERLINK("http://141.218.60.56/~jnz1568/getInfo.php?workbook=07_01.xlsx&amp;sheet=A0&amp;row=79&amp;col=24&amp;number=1.153e-06&amp;sourceID=30","1.153e-06")</f>
        <v>1.153e-06</v>
      </c>
      <c r="Y79" s="4" t="str">
        <f>HYPERLINK("http://141.218.60.56/~jnz1568/getInfo.php?workbook=07_01.xlsx&amp;sheet=A0&amp;row=79&amp;col=25&amp;number==&amp;sourceID=13","=")</f>
        <v>=</v>
      </c>
      <c r="Z79" s="4" t="str">
        <f>HYPERLINK("http://141.218.60.56/~jnz1568/getInfo.php?workbook=07_01.xlsx&amp;sheet=A0&amp;row=79&amp;col=26&amp;number=&amp;sourceID=13","")</f>
        <v/>
      </c>
      <c r="AA79" s="4" t="str">
        <f>HYPERLINK("http://141.218.60.56/~jnz1568/getInfo.php?workbook=07_01.xlsx&amp;sheet=A0&amp;row=79&amp;col=27&amp;number=&amp;sourceID=13","")</f>
        <v/>
      </c>
      <c r="AB79" s="4" t="str">
        <f>HYPERLINK("http://141.218.60.56/~jnz1568/getInfo.php?workbook=07_01.xlsx&amp;sheet=A0&amp;row=79&amp;col=28&amp;number=712&amp;sourceID=13","712")</f>
        <v>712</v>
      </c>
      <c r="AC79" s="4" t="str">
        <f>HYPERLINK("http://141.218.60.56/~jnz1568/getInfo.php?workbook=07_01.xlsx&amp;sheet=A0&amp;row=79&amp;col=29&amp;number=&amp;sourceID=13","")</f>
        <v/>
      </c>
      <c r="AD79" s="4" t="str">
        <f>HYPERLINK("http://141.218.60.56/~jnz1568/getInfo.php?workbook=07_01.xlsx&amp;sheet=A0&amp;row=79&amp;col=30&amp;number=&amp;sourceID=13","")</f>
        <v/>
      </c>
    </row>
    <row r="80" spans="1:30">
      <c r="A80" s="3">
        <v>7</v>
      </c>
      <c r="B80" s="3">
        <v>1</v>
      </c>
      <c r="C80" s="3">
        <v>14</v>
      </c>
      <c r="D80" s="3">
        <v>4</v>
      </c>
      <c r="E80" s="3">
        <f>((1/(INDEX(E0!J$4:J$28,C80,1)-INDEX(E0!J$4:J$28,D80,1))))*100000000</f>
        <v>0</v>
      </c>
      <c r="F80" s="4" t="str">
        <f>HYPERLINK("http://141.218.60.56/~jnz1568/getInfo.php?workbook=07_01.xlsx&amp;sheet=A0&amp;row=80&amp;col=6&amp;number==&amp;sourceID=11","=")</f>
        <v>=</v>
      </c>
      <c r="G80" s="4" t="str">
        <f>HYPERLINK("http://141.218.60.56/~jnz1568/getInfo.php?workbook=07_01.xlsx&amp;sheet=A0&amp;row=80&amp;col=7&amp;number=&amp;sourceID=11","")</f>
        <v/>
      </c>
      <c r="H80" s="4" t="str">
        <f>HYPERLINK("http://141.218.60.56/~jnz1568/getInfo.php?workbook=07_01.xlsx&amp;sheet=A0&amp;row=80&amp;col=8&amp;number=1615600&amp;sourceID=11","1615600")</f>
        <v>1615600</v>
      </c>
      <c r="I80" s="4" t="str">
        <f>HYPERLINK("http://141.218.60.56/~jnz1568/getInfo.php?workbook=07_01.xlsx&amp;sheet=A0&amp;row=80&amp;col=9&amp;number=&amp;sourceID=11","")</f>
        <v/>
      </c>
      <c r="J80" s="4" t="str">
        <f>HYPERLINK("http://141.218.60.56/~jnz1568/getInfo.php?workbook=07_01.xlsx&amp;sheet=A0&amp;row=80&amp;col=10&amp;number=0.012479&amp;sourceID=11","0.012479")</f>
        <v>0.012479</v>
      </c>
      <c r="K80" s="4" t="str">
        <f>HYPERLINK("http://141.218.60.56/~jnz1568/getInfo.php?workbook=07_01.xlsx&amp;sheet=A0&amp;row=80&amp;col=11&amp;number=&amp;sourceID=11","")</f>
        <v/>
      </c>
      <c r="L80" s="4" t="str">
        <f>HYPERLINK("http://141.218.60.56/~jnz1568/getInfo.php?workbook=07_01.xlsx&amp;sheet=A0&amp;row=80&amp;col=12&amp;number=0.00030709&amp;sourceID=11","0.00030709")</f>
        <v>0.00030709</v>
      </c>
      <c r="M80" s="4" t="str">
        <f>HYPERLINK("http://141.218.60.56/~jnz1568/getInfo.php?workbook=07_01.xlsx&amp;sheet=A0&amp;row=80&amp;col=13&amp;number=1615600&amp;sourceID=12","1615600")</f>
        <v>1615600</v>
      </c>
      <c r="N80" s="4" t="str">
        <f>HYPERLINK("http://141.218.60.56/~jnz1568/getInfo.php?workbook=07_01.xlsx&amp;sheet=A0&amp;row=80&amp;col=14&amp;number=&amp;sourceID=12","")</f>
        <v/>
      </c>
      <c r="O80" s="4" t="str">
        <f>HYPERLINK("http://141.218.60.56/~jnz1568/getInfo.php?workbook=07_01.xlsx&amp;sheet=A0&amp;row=80&amp;col=15&amp;number=1615600&amp;sourceID=12","1615600")</f>
        <v>1615600</v>
      </c>
      <c r="P80" s="4" t="str">
        <f>HYPERLINK("http://141.218.60.56/~jnz1568/getInfo.php?workbook=07_01.xlsx&amp;sheet=A0&amp;row=80&amp;col=16&amp;number=&amp;sourceID=12","")</f>
        <v/>
      </c>
      <c r="Q80" s="4" t="str">
        <f>HYPERLINK("http://141.218.60.56/~jnz1568/getInfo.php?workbook=07_01.xlsx&amp;sheet=A0&amp;row=80&amp;col=17&amp;number=0.012479&amp;sourceID=12","0.012479")</f>
        <v>0.012479</v>
      </c>
      <c r="R80" s="4" t="str">
        <f>HYPERLINK("http://141.218.60.56/~jnz1568/getInfo.php?workbook=07_01.xlsx&amp;sheet=A0&amp;row=80&amp;col=18&amp;number=&amp;sourceID=12","")</f>
        <v/>
      </c>
      <c r="S80" s="4" t="str">
        <f>HYPERLINK("http://141.218.60.56/~jnz1568/getInfo.php?workbook=07_01.xlsx&amp;sheet=A0&amp;row=80&amp;col=19&amp;number=0.0003071&amp;sourceID=12","0.0003071")</f>
        <v>0.0003071</v>
      </c>
      <c r="T80" s="4" t="str">
        <f>HYPERLINK("http://141.218.60.56/~jnz1568/getInfo.php?workbook=07_01.xlsx&amp;sheet=A0&amp;row=80&amp;col=20&amp;number==&amp;sourceID=30","=")</f>
        <v>=</v>
      </c>
      <c r="U80" s="4" t="str">
        <f>HYPERLINK("http://141.218.60.56/~jnz1568/getInfo.php?workbook=07_01.xlsx&amp;sheet=A0&amp;row=80&amp;col=21&amp;number=&amp;sourceID=30","")</f>
        <v/>
      </c>
      <c r="V80" s="4" t="str">
        <f>HYPERLINK("http://141.218.60.56/~jnz1568/getInfo.php?workbook=07_01.xlsx&amp;sheet=A0&amp;row=80&amp;col=22&amp;number=1616000&amp;sourceID=30","1616000")</f>
        <v>1616000</v>
      </c>
      <c r="W80" s="4" t="str">
        <f>HYPERLINK("http://141.218.60.56/~jnz1568/getInfo.php?workbook=07_01.xlsx&amp;sheet=A0&amp;row=80&amp;col=23&amp;number=0.01248&amp;sourceID=30","0.01248")</f>
        <v>0.01248</v>
      </c>
      <c r="X80" s="4" t="str">
        <f>HYPERLINK("http://141.218.60.56/~jnz1568/getInfo.php?workbook=07_01.xlsx&amp;sheet=A0&amp;row=80&amp;col=24&amp;number=&amp;sourceID=30","")</f>
        <v/>
      </c>
      <c r="Y80" s="4" t="str">
        <f>HYPERLINK("http://141.218.60.56/~jnz1568/getInfo.php?workbook=07_01.xlsx&amp;sheet=A0&amp;row=80&amp;col=25&amp;number==&amp;sourceID=13","=")</f>
        <v>=</v>
      </c>
      <c r="Z80" s="4" t="str">
        <f>HYPERLINK("http://141.218.60.56/~jnz1568/getInfo.php?workbook=07_01.xlsx&amp;sheet=A0&amp;row=80&amp;col=26&amp;number=&amp;sourceID=13","")</f>
        <v/>
      </c>
      <c r="AA80" s="4" t="str">
        <f>HYPERLINK("http://141.218.60.56/~jnz1568/getInfo.php?workbook=07_01.xlsx&amp;sheet=A0&amp;row=80&amp;col=27&amp;number=1620000&amp;sourceID=13","1620000")</f>
        <v>1620000</v>
      </c>
      <c r="AB80" s="4" t="str">
        <f>HYPERLINK("http://141.218.60.56/~jnz1568/getInfo.php?workbook=07_01.xlsx&amp;sheet=A0&amp;row=80&amp;col=28&amp;number=&amp;sourceID=13","")</f>
        <v/>
      </c>
      <c r="AC80" s="4" t="str">
        <f>HYPERLINK("http://141.218.60.56/~jnz1568/getInfo.php?workbook=07_01.xlsx&amp;sheet=A0&amp;row=80&amp;col=29&amp;number=0.0259&amp;sourceID=13","0.0259")</f>
        <v>0.0259</v>
      </c>
      <c r="AD80" s="4" t="str">
        <f>HYPERLINK("http://141.218.60.56/~jnz1568/getInfo.php?workbook=07_01.xlsx&amp;sheet=A0&amp;row=80&amp;col=30&amp;number=&amp;sourceID=13","")</f>
        <v/>
      </c>
    </row>
    <row r="81" spans="1:30">
      <c r="A81" s="3">
        <v>7</v>
      </c>
      <c r="B81" s="3">
        <v>1</v>
      </c>
      <c r="C81" s="3">
        <v>14</v>
      </c>
      <c r="D81" s="3">
        <v>5</v>
      </c>
      <c r="E81" s="3">
        <f>((1/(INDEX(E0!J$4:J$28,C81,1)-INDEX(E0!J$4:J$28,D81,1))))*100000000</f>
        <v>0</v>
      </c>
      <c r="F81" s="4" t="str">
        <f>HYPERLINK("http://141.218.60.56/~jnz1568/getInfo.php?workbook=07_01.xlsx&amp;sheet=A0&amp;row=81&amp;col=6&amp;number==&amp;sourceID=11","=")</f>
        <v>=</v>
      </c>
      <c r="G81" s="4" t="str">
        <f>HYPERLINK("http://141.218.60.56/~jnz1568/getInfo.php?workbook=07_01.xlsx&amp;sheet=A0&amp;row=81&amp;col=7&amp;number=&amp;sourceID=11","")</f>
        <v/>
      </c>
      <c r="H81" s="4" t="str">
        <f>HYPERLINK("http://141.218.60.56/~jnz1568/getInfo.php?workbook=07_01.xlsx&amp;sheet=A0&amp;row=81&amp;col=8&amp;number=531710&amp;sourceID=11","531710")</f>
        <v>531710</v>
      </c>
      <c r="I81" s="4" t="str">
        <f>HYPERLINK("http://141.218.60.56/~jnz1568/getInfo.php?workbook=07_01.xlsx&amp;sheet=A0&amp;row=81&amp;col=9&amp;number=&amp;sourceID=11","")</f>
        <v/>
      </c>
      <c r="J81" s="4" t="str">
        <f>HYPERLINK("http://141.218.60.56/~jnz1568/getInfo.php?workbook=07_01.xlsx&amp;sheet=A0&amp;row=81&amp;col=10&amp;number=&amp;sourceID=11","")</f>
        <v/>
      </c>
      <c r="K81" s="4" t="str">
        <f>HYPERLINK("http://141.218.60.56/~jnz1568/getInfo.php?workbook=07_01.xlsx&amp;sheet=A0&amp;row=81&amp;col=11&amp;number=&amp;sourceID=11","")</f>
        <v/>
      </c>
      <c r="L81" s="4" t="str">
        <f>HYPERLINK("http://141.218.60.56/~jnz1568/getInfo.php?workbook=07_01.xlsx&amp;sheet=A0&amp;row=81&amp;col=12&amp;number=9.7235e-06&amp;sourceID=11","9.7235e-06")</f>
        <v>9.7235e-06</v>
      </c>
      <c r="M81" s="4" t="str">
        <f>HYPERLINK("http://141.218.60.56/~jnz1568/getInfo.php?workbook=07_01.xlsx&amp;sheet=A0&amp;row=81&amp;col=13&amp;number=531730&amp;sourceID=12","531730")</f>
        <v>531730</v>
      </c>
      <c r="N81" s="4" t="str">
        <f>HYPERLINK("http://141.218.60.56/~jnz1568/getInfo.php?workbook=07_01.xlsx&amp;sheet=A0&amp;row=81&amp;col=14&amp;number=&amp;sourceID=12","")</f>
        <v/>
      </c>
      <c r="O81" s="4" t="str">
        <f>HYPERLINK("http://141.218.60.56/~jnz1568/getInfo.php?workbook=07_01.xlsx&amp;sheet=A0&amp;row=81&amp;col=15&amp;number=531730&amp;sourceID=12","531730")</f>
        <v>531730</v>
      </c>
      <c r="P81" s="4" t="str">
        <f>HYPERLINK("http://141.218.60.56/~jnz1568/getInfo.php?workbook=07_01.xlsx&amp;sheet=A0&amp;row=81&amp;col=16&amp;number=&amp;sourceID=12","")</f>
        <v/>
      </c>
      <c r="Q81" s="4" t="str">
        <f>HYPERLINK("http://141.218.60.56/~jnz1568/getInfo.php?workbook=07_01.xlsx&amp;sheet=A0&amp;row=81&amp;col=17&amp;number=&amp;sourceID=12","")</f>
        <v/>
      </c>
      <c r="R81" s="4" t="str">
        <f>HYPERLINK("http://141.218.60.56/~jnz1568/getInfo.php?workbook=07_01.xlsx&amp;sheet=A0&amp;row=81&amp;col=18&amp;number=&amp;sourceID=12","")</f>
        <v/>
      </c>
      <c r="S81" s="4" t="str">
        <f>HYPERLINK("http://141.218.60.56/~jnz1568/getInfo.php?workbook=07_01.xlsx&amp;sheet=A0&amp;row=81&amp;col=19&amp;number=9.7239e-06&amp;sourceID=12","9.7239e-06")</f>
        <v>9.7239e-06</v>
      </c>
      <c r="T81" s="4" t="str">
        <f>HYPERLINK("http://141.218.60.56/~jnz1568/getInfo.php?workbook=07_01.xlsx&amp;sheet=A0&amp;row=81&amp;col=20&amp;number==&amp;sourceID=30","=")</f>
        <v>=</v>
      </c>
      <c r="U81" s="4" t="str">
        <f>HYPERLINK("http://141.218.60.56/~jnz1568/getInfo.php?workbook=07_01.xlsx&amp;sheet=A0&amp;row=81&amp;col=21&amp;number=&amp;sourceID=30","")</f>
        <v/>
      </c>
      <c r="V81" s="4" t="str">
        <f>HYPERLINK("http://141.218.60.56/~jnz1568/getInfo.php?workbook=07_01.xlsx&amp;sheet=A0&amp;row=81&amp;col=22&amp;number=531700&amp;sourceID=30","531700")</f>
        <v>531700</v>
      </c>
      <c r="W81" s="4" t="str">
        <f>HYPERLINK("http://141.218.60.56/~jnz1568/getInfo.php?workbook=07_01.xlsx&amp;sheet=A0&amp;row=81&amp;col=23&amp;number=&amp;sourceID=30","")</f>
        <v/>
      </c>
      <c r="X81" s="4" t="str">
        <f>HYPERLINK("http://141.218.60.56/~jnz1568/getInfo.php?workbook=07_01.xlsx&amp;sheet=A0&amp;row=81&amp;col=24&amp;number=&amp;sourceID=30","")</f>
        <v/>
      </c>
      <c r="Y81" s="4" t="str">
        <f>HYPERLINK("http://141.218.60.56/~jnz1568/getInfo.php?workbook=07_01.xlsx&amp;sheet=A0&amp;row=81&amp;col=25&amp;number==&amp;sourceID=13","=")</f>
        <v>=</v>
      </c>
      <c r="Z81" s="4" t="str">
        <f>HYPERLINK("http://141.218.60.56/~jnz1568/getInfo.php?workbook=07_01.xlsx&amp;sheet=A0&amp;row=81&amp;col=26&amp;number=&amp;sourceID=13","")</f>
        <v/>
      </c>
      <c r="AA81" s="4" t="str">
        <f>HYPERLINK("http://141.218.60.56/~jnz1568/getInfo.php?workbook=07_01.xlsx&amp;sheet=A0&amp;row=81&amp;col=27&amp;number=532000&amp;sourceID=13","532000")</f>
        <v>532000</v>
      </c>
      <c r="AB81" s="4" t="str">
        <f>HYPERLINK("http://141.218.60.56/~jnz1568/getInfo.php?workbook=07_01.xlsx&amp;sheet=A0&amp;row=81&amp;col=28&amp;number=&amp;sourceID=13","")</f>
        <v/>
      </c>
      <c r="AC81" s="4" t="str">
        <f>HYPERLINK("http://141.218.60.56/~jnz1568/getInfo.php?workbook=07_01.xlsx&amp;sheet=A0&amp;row=81&amp;col=29&amp;number=&amp;sourceID=13","")</f>
        <v/>
      </c>
      <c r="AD81" s="4" t="str">
        <f>HYPERLINK("http://141.218.60.56/~jnz1568/getInfo.php?workbook=07_01.xlsx&amp;sheet=A0&amp;row=81&amp;col=30&amp;number=&amp;sourceID=13","")</f>
        <v/>
      </c>
    </row>
    <row r="82" spans="1:30">
      <c r="A82" s="3">
        <v>7</v>
      </c>
      <c r="B82" s="3">
        <v>1</v>
      </c>
      <c r="C82" s="3">
        <v>14</v>
      </c>
      <c r="D82" s="3">
        <v>6</v>
      </c>
      <c r="E82" s="3">
        <f>((1/(INDEX(E0!J$4:J$28,C82,1)-INDEX(E0!J$4:J$28,D82,1))))*100000000</f>
        <v>0</v>
      </c>
      <c r="F82" s="4" t="str">
        <f>HYPERLINK("http://141.218.60.56/~jnz1568/getInfo.php?workbook=07_01.xlsx&amp;sheet=A0&amp;row=82&amp;col=6&amp;number==&amp;sourceID=11","=")</f>
        <v>=</v>
      </c>
      <c r="G82" s="4" t="str">
        <f>HYPERLINK("http://141.218.60.56/~jnz1568/getInfo.php?workbook=07_01.xlsx&amp;sheet=A0&amp;row=82&amp;col=7&amp;number=&amp;sourceID=11","")</f>
        <v/>
      </c>
      <c r="H82" s="4" t="str">
        <f>HYPERLINK("http://141.218.60.56/~jnz1568/getInfo.php?workbook=07_01.xlsx&amp;sheet=A0&amp;row=82&amp;col=8&amp;number=&amp;sourceID=11","")</f>
        <v/>
      </c>
      <c r="I82" s="4" t="str">
        <f>HYPERLINK("http://141.218.60.56/~jnz1568/getInfo.php?workbook=07_01.xlsx&amp;sheet=A0&amp;row=82&amp;col=9&amp;number=6.4892&amp;sourceID=11","6.4892")</f>
        <v>6.4892</v>
      </c>
      <c r="J82" s="4" t="str">
        <f>HYPERLINK("http://141.218.60.56/~jnz1568/getInfo.php?workbook=07_01.xlsx&amp;sheet=A0&amp;row=82&amp;col=10&amp;number=&amp;sourceID=11","")</f>
        <v/>
      </c>
      <c r="K82" s="4" t="str">
        <f>HYPERLINK("http://141.218.60.56/~jnz1568/getInfo.php?workbook=07_01.xlsx&amp;sheet=A0&amp;row=82&amp;col=11&amp;number=5.3684e-09&amp;sourceID=11","5.3684e-09")</f>
        <v>5.3684e-09</v>
      </c>
      <c r="L82" s="4" t="str">
        <f>HYPERLINK("http://141.218.60.56/~jnz1568/getInfo.php?workbook=07_01.xlsx&amp;sheet=A0&amp;row=82&amp;col=12&amp;number=&amp;sourceID=11","")</f>
        <v/>
      </c>
      <c r="M82" s="4" t="str">
        <f>HYPERLINK("http://141.218.60.56/~jnz1568/getInfo.php?workbook=07_01.xlsx&amp;sheet=A0&amp;row=82&amp;col=13&amp;number=6.4895&amp;sourceID=12","6.4895")</f>
        <v>6.4895</v>
      </c>
      <c r="N82" s="4" t="str">
        <f>HYPERLINK("http://141.218.60.56/~jnz1568/getInfo.php?workbook=07_01.xlsx&amp;sheet=A0&amp;row=82&amp;col=14&amp;number=&amp;sourceID=12","")</f>
        <v/>
      </c>
      <c r="O82" s="4" t="str">
        <f>HYPERLINK("http://141.218.60.56/~jnz1568/getInfo.php?workbook=07_01.xlsx&amp;sheet=A0&amp;row=82&amp;col=15&amp;number=&amp;sourceID=12","")</f>
        <v/>
      </c>
      <c r="P82" s="4" t="str">
        <f>HYPERLINK("http://141.218.60.56/~jnz1568/getInfo.php?workbook=07_01.xlsx&amp;sheet=A0&amp;row=82&amp;col=16&amp;number=6.4895&amp;sourceID=12","6.4895")</f>
        <v>6.4895</v>
      </c>
      <c r="Q82" s="4" t="str">
        <f>HYPERLINK("http://141.218.60.56/~jnz1568/getInfo.php?workbook=07_01.xlsx&amp;sheet=A0&amp;row=82&amp;col=17&amp;number=&amp;sourceID=12","")</f>
        <v/>
      </c>
      <c r="R82" s="4" t="str">
        <f>HYPERLINK("http://141.218.60.56/~jnz1568/getInfo.php?workbook=07_01.xlsx&amp;sheet=A0&amp;row=82&amp;col=18&amp;number=5.3687e-09&amp;sourceID=12","5.3687e-09")</f>
        <v>5.3687e-09</v>
      </c>
      <c r="S82" s="4" t="str">
        <f>HYPERLINK("http://141.218.60.56/~jnz1568/getInfo.php?workbook=07_01.xlsx&amp;sheet=A0&amp;row=82&amp;col=19&amp;number=&amp;sourceID=12","")</f>
        <v/>
      </c>
      <c r="T82" s="4" t="str">
        <f>HYPERLINK("http://141.218.60.56/~jnz1568/getInfo.php?workbook=07_01.xlsx&amp;sheet=A0&amp;row=82&amp;col=20&amp;number==&amp;sourceID=30","=")</f>
        <v>=</v>
      </c>
      <c r="U82" s="4" t="str">
        <f>HYPERLINK("http://141.218.60.56/~jnz1568/getInfo.php?workbook=07_01.xlsx&amp;sheet=A0&amp;row=82&amp;col=21&amp;number=&amp;sourceID=30","")</f>
        <v/>
      </c>
      <c r="V82" s="4" t="str">
        <f>HYPERLINK("http://141.218.60.56/~jnz1568/getInfo.php?workbook=07_01.xlsx&amp;sheet=A0&amp;row=82&amp;col=22&amp;number=&amp;sourceID=30","")</f>
        <v/>
      </c>
      <c r="W82" s="4" t="str">
        <f>HYPERLINK("http://141.218.60.56/~jnz1568/getInfo.php?workbook=07_01.xlsx&amp;sheet=A0&amp;row=82&amp;col=23&amp;number=&amp;sourceID=30","")</f>
        <v/>
      </c>
      <c r="X82" s="4" t="str">
        <f>HYPERLINK("http://141.218.60.56/~jnz1568/getInfo.php?workbook=07_01.xlsx&amp;sheet=A0&amp;row=82&amp;col=24&amp;number=5.368e-09&amp;sourceID=30","5.368e-09")</f>
        <v>5.368e-09</v>
      </c>
      <c r="Y82" s="4" t="str">
        <f>HYPERLINK("http://141.218.60.56/~jnz1568/getInfo.php?workbook=07_01.xlsx&amp;sheet=A0&amp;row=82&amp;col=25&amp;number==&amp;sourceID=13","=")</f>
        <v>=</v>
      </c>
      <c r="Z82" s="4" t="str">
        <f>HYPERLINK("http://141.218.60.56/~jnz1568/getInfo.php?workbook=07_01.xlsx&amp;sheet=A0&amp;row=82&amp;col=26&amp;number=&amp;sourceID=13","")</f>
        <v/>
      </c>
      <c r="AA82" s="4" t="str">
        <f>HYPERLINK("http://141.218.60.56/~jnz1568/getInfo.php?workbook=07_01.xlsx&amp;sheet=A0&amp;row=82&amp;col=27&amp;number=&amp;sourceID=13","")</f>
        <v/>
      </c>
      <c r="AB82" s="4" t="str">
        <f>HYPERLINK("http://141.218.60.56/~jnz1568/getInfo.php?workbook=07_01.xlsx&amp;sheet=A0&amp;row=82&amp;col=28&amp;number=6.48&amp;sourceID=13","6.48")</f>
        <v>6.48</v>
      </c>
      <c r="AC82" s="4" t="str">
        <f>HYPERLINK("http://141.218.60.56/~jnz1568/getInfo.php?workbook=07_01.xlsx&amp;sheet=A0&amp;row=82&amp;col=29&amp;number=&amp;sourceID=13","")</f>
        <v/>
      </c>
      <c r="AD82" s="4" t="str">
        <f>HYPERLINK("http://141.218.60.56/~jnz1568/getInfo.php?workbook=07_01.xlsx&amp;sheet=A0&amp;row=82&amp;col=30&amp;number=&amp;sourceID=13","")</f>
        <v/>
      </c>
    </row>
    <row r="83" spans="1:30">
      <c r="A83" s="3">
        <v>7</v>
      </c>
      <c r="B83" s="3">
        <v>1</v>
      </c>
      <c r="C83" s="3">
        <v>14</v>
      </c>
      <c r="D83" s="3">
        <v>7</v>
      </c>
      <c r="E83" s="3">
        <f>((1/(INDEX(E0!J$4:J$28,C83,1)-INDEX(E0!J$4:J$28,D83,1))))*100000000</f>
        <v>0</v>
      </c>
      <c r="F83" s="4" t="str">
        <f>HYPERLINK("http://141.218.60.56/~jnz1568/getInfo.php?workbook=07_01.xlsx&amp;sheet=A0&amp;row=83&amp;col=6&amp;number==&amp;sourceID=11","=")</f>
        <v>=</v>
      </c>
      <c r="G83" s="4" t="str">
        <f>HYPERLINK("http://141.218.60.56/~jnz1568/getInfo.php?workbook=07_01.xlsx&amp;sheet=A0&amp;row=83&amp;col=7&amp;number=30923000000&amp;sourceID=11","30923000000")</f>
        <v>30923000000</v>
      </c>
      <c r="H83" s="4" t="str">
        <f>HYPERLINK("http://141.218.60.56/~jnz1568/getInfo.php?workbook=07_01.xlsx&amp;sheet=A0&amp;row=83&amp;col=8&amp;number=&amp;sourceID=11","")</f>
        <v/>
      </c>
      <c r="I83" s="4" t="str">
        <f>HYPERLINK("http://141.218.60.56/~jnz1568/getInfo.php?workbook=07_01.xlsx&amp;sheet=A0&amp;row=83&amp;col=9&amp;number=1.8662&amp;sourceID=11","1.8662")</f>
        <v>1.8662</v>
      </c>
      <c r="J83" s="4" t="str">
        <f>HYPERLINK("http://141.218.60.56/~jnz1568/getInfo.php?workbook=07_01.xlsx&amp;sheet=A0&amp;row=83&amp;col=10&amp;number=&amp;sourceID=11","")</f>
        <v/>
      </c>
      <c r="K83" s="4" t="str">
        <f>HYPERLINK("http://141.218.60.56/~jnz1568/getInfo.php?workbook=07_01.xlsx&amp;sheet=A0&amp;row=83&amp;col=11&amp;number=5.5558&amp;sourceID=11","5.5558")</f>
        <v>5.5558</v>
      </c>
      <c r="L83" s="4" t="str">
        <f>HYPERLINK("http://141.218.60.56/~jnz1568/getInfo.php?workbook=07_01.xlsx&amp;sheet=A0&amp;row=83&amp;col=12&amp;number=&amp;sourceID=11","")</f>
        <v/>
      </c>
      <c r="M83" s="4" t="str">
        <f>HYPERLINK("http://141.218.60.56/~jnz1568/getInfo.php?workbook=07_01.xlsx&amp;sheet=A0&amp;row=83&amp;col=13&amp;number=30924000000&amp;sourceID=12","30924000000")</f>
        <v>30924000000</v>
      </c>
      <c r="N83" s="4" t="str">
        <f>HYPERLINK("http://141.218.60.56/~jnz1568/getInfo.php?workbook=07_01.xlsx&amp;sheet=A0&amp;row=83&amp;col=14&amp;number=30924000000&amp;sourceID=12","30924000000")</f>
        <v>30924000000</v>
      </c>
      <c r="O83" s="4" t="str">
        <f>HYPERLINK("http://141.218.60.56/~jnz1568/getInfo.php?workbook=07_01.xlsx&amp;sheet=A0&amp;row=83&amp;col=15&amp;number=&amp;sourceID=12","")</f>
        <v/>
      </c>
      <c r="P83" s="4" t="str">
        <f>HYPERLINK("http://141.218.60.56/~jnz1568/getInfo.php?workbook=07_01.xlsx&amp;sheet=A0&amp;row=83&amp;col=16&amp;number=1.8663&amp;sourceID=12","1.8663")</f>
        <v>1.8663</v>
      </c>
      <c r="Q83" s="4" t="str">
        <f>HYPERLINK("http://141.218.60.56/~jnz1568/getInfo.php?workbook=07_01.xlsx&amp;sheet=A0&amp;row=83&amp;col=17&amp;number=&amp;sourceID=12","")</f>
        <v/>
      </c>
      <c r="R83" s="4" t="str">
        <f>HYPERLINK("http://141.218.60.56/~jnz1568/getInfo.php?workbook=07_01.xlsx&amp;sheet=A0&amp;row=83&amp;col=18&amp;number=5.556&amp;sourceID=12","5.556")</f>
        <v>5.556</v>
      </c>
      <c r="S83" s="4" t="str">
        <f>HYPERLINK("http://141.218.60.56/~jnz1568/getInfo.php?workbook=07_01.xlsx&amp;sheet=A0&amp;row=83&amp;col=19&amp;number=&amp;sourceID=12","")</f>
        <v/>
      </c>
      <c r="T83" s="4" t="str">
        <f>HYPERLINK("http://141.218.60.56/~jnz1568/getInfo.php?workbook=07_01.xlsx&amp;sheet=A0&amp;row=83&amp;col=20&amp;number==&amp;sourceID=30","=")</f>
        <v>=</v>
      </c>
      <c r="U83" s="4" t="str">
        <f>HYPERLINK("http://141.218.60.56/~jnz1568/getInfo.php?workbook=07_01.xlsx&amp;sheet=A0&amp;row=83&amp;col=21&amp;number=30920000000&amp;sourceID=30","30920000000")</f>
        <v>30920000000</v>
      </c>
      <c r="V83" s="4" t="str">
        <f>HYPERLINK("http://141.218.60.56/~jnz1568/getInfo.php?workbook=07_01.xlsx&amp;sheet=A0&amp;row=83&amp;col=22&amp;number=&amp;sourceID=30","")</f>
        <v/>
      </c>
      <c r="W83" s="4" t="str">
        <f>HYPERLINK("http://141.218.60.56/~jnz1568/getInfo.php?workbook=07_01.xlsx&amp;sheet=A0&amp;row=83&amp;col=23&amp;number=&amp;sourceID=30","")</f>
        <v/>
      </c>
      <c r="X83" s="4" t="str">
        <f>HYPERLINK("http://141.218.60.56/~jnz1568/getInfo.php?workbook=07_01.xlsx&amp;sheet=A0&amp;row=83&amp;col=24&amp;number=5.556&amp;sourceID=30","5.556")</f>
        <v>5.556</v>
      </c>
      <c r="Y83" s="4" t="str">
        <f>HYPERLINK("http://141.218.60.56/~jnz1568/getInfo.php?workbook=07_01.xlsx&amp;sheet=A0&amp;row=83&amp;col=25&amp;number==&amp;sourceID=13","=")</f>
        <v>=</v>
      </c>
      <c r="Z83" s="4" t="str">
        <f>HYPERLINK("http://141.218.60.56/~jnz1568/getInfo.php?workbook=07_01.xlsx&amp;sheet=A0&amp;row=83&amp;col=26&amp;number=30900000000&amp;sourceID=13","30900000000")</f>
        <v>30900000000</v>
      </c>
      <c r="AA83" s="4" t="str">
        <f>HYPERLINK("http://141.218.60.56/~jnz1568/getInfo.php?workbook=07_01.xlsx&amp;sheet=A0&amp;row=83&amp;col=27&amp;number=&amp;sourceID=13","")</f>
        <v/>
      </c>
      <c r="AB83" s="4" t="str">
        <f>HYPERLINK("http://141.218.60.56/~jnz1568/getInfo.php?workbook=07_01.xlsx&amp;sheet=A0&amp;row=83&amp;col=28&amp;number=&amp;sourceID=13","")</f>
        <v/>
      </c>
      <c r="AC83" s="4" t="str">
        <f>HYPERLINK("http://141.218.60.56/~jnz1568/getInfo.php?workbook=07_01.xlsx&amp;sheet=A0&amp;row=83&amp;col=29&amp;number=&amp;sourceID=13","")</f>
        <v/>
      </c>
      <c r="AD83" s="4" t="str">
        <f>HYPERLINK("http://141.218.60.56/~jnz1568/getInfo.php?workbook=07_01.xlsx&amp;sheet=A0&amp;row=83&amp;col=30&amp;number=&amp;sourceID=13","")</f>
        <v/>
      </c>
    </row>
    <row r="84" spans="1:30">
      <c r="A84" s="3">
        <v>7</v>
      </c>
      <c r="B84" s="3">
        <v>1</v>
      </c>
      <c r="C84" s="3">
        <v>14</v>
      </c>
      <c r="D84" s="3">
        <v>8</v>
      </c>
      <c r="E84" s="3">
        <f>((1/(INDEX(E0!J$4:J$28,C84,1)-INDEX(E0!J$4:J$28,D84,1))))*100000000</f>
        <v>0</v>
      </c>
      <c r="F84" s="4" t="str">
        <f>HYPERLINK("http://141.218.60.56/~jnz1568/getInfo.php?workbook=07_01.xlsx&amp;sheet=A0&amp;row=84&amp;col=6&amp;number==&amp;sourceID=11","=")</f>
        <v>=</v>
      </c>
      <c r="G84" s="4" t="str">
        <f>HYPERLINK("http://141.218.60.56/~jnz1568/getInfo.php?workbook=07_01.xlsx&amp;sheet=A0&amp;row=84&amp;col=7&amp;number=&amp;sourceID=11","")</f>
        <v/>
      </c>
      <c r="H84" s="4" t="str">
        <f>HYPERLINK("http://141.218.60.56/~jnz1568/getInfo.php?workbook=07_01.xlsx&amp;sheet=A0&amp;row=84&amp;col=8&amp;number=151420&amp;sourceID=11","151420")</f>
        <v>151420</v>
      </c>
      <c r="I84" s="4" t="str">
        <f>HYPERLINK("http://141.218.60.56/~jnz1568/getInfo.php?workbook=07_01.xlsx&amp;sheet=A0&amp;row=84&amp;col=9&amp;number=&amp;sourceID=11","")</f>
        <v/>
      </c>
      <c r="J84" s="4" t="str">
        <f>HYPERLINK("http://141.218.60.56/~jnz1568/getInfo.php?workbook=07_01.xlsx&amp;sheet=A0&amp;row=84&amp;col=10&amp;number=0.00040989&amp;sourceID=11","0.00040989")</f>
        <v>0.00040989</v>
      </c>
      <c r="K84" s="4" t="str">
        <f>HYPERLINK("http://141.218.60.56/~jnz1568/getInfo.php?workbook=07_01.xlsx&amp;sheet=A0&amp;row=84&amp;col=11&amp;number=&amp;sourceID=11","")</f>
        <v/>
      </c>
      <c r="L84" s="4" t="str">
        <f>HYPERLINK("http://141.218.60.56/~jnz1568/getInfo.php?workbook=07_01.xlsx&amp;sheet=A0&amp;row=84&amp;col=12&amp;number=1.935e-06&amp;sourceID=11","1.935e-06")</f>
        <v>1.935e-06</v>
      </c>
      <c r="M84" s="4" t="str">
        <f>HYPERLINK("http://141.218.60.56/~jnz1568/getInfo.php?workbook=07_01.xlsx&amp;sheet=A0&amp;row=84&amp;col=13&amp;number=151420&amp;sourceID=12","151420")</f>
        <v>151420</v>
      </c>
      <c r="N84" s="4" t="str">
        <f>HYPERLINK("http://141.218.60.56/~jnz1568/getInfo.php?workbook=07_01.xlsx&amp;sheet=A0&amp;row=84&amp;col=14&amp;number=&amp;sourceID=12","")</f>
        <v/>
      </c>
      <c r="O84" s="4" t="str">
        <f>HYPERLINK("http://141.218.60.56/~jnz1568/getInfo.php?workbook=07_01.xlsx&amp;sheet=A0&amp;row=84&amp;col=15&amp;number=151420&amp;sourceID=12","151420")</f>
        <v>151420</v>
      </c>
      <c r="P84" s="4" t="str">
        <f>HYPERLINK("http://141.218.60.56/~jnz1568/getInfo.php?workbook=07_01.xlsx&amp;sheet=A0&amp;row=84&amp;col=16&amp;number=&amp;sourceID=12","")</f>
        <v/>
      </c>
      <c r="Q84" s="4" t="str">
        <f>HYPERLINK("http://141.218.60.56/~jnz1568/getInfo.php?workbook=07_01.xlsx&amp;sheet=A0&amp;row=84&amp;col=17&amp;number=0.00040991&amp;sourceID=12","0.00040991")</f>
        <v>0.00040991</v>
      </c>
      <c r="R84" s="4" t="str">
        <f>HYPERLINK("http://141.218.60.56/~jnz1568/getInfo.php?workbook=07_01.xlsx&amp;sheet=A0&amp;row=84&amp;col=18&amp;number=&amp;sourceID=12","")</f>
        <v/>
      </c>
      <c r="S84" s="4" t="str">
        <f>HYPERLINK("http://141.218.60.56/~jnz1568/getInfo.php?workbook=07_01.xlsx&amp;sheet=A0&amp;row=84&amp;col=19&amp;number=1.935e-06&amp;sourceID=12","1.935e-06")</f>
        <v>1.935e-06</v>
      </c>
      <c r="T84" s="4" t="str">
        <f>HYPERLINK("http://141.218.60.56/~jnz1568/getInfo.php?workbook=07_01.xlsx&amp;sheet=A0&amp;row=84&amp;col=20&amp;number==&amp;sourceID=30","=")</f>
        <v>=</v>
      </c>
      <c r="U84" s="4" t="str">
        <f>HYPERLINK("http://141.218.60.56/~jnz1568/getInfo.php?workbook=07_01.xlsx&amp;sheet=A0&amp;row=84&amp;col=21&amp;number=&amp;sourceID=30","")</f>
        <v/>
      </c>
      <c r="V84" s="4" t="str">
        <f>HYPERLINK("http://141.218.60.56/~jnz1568/getInfo.php?workbook=07_01.xlsx&amp;sheet=A0&amp;row=84&amp;col=22&amp;number=151400&amp;sourceID=30","151400")</f>
        <v>151400</v>
      </c>
      <c r="W84" s="4" t="str">
        <f>HYPERLINK("http://141.218.60.56/~jnz1568/getInfo.php?workbook=07_01.xlsx&amp;sheet=A0&amp;row=84&amp;col=23&amp;number=0.0004099&amp;sourceID=30","0.0004099")</f>
        <v>0.0004099</v>
      </c>
      <c r="X84" s="4" t="str">
        <f>HYPERLINK("http://141.218.60.56/~jnz1568/getInfo.php?workbook=07_01.xlsx&amp;sheet=A0&amp;row=84&amp;col=24&amp;number=&amp;sourceID=30","")</f>
        <v/>
      </c>
      <c r="Y84" s="4" t="str">
        <f>HYPERLINK("http://141.218.60.56/~jnz1568/getInfo.php?workbook=07_01.xlsx&amp;sheet=A0&amp;row=84&amp;col=25&amp;number==&amp;sourceID=13","=")</f>
        <v>=</v>
      </c>
      <c r="Z84" s="4" t="str">
        <f>HYPERLINK("http://141.218.60.56/~jnz1568/getInfo.php?workbook=07_01.xlsx&amp;sheet=A0&amp;row=84&amp;col=26&amp;number=&amp;sourceID=13","")</f>
        <v/>
      </c>
      <c r="AA84" s="4" t="str">
        <f>HYPERLINK("http://141.218.60.56/~jnz1568/getInfo.php?workbook=07_01.xlsx&amp;sheet=A0&amp;row=84&amp;col=27&amp;number=151000&amp;sourceID=13","151000")</f>
        <v>151000</v>
      </c>
      <c r="AB84" s="4" t="str">
        <f>HYPERLINK("http://141.218.60.56/~jnz1568/getInfo.php?workbook=07_01.xlsx&amp;sheet=A0&amp;row=84&amp;col=28&amp;number=&amp;sourceID=13","")</f>
        <v/>
      </c>
      <c r="AC84" s="4" t="str">
        <f>HYPERLINK("http://141.218.60.56/~jnz1568/getInfo.php?workbook=07_01.xlsx&amp;sheet=A0&amp;row=84&amp;col=29&amp;number=0.000679&amp;sourceID=13","0.000679")</f>
        <v>0.000679</v>
      </c>
      <c r="AD84" s="4" t="str">
        <f>HYPERLINK("http://141.218.60.56/~jnz1568/getInfo.php?workbook=07_01.xlsx&amp;sheet=A0&amp;row=84&amp;col=30&amp;number=&amp;sourceID=13","")</f>
        <v/>
      </c>
    </row>
    <row r="85" spans="1:30">
      <c r="A85" s="3">
        <v>7</v>
      </c>
      <c r="B85" s="3">
        <v>1</v>
      </c>
      <c r="C85" s="3">
        <v>14</v>
      </c>
      <c r="D85" s="3">
        <v>9</v>
      </c>
      <c r="E85" s="3">
        <f>((1/(INDEX(E0!J$4:J$28,C85,1)-INDEX(E0!J$4:J$28,D85,1))))*100000000</f>
        <v>0</v>
      </c>
      <c r="F85" s="4" t="str">
        <f>HYPERLINK("http://141.218.60.56/~jnz1568/getInfo.php?workbook=07_01.xlsx&amp;sheet=A0&amp;row=85&amp;col=6&amp;number==&amp;sourceID=11","=")</f>
        <v>=</v>
      </c>
      <c r="G85" s="4" t="str">
        <f>HYPERLINK("http://141.218.60.56/~jnz1568/getInfo.php?workbook=07_01.xlsx&amp;sheet=A0&amp;row=85&amp;col=7&amp;number=2207800000&amp;sourceID=11","2207800000")</f>
        <v>2207800000</v>
      </c>
      <c r="H85" s="4" t="str">
        <f>HYPERLINK("http://141.218.60.56/~jnz1568/getInfo.php?workbook=07_01.xlsx&amp;sheet=A0&amp;row=85&amp;col=8&amp;number=&amp;sourceID=11","")</f>
        <v/>
      </c>
      <c r="I85" s="4" t="str">
        <f>HYPERLINK("http://141.218.60.56/~jnz1568/getInfo.php?workbook=07_01.xlsx&amp;sheet=A0&amp;row=85&amp;col=9&amp;number=1.2423&amp;sourceID=11","1.2423")</f>
        <v>1.2423</v>
      </c>
      <c r="J85" s="4" t="str">
        <f>HYPERLINK("http://141.218.60.56/~jnz1568/getInfo.php?workbook=07_01.xlsx&amp;sheet=A0&amp;row=85&amp;col=10&amp;number=&amp;sourceID=11","")</f>
        <v/>
      </c>
      <c r="K85" s="4" t="str">
        <f>HYPERLINK("http://141.218.60.56/~jnz1568/getInfo.php?workbook=07_01.xlsx&amp;sheet=A0&amp;row=85&amp;col=11&amp;number=&amp;sourceID=11","")</f>
        <v/>
      </c>
      <c r="L85" s="4" t="str">
        <f>HYPERLINK("http://141.218.60.56/~jnz1568/getInfo.php?workbook=07_01.xlsx&amp;sheet=A0&amp;row=85&amp;col=12&amp;number=&amp;sourceID=11","")</f>
        <v/>
      </c>
      <c r="M85" s="4" t="str">
        <f>HYPERLINK("http://141.218.60.56/~jnz1568/getInfo.php?workbook=07_01.xlsx&amp;sheet=A0&amp;row=85&amp;col=13&amp;number=2207900000&amp;sourceID=12","2207900000")</f>
        <v>2207900000</v>
      </c>
      <c r="N85" s="4" t="str">
        <f>HYPERLINK("http://141.218.60.56/~jnz1568/getInfo.php?workbook=07_01.xlsx&amp;sheet=A0&amp;row=85&amp;col=14&amp;number=2207900000&amp;sourceID=12","2207900000")</f>
        <v>2207900000</v>
      </c>
      <c r="O85" s="4" t="str">
        <f>HYPERLINK("http://141.218.60.56/~jnz1568/getInfo.php?workbook=07_01.xlsx&amp;sheet=A0&amp;row=85&amp;col=15&amp;number=&amp;sourceID=12","")</f>
        <v/>
      </c>
      <c r="P85" s="4" t="str">
        <f>HYPERLINK("http://141.218.60.56/~jnz1568/getInfo.php?workbook=07_01.xlsx&amp;sheet=A0&amp;row=85&amp;col=16&amp;number=1.2424&amp;sourceID=12","1.2424")</f>
        <v>1.2424</v>
      </c>
      <c r="Q85" s="4" t="str">
        <f>HYPERLINK("http://141.218.60.56/~jnz1568/getInfo.php?workbook=07_01.xlsx&amp;sheet=A0&amp;row=85&amp;col=17&amp;number=&amp;sourceID=12","")</f>
        <v/>
      </c>
      <c r="R85" s="4" t="str">
        <f>HYPERLINK("http://141.218.60.56/~jnz1568/getInfo.php?workbook=07_01.xlsx&amp;sheet=A0&amp;row=85&amp;col=18&amp;number=&amp;sourceID=12","")</f>
        <v/>
      </c>
      <c r="S85" s="4" t="str">
        <f>HYPERLINK("http://141.218.60.56/~jnz1568/getInfo.php?workbook=07_01.xlsx&amp;sheet=A0&amp;row=85&amp;col=19&amp;number=&amp;sourceID=12","")</f>
        <v/>
      </c>
      <c r="T85" s="4" t="str">
        <f>HYPERLINK("http://141.218.60.56/~jnz1568/getInfo.php?workbook=07_01.xlsx&amp;sheet=A0&amp;row=85&amp;col=20&amp;number==&amp;sourceID=30","=")</f>
        <v>=</v>
      </c>
      <c r="U85" s="4" t="str">
        <f>HYPERLINK("http://141.218.60.56/~jnz1568/getInfo.php?workbook=07_01.xlsx&amp;sheet=A0&amp;row=85&amp;col=21&amp;number=2208000000&amp;sourceID=30","2208000000")</f>
        <v>2208000000</v>
      </c>
      <c r="V85" s="4" t="str">
        <f>HYPERLINK("http://141.218.60.56/~jnz1568/getInfo.php?workbook=07_01.xlsx&amp;sheet=A0&amp;row=85&amp;col=22&amp;number=&amp;sourceID=30","")</f>
        <v/>
      </c>
      <c r="W85" s="4" t="str">
        <f>HYPERLINK("http://141.218.60.56/~jnz1568/getInfo.php?workbook=07_01.xlsx&amp;sheet=A0&amp;row=85&amp;col=23&amp;number=&amp;sourceID=30","")</f>
        <v/>
      </c>
      <c r="X85" s="4" t="str">
        <f>HYPERLINK("http://141.218.60.56/~jnz1568/getInfo.php?workbook=07_01.xlsx&amp;sheet=A0&amp;row=85&amp;col=24&amp;number=&amp;sourceID=30","")</f>
        <v/>
      </c>
      <c r="Y85" s="4" t="str">
        <f>HYPERLINK("http://141.218.60.56/~jnz1568/getInfo.php?workbook=07_01.xlsx&amp;sheet=A0&amp;row=85&amp;col=25&amp;number==&amp;sourceID=13","=")</f>
        <v>=</v>
      </c>
      <c r="Z85" s="4" t="str">
        <f>HYPERLINK("http://141.218.60.56/~jnz1568/getInfo.php?workbook=07_01.xlsx&amp;sheet=A0&amp;row=85&amp;col=26&amp;number=2210000000&amp;sourceID=13","2210000000")</f>
        <v>2210000000</v>
      </c>
      <c r="AA85" s="4" t="str">
        <f>HYPERLINK("http://141.218.60.56/~jnz1568/getInfo.php?workbook=07_01.xlsx&amp;sheet=A0&amp;row=85&amp;col=27&amp;number=&amp;sourceID=13","")</f>
        <v/>
      </c>
      <c r="AB85" s="4" t="str">
        <f>HYPERLINK("http://141.218.60.56/~jnz1568/getInfo.php?workbook=07_01.xlsx&amp;sheet=A0&amp;row=85&amp;col=28&amp;number=&amp;sourceID=13","")</f>
        <v/>
      </c>
      <c r="AC85" s="4" t="str">
        <f>HYPERLINK("http://141.218.60.56/~jnz1568/getInfo.php?workbook=07_01.xlsx&amp;sheet=A0&amp;row=85&amp;col=29&amp;number=&amp;sourceID=13","")</f>
        <v/>
      </c>
      <c r="AD85" s="4" t="str">
        <f>HYPERLINK("http://141.218.60.56/~jnz1568/getInfo.php?workbook=07_01.xlsx&amp;sheet=A0&amp;row=85&amp;col=30&amp;number=&amp;sourceID=13","")</f>
        <v/>
      </c>
    </row>
    <row r="86" spans="1:30">
      <c r="A86" s="3">
        <v>7</v>
      </c>
      <c r="B86" s="3">
        <v>1</v>
      </c>
      <c r="C86" s="3">
        <v>14</v>
      </c>
      <c r="D86" s="3">
        <v>10</v>
      </c>
      <c r="E86" s="3">
        <f>((1/(INDEX(E0!J$4:J$28,C86,1)-INDEX(E0!J$4:J$28,D86,1))))*100000000</f>
        <v>0</v>
      </c>
      <c r="F86" s="4" t="str">
        <f>HYPERLINK("http://141.218.60.56/~jnz1568/getInfo.php?workbook=07_01.xlsx&amp;sheet=A0&amp;row=86&amp;col=6&amp;number==&amp;sourceID=11","=")</f>
        <v>=</v>
      </c>
      <c r="G86" s="4" t="str">
        <f>HYPERLINK("http://141.218.60.56/~jnz1568/getInfo.php?workbook=07_01.xlsx&amp;sheet=A0&amp;row=86&amp;col=7&amp;number=&amp;sourceID=11","")</f>
        <v/>
      </c>
      <c r="H86" s="4" t="str">
        <f>HYPERLINK("http://141.218.60.56/~jnz1568/getInfo.php?workbook=07_01.xlsx&amp;sheet=A0&amp;row=86&amp;col=8&amp;number=8.4161e-11&amp;sourceID=11","8.4161e-11")</f>
        <v>8.4161e-11</v>
      </c>
      <c r="I86" s="4" t="str">
        <f>HYPERLINK("http://141.218.60.56/~jnz1568/getInfo.php?workbook=07_01.xlsx&amp;sheet=A0&amp;row=86&amp;col=9&amp;number=&amp;sourceID=11","")</f>
        <v/>
      </c>
      <c r="J86" s="4" t="str">
        <f>HYPERLINK("http://141.218.60.56/~jnz1568/getInfo.php?workbook=07_01.xlsx&amp;sheet=A0&amp;row=86&amp;col=10&amp;number=&amp;sourceID=11","")</f>
        <v/>
      </c>
      <c r="K86" s="4" t="str">
        <f>HYPERLINK("http://141.218.60.56/~jnz1568/getInfo.php?workbook=07_01.xlsx&amp;sheet=A0&amp;row=86&amp;col=11&amp;number=&amp;sourceID=11","")</f>
        <v/>
      </c>
      <c r="L86" s="4" t="str">
        <f>HYPERLINK("http://141.218.60.56/~jnz1568/getInfo.php?workbook=07_01.xlsx&amp;sheet=A0&amp;row=86&amp;col=12&amp;number=0&amp;sourceID=11","0")</f>
        <v>0</v>
      </c>
      <c r="M86" s="4" t="str">
        <f>HYPERLINK("http://141.218.60.56/~jnz1568/getInfo.php?workbook=07_01.xlsx&amp;sheet=A0&amp;row=86&amp;col=13&amp;number=8.4168e-11&amp;sourceID=12","8.4168e-11")</f>
        <v>8.4168e-11</v>
      </c>
      <c r="N86" s="4" t="str">
        <f>HYPERLINK("http://141.218.60.56/~jnz1568/getInfo.php?workbook=07_01.xlsx&amp;sheet=A0&amp;row=86&amp;col=14&amp;number=&amp;sourceID=12","")</f>
        <v/>
      </c>
      <c r="O86" s="4" t="str">
        <f>HYPERLINK("http://141.218.60.56/~jnz1568/getInfo.php?workbook=07_01.xlsx&amp;sheet=A0&amp;row=86&amp;col=15&amp;number=8.4168e-11&amp;sourceID=12","8.4168e-11")</f>
        <v>8.4168e-11</v>
      </c>
      <c r="P86" s="4" t="str">
        <f>HYPERLINK("http://141.218.60.56/~jnz1568/getInfo.php?workbook=07_01.xlsx&amp;sheet=A0&amp;row=86&amp;col=16&amp;number=&amp;sourceID=12","")</f>
        <v/>
      </c>
      <c r="Q86" s="4" t="str">
        <f>HYPERLINK("http://141.218.60.56/~jnz1568/getInfo.php?workbook=07_01.xlsx&amp;sheet=A0&amp;row=86&amp;col=17&amp;number=&amp;sourceID=12","")</f>
        <v/>
      </c>
      <c r="R86" s="4" t="str">
        <f>HYPERLINK("http://141.218.60.56/~jnz1568/getInfo.php?workbook=07_01.xlsx&amp;sheet=A0&amp;row=86&amp;col=18&amp;number=&amp;sourceID=12","")</f>
        <v/>
      </c>
      <c r="S86" s="4" t="str">
        <f>HYPERLINK("http://141.218.60.56/~jnz1568/getInfo.php?workbook=07_01.xlsx&amp;sheet=A0&amp;row=86&amp;col=19&amp;number=0&amp;sourceID=12","0")</f>
        <v>0</v>
      </c>
      <c r="T86" s="4" t="str">
        <f>HYPERLINK("http://141.218.60.56/~jnz1568/getInfo.php?workbook=07_01.xlsx&amp;sheet=A0&amp;row=86&amp;col=20&amp;number==&amp;sourceID=30","=")</f>
        <v>=</v>
      </c>
      <c r="U86" s="4" t="str">
        <f>HYPERLINK("http://141.218.60.56/~jnz1568/getInfo.php?workbook=07_01.xlsx&amp;sheet=A0&amp;row=86&amp;col=21&amp;number=&amp;sourceID=30","")</f>
        <v/>
      </c>
      <c r="V86" s="4" t="str">
        <f>HYPERLINK("http://141.218.60.56/~jnz1568/getInfo.php?workbook=07_01.xlsx&amp;sheet=A0&amp;row=86&amp;col=22&amp;number=8.417e-11&amp;sourceID=30","8.417e-11")</f>
        <v>8.417e-11</v>
      </c>
      <c r="W86" s="4" t="str">
        <f>HYPERLINK("http://141.218.60.56/~jnz1568/getInfo.php?workbook=07_01.xlsx&amp;sheet=A0&amp;row=86&amp;col=23&amp;number=&amp;sourceID=30","")</f>
        <v/>
      </c>
      <c r="X86" s="4" t="str">
        <f>HYPERLINK("http://141.218.60.56/~jnz1568/getInfo.php?workbook=07_01.xlsx&amp;sheet=A0&amp;row=86&amp;col=24&amp;number=&amp;sourceID=30","")</f>
        <v/>
      </c>
      <c r="Y86" s="4" t="str">
        <f>HYPERLINK("http://141.218.60.56/~jnz1568/getInfo.php?workbook=07_01.xlsx&amp;sheet=A0&amp;row=86&amp;col=25&amp;number=&amp;sourceID=13","")</f>
        <v/>
      </c>
      <c r="Z86" s="4" t="str">
        <f>HYPERLINK("http://141.218.60.56/~jnz1568/getInfo.php?workbook=07_01.xlsx&amp;sheet=A0&amp;row=86&amp;col=26&amp;number=&amp;sourceID=13","")</f>
        <v/>
      </c>
      <c r="AA86" s="4" t="str">
        <f>HYPERLINK("http://141.218.60.56/~jnz1568/getInfo.php?workbook=07_01.xlsx&amp;sheet=A0&amp;row=86&amp;col=27&amp;number=&amp;sourceID=13","")</f>
        <v/>
      </c>
      <c r="AB86" s="4" t="str">
        <f>HYPERLINK("http://141.218.60.56/~jnz1568/getInfo.php?workbook=07_01.xlsx&amp;sheet=A0&amp;row=86&amp;col=28&amp;number=&amp;sourceID=13","")</f>
        <v/>
      </c>
      <c r="AC86" s="4" t="str">
        <f>HYPERLINK("http://141.218.60.56/~jnz1568/getInfo.php?workbook=07_01.xlsx&amp;sheet=A0&amp;row=86&amp;col=29&amp;number=&amp;sourceID=13","")</f>
        <v/>
      </c>
      <c r="AD86" s="4" t="str">
        <f>HYPERLINK("http://141.218.60.56/~jnz1568/getInfo.php?workbook=07_01.xlsx&amp;sheet=A0&amp;row=86&amp;col=30&amp;number=&amp;sourceID=13","")</f>
        <v/>
      </c>
    </row>
    <row r="87" spans="1:30">
      <c r="A87" s="3">
        <v>7</v>
      </c>
      <c r="B87" s="3">
        <v>1</v>
      </c>
      <c r="C87" s="3">
        <v>14</v>
      </c>
      <c r="D87" s="3">
        <v>11</v>
      </c>
      <c r="E87" s="3">
        <f>((1/(INDEX(E0!J$4:J$28,C87,1)-INDEX(E0!J$4:J$28,D87,1))))*100000000</f>
        <v>0</v>
      </c>
      <c r="F87" s="4" t="str">
        <f>HYPERLINK("http://141.218.60.56/~jnz1568/getInfo.php?workbook=07_01.xlsx&amp;sheet=A0&amp;row=87&amp;col=6&amp;number==&amp;sourceID=11","=")</f>
        <v>=</v>
      </c>
      <c r="G87" s="4" t="str">
        <f>HYPERLINK("http://141.218.60.56/~jnz1568/getInfo.php?workbook=07_01.xlsx&amp;sheet=A0&amp;row=87&amp;col=7&amp;number=&amp;sourceID=11","")</f>
        <v/>
      </c>
      <c r="H87" s="4" t="str">
        <f>HYPERLINK("http://141.218.60.56/~jnz1568/getInfo.php?workbook=07_01.xlsx&amp;sheet=A0&amp;row=87&amp;col=8&amp;number=&amp;sourceID=11","")</f>
        <v/>
      </c>
      <c r="I87" s="4" t="str">
        <f>HYPERLINK("http://141.218.60.56/~jnz1568/getInfo.php?workbook=07_01.xlsx&amp;sheet=A0&amp;row=87&amp;col=9&amp;number=0&amp;sourceID=11","0")</f>
        <v>0</v>
      </c>
      <c r="J87" s="4" t="str">
        <f>HYPERLINK("http://141.218.60.56/~jnz1568/getInfo.php?workbook=07_01.xlsx&amp;sheet=A0&amp;row=87&amp;col=10&amp;number=&amp;sourceID=11","")</f>
        <v/>
      </c>
      <c r="K87" s="4" t="str">
        <f>HYPERLINK("http://141.218.60.56/~jnz1568/getInfo.php?workbook=07_01.xlsx&amp;sheet=A0&amp;row=87&amp;col=11&amp;number=0&amp;sourceID=11","0")</f>
        <v>0</v>
      </c>
      <c r="L87" s="4" t="str">
        <f>HYPERLINK("http://141.218.60.56/~jnz1568/getInfo.php?workbook=07_01.xlsx&amp;sheet=A0&amp;row=87&amp;col=12&amp;number=&amp;sourceID=11","")</f>
        <v/>
      </c>
      <c r="M87" s="4" t="str">
        <f>HYPERLINK("http://141.218.60.56/~jnz1568/getInfo.php?workbook=07_01.xlsx&amp;sheet=A0&amp;row=87&amp;col=13&amp;number=0&amp;sourceID=12","0")</f>
        <v>0</v>
      </c>
      <c r="N87" s="4" t="str">
        <f>HYPERLINK("http://141.218.60.56/~jnz1568/getInfo.php?workbook=07_01.xlsx&amp;sheet=A0&amp;row=87&amp;col=14&amp;number=&amp;sourceID=12","")</f>
        <v/>
      </c>
      <c r="O87" s="4" t="str">
        <f>HYPERLINK("http://141.218.60.56/~jnz1568/getInfo.php?workbook=07_01.xlsx&amp;sheet=A0&amp;row=87&amp;col=15&amp;number=&amp;sourceID=12","")</f>
        <v/>
      </c>
      <c r="P87" s="4" t="str">
        <f>HYPERLINK("http://141.218.60.56/~jnz1568/getInfo.php?workbook=07_01.xlsx&amp;sheet=A0&amp;row=87&amp;col=16&amp;number=0&amp;sourceID=12","0")</f>
        <v>0</v>
      </c>
      <c r="Q87" s="4" t="str">
        <f>HYPERLINK("http://141.218.60.56/~jnz1568/getInfo.php?workbook=07_01.xlsx&amp;sheet=A0&amp;row=87&amp;col=17&amp;number=&amp;sourceID=12","")</f>
        <v/>
      </c>
      <c r="R87" s="4" t="str">
        <f>HYPERLINK("http://141.218.60.56/~jnz1568/getInfo.php?workbook=07_01.xlsx&amp;sheet=A0&amp;row=87&amp;col=18&amp;number=0&amp;sourceID=12","0")</f>
        <v>0</v>
      </c>
      <c r="S87" s="4" t="str">
        <f>HYPERLINK("http://141.218.60.56/~jnz1568/getInfo.php?workbook=07_01.xlsx&amp;sheet=A0&amp;row=87&amp;col=19&amp;number=&amp;sourceID=12","")</f>
        <v/>
      </c>
      <c r="T87" s="4" t="str">
        <f>HYPERLINK("http://141.218.60.56/~jnz1568/getInfo.php?workbook=07_01.xlsx&amp;sheet=A0&amp;row=87&amp;col=20&amp;number==&amp;sourceID=30","=")</f>
        <v>=</v>
      </c>
      <c r="U87" s="4" t="str">
        <f>HYPERLINK("http://141.218.60.56/~jnz1568/getInfo.php?workbook=07_01.xlsx&amp;sheet=A0&amp;row=87&amp;col=21&amp;number=&amp;sourceID=30","")</f>
        <v/>
      </c>
      <c r="V87" s="4" t="str">
        <f>HYPERLINK("http://141.218.60.56/~jnz1568/getInfo.php?workbook=07_01.xlsx&amp;sheet=A0&amp;row=87&amp;col=22&amp;number=&amp;sourceID=30","")</f>
        <v/>
      </c>
      <c r="W87" s="4" t="str">
        <f>HYPERLINK("http://141.218.60.56/~jnz1568/getInfo.php?workbook=07_01.xlsx&amp;sheet=A0&amp;row=87&amp;col=23&amp;number=&amp;sourceID=30","")</f>
        <v/>
      </c>
      <c r="X87" s="4" t="str">
        <f>HYPERLINK("http://141.218.60.56/~jnz1568/getInfo.php?workbook=07_01.xlsx&amp;sheet=A0&amp;row=87&amp;col=24&amp;number=0&amp;sourceID=30","0")</f>
        <v>0</v>
      </c>
      <c r="Y87" s="4" t="str">
        <f>HYPERLINK("http://141.218.60.56/~jnz1568/getInfo.php?workbook=07_01.xlsx&amp;sheet=A0&amp;row=87&amp;col=25&amp;number=&amp;sourceID=13","")</f>
        <v/>
      </c>
      <c r="Z87" s="4" t="str">
        <f>HYPERLINK("http://141.218.60.56/~jnz1568/getInfo.php?workbook=07_01.xlsx&amp;sheet=A0&amp;row=87&amp;col=26&amp;number=&amp;sourceID=13","")</f>
        <v/>
      </c>
      <c r="AA87" s="4" t="str">
        <f>HYPERLINK("http://141.218.60.56/~jnz1568/getInfo.php?workbook=07_01.xlsx&amp;sheet=A0&amp;row=87&amp;col=27&amp;number=&amp;sourceID=13","")</f>
        <v/>
      </c>
      <c r="AB87" s="4" t="str">
        <f>HYPERLINK("http://141.218.60.56/~jnz1568/getInfo.php?workbook=07_01.xlsx&amp;sheet=A0&amp;row=87&amp;col=28&amp;number=&amp;sourceID=13","")</f>
        <v/>
      </c>
      <c r="AC87" s="4" t="str">
        <f>HYPERLINK("http://141.218.60.56/~jnz1568/getInfo.php?workbook=07_01.xlsx&amp;sheet=A0&amp;row=87&amp;col=29&amp;number=&amp;sourceID=13","")</f>
        <v/>
      </c>
      <c r="AD87" s="4" t="str">
        <f>HYPERLINK("http://141.218.60.56/~jnz1568/getInfo.php?workbook=07_01.xlsx&amp;sheet=A0&amp;row=87&amp;col=30&amp;number=&amp;sourceID=13","")</f>
        <v/>
      </c>
    </row>
    <row r="88" spans="1:30">
      <c r="A88" s="3">
        <v>7</v>
      </c>
      <c r="B88" s="3">
        <v>1</v>
      </c>
      <c r="C88" s="3">
        <v>14</v>
      </c>
      <c r="D88" s="3">
        <v>12</v>
      </c>
      <c r="E88" s="3">
        <f>((1/(INDEX(E0!J$4:J$28,C88,1)-INDEX(E0!J$4:J$28,D88,1))))*100000000</f>
        <v>0</v>
      </c>
      <c r="F88" s="4" t="str">
        <f>HYPERLINK("http://141.218.60.56/~jnz1568/getInfo.php?workbook=07_01.xlsx&amp;sheet=A0&amp;row=88&amp;col=6&amp;number==&amp;sourceID=11","=")</f>
        <v>=</v>
      </c>
      <c r="G88" s="4" t="str">
        <f>HYPERLINK("http://141.218.60.56/~jnz1568/getInfo.php?workbook=07_01.xlsx&amp;sheet=A0&amp;row=88&amp;col=7&amp;number=0.20358&amp;sourceID=11","0.20358")</f>
        <v>0.20358</v>
      </c>
      <c r="H88" s="4" t="str">
        <f>HYPERLINK("http://141.218.60.56/~jnz1568/getInfo.php?workbook=07_01.xlsx&amp;sheet=A0&amp;row=88&amp;col=8&amp;number=&amp;sourceID=11","")</f>
        <v/>
      </c>
      <c r="I88" s="4" t="str">
        <f>HYPERLINK("http://141.218.60.56/~jnz1568/getInfo.php?workbook=07_01.xlsx&amp;sheet=A0&amp;row=88&amp;col=9&amp;number=0&amp;sourceID=11","0")</f>
        <v>0</v>
      </c>
      <c r="J88" s="4" t="str">
        <f>HYPERLINK("http://141.218.60.56/~jnz1568/getInfo.php?workbook=07_01.xlsx&amp;sheet=A0&amp;row=88&amp;col=10&amp;number=&amp;sourceID=11","")</f>
        <v/>
      </c>
      <c r="K88" s="4" t="str">
        <f>HYPERLINK("http://141.218.60.56/~jnz1568/getInfo.php?workbook=07_01.xlsx&amp;sheet=A0&amp;row=88&amp;col=11&amp;number=0&amp;sourceID=11","0")</f>
        <v>0</v>
      </c>
      <c r="L88" s="4" t="str">
        <f>HYPERLINK("http://141.218.60.56/~jnz1568/getInfo.php?workbook=07_01.xlsx&amp;sheet=A0&amp;row=88&amp;col=12&amp;number=&amp;sourceID=11","")</f>
        <v/>
      </c>
      <c r="M88" s="4" t="str">
        <f>HYPERLINK("http://141.218.60.56/~jnz1568/getInfo.php?workbook=07_01.xlsx&amp;sheet=A0&amp;row=88&amp;col=13&amp;number=0.2036&amp;sourceID=12","0.2036")</f>
        <v>0.2036</v>
      </c>
      <c r="N88" s="4" t="str">
        <f>HYPERLINK("http://141.218.60.56/~jnz1568/getInfo.php?workbook=07_01.xlsx&amp;sheet=A0&amp;row=88&amp;col=14&amp;number=0.2036&amp;sourceID=12","0.2036")</f>
        <v>0.2036</v>
      </c>
      <c r="O88" s="4" t="str">
        <f>HYPERLINK("http://141.218.60.56/~jnz1568/getInfo.php?workbook=07_01.xlsx&amp;sheet=A0&amp;row=88&amp;col=15&amp;number=&amp;sourceID=12","")</f>
        <v/>
      </c>
      <c r="P88" s="4" t="str">
        <f>HYPERLINK("http://141.218.60.56/~jnz1568/getInfo.php?workbook=07_01.xlsx&amp;sheet=A0&amp;row=88&amp;col=16&amp;number=0&amp;sourceID=12","0")</f>
        <v>0</v>
      </c>
      <c r="Q88" s="4" t="str">
        <f>HYPERLINK("http://141.218.60.56/~jnz1568/getInfo.php?workbook=07_01.xlsx&amp;sheet=A0&amp;row=88&amp;col=17&amp;number=&amp;sourceID=12","")</f>
        <v/>
      </c>
      <c r="R88" s="4" t="str">
        <f>HYPERLINK("http://141.218.60.56/~jnz1568/getInfo.php?workbook=07_01.xlsx&amp;sheet=A0&amp;row=88&amp;col=18&amp;number=0&amp;sourceID=12","0")</f>
        <v>0</v>
      </c>
      <c r="S88" s="4" t="str">
        <f>HYPERLINK("http://141.218.60.56/~jnz1568/getInfo.php?workbook=07_01.xlsx&amp;sheet=A0&amp;row=88&amp;col=19&amp;number=&amp;sourceID=12","")</f>
        <v/>
      </c>
      <c r="T88" s="4" t="str">
        <f>HYPERLINK("http://141.218.60.56/~jnz1568/getInfo.php?workbook=07_01.xlsx&amp;sheet=A0&amp;row=88&amp;col=20&amp;number==&amp;sourceID=30","=")</f>
        <v>=</v>
      </c>
      <c r="U88" s="4" t="str">
        <f>HYPERLINK("http://141.218.60.56/~jnz1568/getInfo.php?workbook=07_01.xlsx&amp;sheet=A0&amp;row=88&amp;col=21&amp;number=0.2036&amp;sourceID=30","0.2036")</f>
        <v>0.2036</v>
      </c>
      <c r="V88" s="4" t="str">
        <f>HYPERLINK("http://141.218.60.56/~jnz1568/getInfo.php?workbook=07_01.xlsx&amp;sheet=A0&amp;row=88&amp;col=22&amp;number=&amp;sourceID=30","")</f>
        <v/>
      </c>
      <c r="W88" s="4" t="str">
        <f>HYPERLINK("http://141.218.60.56/~jnz1568/getInfo.php?workbook=07_01.xlsx&amp;sheet=A0&amp;row=88&amp;col=23&amp;number=&amp;sourceID=30","")</f>
        <v/>
      </c>
      <c r="X88" s="4" t="str">
        <f>HYPERLINK("http://141.218.60.56/~jnz1568/getInfo.php?workbook=07_01.xlsx&amp;sheet=A0&amp;row=88&amp;col=24&amp;number=0&amp;sourceID=30","0")</f>
        <v>0</v>
      </c>
      <c r="Y88" s="4" t="str">
        <f>HYPERLINK("http://141.218.60.56/~jnz1568/getInfo.php?workbook=07_01.xlsx&amp;sheet=A0&amp;row=88&amp;col=25&amp;number=&amp;sourceID=13","")</f>
        <v/>
      </c>
      <c r="Z88" s="4" t="str">
        <f>HYPERLINK("http://141.218.60.56/~jnz1568/getInfo.php?workbook=07_01.xlsx&amp;sheet=A0&amp;row=88&amp;col=26&amp;number=&amp;sourceID=13","")</f>
        <v/>
      </c>
      <c r="AA88" s="4" t="str">
        <f>HYPERLINK("http://141.218.60.56/~jnz1568/getInfo.php?workbook=07_01.xlsx&amp;sheet=A0&amp;row=88&amp;col=27&amp;number=&amp;sourceID=13","")</f>
        <v/>
      </c>
      <c r="AB88" s="4" t="str">
        <f>HYPERLINK("http://141.218.60.56/~jnz1568/getInfo.php?workbook=07_01.xlsx&amp;sheet=A0&amp;row=88&amp;col=28&amp;number=&amp;sourceID=13","")</f>
        <v/>
      </c>
      <c r="AC88" s="4" t="str">
        <f>HYPERLINK("http://141.218.60.56/~jnz1568/getInfo.php?workbook=07_01.xlsx&amp;sheet=A0&amp;row=88&amp;col=29&amp;number=&amp;sourceID=13","")</f>
        <v/>
      </c>
      <c r="AD88" s="4" t="str">
        <f>HYPERLINK("http://141.218.60.56/~jnz1568/getInfo.php?workbook=07_01.xlsx&amp;sheet=A0&amp;row=88&amp;col=30&amp;number=&amp;sourceID=13","")</f>
        <v/>
      </c>
    </row>
    <row r="89" spans="1:30">
      <c r="A89" s="3">
        <v>7</v>
      </c>
      <c r="B89" s="3">
        <v>1</v>
      </c>
      <c r="C89" s="3">
        <v>14</v>
      </c>
      <c r="D89" s="3">
        <v>13</v>
      </c>
      <c r="E89" s="3">
        <f>((1/(INDEX(E0!J$4:J$28,C89,1)-INDEX(E0!J$4:J$28,D89,1))))*100000000</f>
        <v>0</v>
      </c>
      <c r="F89" s="4" t="str">
        <f>HYPERLINK("http://141.218.60.56/~jnz1568/getInfo.php?workbook=07_01.xlsx&amp;sheet=A0&amp;row=89&amp;col=6&amp;number==&amp;sourceID=11","=")</f>
        <v>=</v>
      </c>
      <c r="G89" s="4" t="str">
        <f>HYPERLINK("http://141.218.60.56/~jnz1568/getInfo.php?workbook=07_01.xlsx&amp;sheet=A0&amp;row=89&amp;col=7&amp;number=&amp;sourceID=11","")</f>
        <v/>
      </c>
      <c r="H89" s="4" t="str">
        <f>HYPERLINK("http://141.218.60.56/~jnz1568/getInfo.php?workbook=07_01.xlsx&amp;sheet=A0&amp;row=89&amp;col=8&amp;number=2.3e-14&amp;sourceID=11","2.3e-14")</f>
        <v>2.3e-14</v>
      </c>
      <c r="I89" s="4" t="str">
        <f>HYPERLINK("http://141.218.60.56/~jnz1568/getInfo.php?workbook=07_01.xlsx&amp;sheet=A0&amp;row=89&amp;col=9&amp;number=&amp;sourceID=11","")</f>
        <v/>
      </c>
      <c r="J89" s="4" t="str">
        <f>HYPERLINK("http://141.218.60.56/~jnz1568/getInfo.php?workbook=07_01.xlsx&amp;sheet=A0&amp;row=89&amp;col=10&amp;number=0&amp;sourceID=11","0")</f>
        <v>0</v>
      </c>
      <c r="K89" s="4" t="str">
        <f>HYPERLINK("http://141.218.60.56/~jnz1568/getInfo.php?workbook=07_01.xlsx&amp;sheet=A0&amp;row=89&amp;col=11&amp;number=&amp;sourceID=11","")</f>
        <v/>
      </c>
      <c r="L89" s="4" t="str">
        <f>HYPERLINK("http://141.218.60.56/~jnz1568/getInfo.php?workbook=07_01.xlsx&amp;sheet=A0&amp;row=89&amp;col=12&amp;number=0&amp;sourceID=11","0")</f>
        <v>0</v>
      </c>
      <c r="M89" s="4" t="str">
        <f>HYPERLINK("http://141.218.60.56/~jnz1568/getInfo.php?workbook=07_01.xlsx&amp;sheet=A0&amp;row=89&amp;col=13&amp;number=2.3e-14&amp;sourceID=12","2.3e-14")</f>
        <v>2.3e-14</v>
      </c>
      <c r="N89" s="4" t="str">
        <f>HYPERLINK("http://141.218.60.56/~jnz1568/getInfo.php?workbook=07_01.xlsx&amp;sheet=A0&amp;row=89&amp;col=14&amp;number=&amp;sourceID=12","")</f>
        <v/>
      </c>
      <c r="O89" s="4" t="str">
        <f>HYPERLINK("http://141.218.60.56/~jnz1568/getInfo.php?workbook=07_01.xlsx&amp;sheet=A0&amp;row=89&amp;col=15&amp;number=2.3e-14&amp;sourceID=12","2.3e-14")</f>
        <v>2.3e-14</v>
      </c>
      <c r="P89" s="4" t="str">
        <f>HYPERLINK("http://141.218.60.56/~jnz1568/getInfo.php?workbook=07_01.xlsx&amp;sheet=A0&amp;row=89&amp;col=16&amp;number=&amp;sourceID=12","")</f>
        <v/>
      </c>
      <c r="Q89" s="4" t="str">
        <f>HYPERLINK("http://141.218.60.56/~jnz1568/getInfo.php?workbook=07_01.xlsx&amp;sheet=A0&amp;row=89&amp;col=17&amp;number=0&amp;sourceID=12","0")</f>
        <v>0</v>
      </c>
      <c r="R89" s="4" t="str">
        <f>HYPERLINK("http://141.218.60.56/~jnz1568/getInfo.php?workbook=07_01.xlsx&amp;sheet=A0&amp;row=89&amp;col=18&amp;number=&amp;sourceID=12","")</f>
        <v/>
      </c>
      <c r="S89" s="4" t="str">
        <f>HYPERLINK("http://141.218.60.56/~jnz1568/getInfo.php?workbook=07_01.xlsx&amp;sheet=A0&amp;row=89&amp;col=19&amp;number=0&amp;sourceID=12","0")</f>
        <v>0</v>
      </c>
      <c r="T89" s="4" t="str">
        <f>HYPERLINK("http://141.218.60.56/~jnz1568/getInfo.php?workbook=07_01.xlsx&amp;sheet=A0&amp;row=89&amp;col=20&amp;number==&amp;sourceID=30","=")</f>
        <v>=</v>
      </c>
      <c r="U89" s="4" t="str">
        <f>HYPERLINK("http://141.218.60.56/~jnz1568/getInfo.php?workbook=07_01.xlsx&amp;sheet=A0&amp;row=89&amp;col=21&amp;number=&amp;sourceID=30","")</f>
        <v/>
      </c>
      <c r="V89" s="4" t="str">
        <f>HYPERLINK("http://141.218.60.56/~jnz1568/getInfo.php?workbook=07_01.xlsx&amp;sheet=A0&amp;row=89&amp;col=22&amp;number=2.3e-14&amp;sourceID=30","2.3e-14")</f>
        <v>2.3e-14</v>
      </c>
      <c r="W89" s="4" t="str">
        <f>HYPERLINK("http://141.218.60.56/~jnz1568/getInfo.php?workbook=07_01.xlsx&amp;sheet=A0&amp;row=89&amp;col=23&amp;number=0&amp;sourceID=30","0")</f>
        <v>0</v>
      </c>
      <c r="X89" s="4" t="str">
        <f>HYPERLINK("http://141.218.60.56/~jnz1568/getInfo.php?workbook=07_01.xlsx&amp;sheet=A0&amp;row=89&amp;col=24&amp;number=&amp;sourceID=30","")</f>
        <v/>
      </c>
      <c r="Y89" s="4" t="str">
        <f>HYPERLINK("http://141.218.60.56/~jnz1568/getInfo.php?workbook=07_01.xlsx&amp;sheet=A0&amp;row=89&amp;col=25&amp;number=&amp;sourceID=13","")</f>
        <v/>
      </c>
      <c r="Z89" s="4" t="str">
        <f>HYPERLINK("http://141.218.60.56/~jnz1568/getInfo.php?workbook=07_01.xlsx&amp;sheet=A0&amp;row=89&amp;col=26&amp;number=&amp;sourceID=13","")</f>
        <v/>
      </c>
      <c r="AA89" s="4" t="str">
        <f>HYPERLINK("http://141.218.60.56/~jnz1568/getInfo.php?workbook=07_01.xlsx&amp;sheet=A0&amp;row=89&amp;col=27&amp;number=&amp;sourceID=13","")</f>
        <v/>
      </c>
      <c r="AB89" s="4" t="str">
        <f>HYPERLINK("http://141.218.60.56/~jnz1568/getInfo.php?workbook=07_01.xlsx&amp;sheet=A0&amp;row=89&amp;col=28&amp;number=&amp;sourceID=13","")</f>
        <v/>
      </c>
      <c r="AC89" s="4" t="str">
        <f>HYPERLINK("http://141.218.60.56/~jnz1568/getInfo.php?workbook=07_01.xlsx&amp;sheet=A0&amp;row=89&amp;col=29&amp;number=&amp;sourceID=13","")</f>
        <v/>
      </c>
      <c r="AD89" s="4" t="str">
        <f>HYPERLINK("http://141.218.60.56/~jnz1568/getInfo.php?workbook=07_01.xlsx&amp;sheet=A0&amp;row=89&amp;col=30&amp;number=&amp;sourceID=13","")</f>
        <v/>
      </c>
    </row>
    <row r="90" spans="1:30">
      <c r="A90" s="3">
        <v>7</v>
      </c>
      <c r="B90" s="3">
        <v>1</v>
      </c>
      <c r="C90" s="3">
        <v>15</v>
      </c>
      <c r="D90" s="3">
        <v>1</v>
      </c>
      <c r="E90" s="3">
        <f>((1/(INDEX(E0!J$4:J$28,C90,1)-INDEX(E0!J$4:J$28,D90,1))))*100000000</f>
        <v>0</v>
      </c>
      <c r="F90" s="4" t="str">
        <f>HYPERLINK("http://141.218.60.56/~jnz1568/getInfo.php?workbook=07_01.xlsx&amp;sheet=A0&amp;row=90&amp;col=6&amp;number==&amp;sourceID=11","=")</f>
        <v>=</v>
      </c>
      <c r="G90" s="4" t="str">
        <f>HYPERLINK("http://141.218.60.56/~jnz1568/getInfo.php?workbook=07_01.xlsx&amp;sheet=A0&amp;row=90&amp;col=7&amp;number=&amp;sourceID=11","")</f>
        <v/>
      </c>
      <c r="H90" s="4" t="str">
        <f>HYPERLINK("http://141.218.60.56/~jnz1568/getInfo.php?workbook=07_01.xlsx&amp;sheet=A0&amp;row=90&amp;col=8&amp;number=38390000&amp;sourceID=11","38390000")</f>
        <v>38390000</v>
      </c>
      <c r="I90" s="4" t="str">
        <f>HYPERLINK("http://141.218.60.56/~jnz1568/getInfo.php?workbook=07_01.xlsx&amp;sheet=A0&amp;row=90&amp;col=9&amp;number=&amp;sourceID=11","")</f>
        <v/>
      </c>
      <c r="J90" s="4" t="str">
        <f>HYPERLINK("http://141.218.60.56/~jnz1568/getInfo.php?workbook=07_01.xlsx&amp;sheet=A0&amp;row=90&amp;col=10&amp;number=&amp;sourceID=11","")</f>
        <v/>
      </c>
      <c r="K90" s="4" t="str">
        <f>HYPERLINK("http://141.218.60.56/~jnz1568/getInfo.php?workbook=07_01.xlsx&amp;sheet=A0&amp;row=90&amp;col=11&amp;number=&amp;sourceID=11","")</f>
        <v/>
      </c>
      <c r="L90" s="4" t="str">
        <f>HYPERLINK("http://141.218.60.56/~jnz1568/getInfo.php?workbook=07_01.xlsx&amp;sheet=A0&amp;row=90&amp;col=12&amp;number=12.783&amp;sourceID=11","12.783")</f>
        <v>12.783</v>
      </c>
      <c r="M90" s="4" t="str">
        <f>HYPERLINK("http://141.218.60.56/~jnz1568/getInfo.php?workbook=07_01.xlsx&amp;sheet=A0&amp;row=90&amp;col=13&amp;number=38392000&amp;sourceID=12","38392000")</f>
        <v>38392000</v>
      </c>
      <c r="N90" s="4" t="str">
        <f>HYPERLINK("http://141.218.60.56/~jnz1568/getInfo.php?workbook=07_01.xlsx&amp;sheet=A0&amp;row=90&amp;col=14&amp;number=&amp;sourceID=12","")</f>
        <v/>
      </c>
      <c r="O90" s="4" t="str">
        <f>HYPERLINK("http://141.218.60.56/~jnz1568/getInfo.php?workbook=07_01.xlsx&amp;sheet=A0&amp;row=90&amp;col=15&amp;number=38392000&amp;sourceID=12","38392000")</f>
        <v>38392000</v>
      </c>
      <c r="P90" s="4" t="str">
        <f>HYPERLINK("http://141.218.60.56/~jnz1568/getInfo.php?workbook=07_01.xlsx&amp;sheet=A0&amp;row=90&amp;col=16&amp;number=&amp;sourceID=12","")</f>
        <v/>
      </c>
      <c r="Q90" s="4" t="str">
        <f>HYPERLINK("http://141.218.60.56/~jnz1568/getInfo.php?workbook=07_01.xlsx&amp;sheet=A0&amp;row=90&amp;col=17&amp;number=&amp;sourceID=12","")</f>
        <v/>
      </c>
      <c r="R90" s="4" t="str">
        <f>HYPERLINK("http://141.218.60.56/~jnz1568/getInfo.php?workbook=07_01.xlsx&amp;sheet=A0&amp;row=90&amp;col=18&amp;number=&amp;sourceID=12","")</f>
        <v/>
      </c>
      <c r="S90" s="4" t="str">
        <f>HYPERLINK("http://141.218.60.56/~jnz1568/getInfo.php?workbook=07_01.xlsx&amp;sheet=A0&amp;row=90&amp;col=19&amp;number=12.784&amp;sourceID=12","12.784")</f>
        <v>12.784</v>
      </c>
      <c r="T90" s="4" t="str">
        <f>HYPERLINK("http://141.218.60.56/~jnz1568/getInfo.php?workbook=07_01.xlsx&amp;sheet=A0&amp;row=90&amp;col=20&amp;number==&amp;sourceID=30","=")</f>
        <v>=</v>
      </c>
      <c r="U90" s="4" t="str">
        <f>HYPERLINK("http://141.218.60.56/~jnz1568/getInfo.php?workbook=07_01.xlsx&amp;sheet=A0&amp;row=90&amp;col=21&amp;number=&amp;sourceID=30","")</f>
        <v/>
      </c>
      <c r="V90" s="4" t="str">
        <f>HYPERLINK("http://141.218.60.56/~jnz1568/getInfo.php?workbook=07_01.xlsx&amp;sheet=A0&amp;row=90&amp;col=22&amp;number=38390000&amp;sourceID=30","38390000")</f>
        <v>38390000</v>
      </c>
      <c r="W90" s="4" t="str">
        <f>HYPERLINK("http://141.218.60.56/~jnz1568/getInfo.php?workbook=07_01.xlsx&amp;sheet=A0&amp;row=90&amp;col=23&amp;number=&amp;sourceID=30","")</f>
        <v/>
      </c>
      <c r="X90" s="4" t="str">
        <f>HYPERLINK("http://141.218.60.56/~jnz1568/getInfo.php?workbook=07_01.xlsx&amp;sheet=A0&amp;row=90&amp;col=24&amp;number=&amp;sourceID=30","")</f>
        <v/>
      </c>
      <c r="Y90" s="4" t="str">
        <f>HYPERLINK("http://141.218.60.56/~jnz1568/getInfo.php?workbook=07_01.xlsx&amp;sheet=A0&amp;row=90&amp;col=25&amp;number==SUM(Z90:AD90)&amp;sourceID=13","=SUM(Z90:AD90)")</f>
        <v>=SUM(Z90:AD90)</v>
      </c>
      <c r="Z90" s="4" t="str">
        <f>HYPERLINK("http://141.218.60.56/~jnz1568/getInfo.php?workbook=07_01.xlsx&amp;sheet=A0&amp;row=90&amp;col=26&amp;number=&amp;sourceID=13","")</f>
        <v/>
      </c>
      <c r="AA90" s="4" t="str">
        <f>HYPERLINK("http://141.218.60.56/~jnz1568/getInfo.php?workbook=07_01.xlsx&amp;sheet=A0&amp;row=90&amp;col=27&amp;number=40700000&amp;sourceID=13","40700000")</f>
        <v>40700000</v>
      </c>
      <c r="AB90" s="4" t="str">
        <f>HYPERLINK("http://141.218.60.56/~jnz1568/getInfo.php?workbook=07_01.xlsx&amp;sheet=A0&amp;row=90&amp;col=28&amp;number=&amp;sourceID=13","")</f>
        <v/>
      </c>
      <c r="AC90" s="4" t="str">
        <f>HYPERLINK("http://141.218.60.56/~jnz1568/getInfo.php?workbook=07_01.xlsx&amp;sheet=A0&amp;row=90&amp;col=29&amp;number=&amp;sourceID=13","")</f>
        <v/>
      </c>
      <c r="AD90" s="4" t="str">
        <f>HYPERLINK("http://141.218.60.56/~jnz1568/getInfo.php?workbook=07_01.xlsx&amp;sheet=A0&amp;row=90&amp;col=30&amp;number=&amp;sourceID=13","")</f>
        <v/>
      </c>
    </row>
    <row r="91" spans="1:30">
      <c r="A91" s="3">
        <v>7</v>
      </c>
      <c r="B91" s="3">
        <v>1</v>
      </c>
      <c r="C91" s="3">
        <v>15</v>
      </c>
      <c r="D91" s="3">
        <v>2</v>
      </c>
      <c r="E91" s="3">
        <f>((1/(INDEX(E0!J$4:J$28,C91,1)-INDEX(E0!J$4:J$28,D91,1))))*100000000</f>
        <v>0</v>
      </c>
      <c r="F91" s="4" t="str">
        <f>HYPERLINK("http://141.218.60.56/~jnz1568/getInfo.php?workbook=07_01.xlsx&amp;sheet=A0&amp;row=91&amp;col=6&amp;number==&amp;sourceID=11","=")</f>
        <v>=</v>
      </c>
      <c r="G91" s="4" t="str">
        <f>HYPERLINK("http://141.218.60.56/~jnz1568/getInfo.php?workbook=07_01.xlsx&amp;sheet=A0&amp;row=91&amp;col=7&amp;number=&amp;sourceID=11","")</f>
        <v/>
      </c>
      <c r="H91" s="4" t="str">
        <f>HYPERLINK("http://141.218.60.56/~jnz1568/getInfo.php?workbook=07_01.xlsx&amp;sheet=A0&amp;row=91&amp;col=8&amp;number=&amp;sourceID=11","")</f>
        <v/>
      </c>
      <c r="I91" s="4" t="str">
        <f>HYPERLINK("http://141.218.60.56/~jnz1568/getInfo.php?workbook=07_01.xlsx&amp;sheet=A0&amp;row=91&amp;col=9&amp;number=0.00024394&amp;sourceID=11","0.00024394")</f>
        <v>0.00024394</v>
      </c>
      <c r="J91" s="4" t="str">
        <f>HYPERLINK("http://141.218.60.56/~jnz1568/getInfo.php?workbook=07_01.xlsx&amp;sheet=A0&amp;row=91&amp;col=10&amp;number=&amp;sourceID=11","")</f>
        <v/>
      </c>
      <c r="K91" s="4" t="str">
        <f>HYPERLINK("http://141.218.60.56/~jnz1568/getInfo.php?workbook=07_01.xlsx&amp;sheet=A0&amp;row=91&amp;col=11&amp;number=132.29&amp;sourceID=11","132.29")</f>
        <v>132.29</v>
      </c>
      <c r="L91" s="4" t="str">
        <f>HYPERLINK("http://141.218.60.56/~jnz1568/getInfo.php?workbook=07_01.xlsx&amp;sheet=A0&amp;row=91&amp;col=12&amp;number=&amp;sourceID=11","")</f>
        <v/>
      </c>
      <c r="M91" s="4" t="str">
        <f>HYPERLINK("http://141.218.60.56/~jnz1568/getInfo.php?workbook=07_01.xlsx&amp;sheet=A0&amp;row=91&amp;col=13&amp;number=132.3&amp;sourceID=12","132.3")</f>
        <v>132.3</v>
      </c>
      <c r="N91" s="4" t="str">
        <f>HYPERLINK("http://141.218.60.56/~jnz1568/getInfo.php?workbook=07_01.xlsx&amp;sheet=A0&amp;row=91&amp;col=14&amp;number=&amp;sourceID=12","")</f>
        <v/>
      </c>
      <c r="O91" s="4" t="str">
        <f>HYPERLINK("http://141.218.60.56/~jnz1568/getInfo.php?workbook=07_01.xlsx&amp;sheet=A0&amp;row=91&amp;col=15&amp;number=&amp;sourceID=12","")</f>
        <v/>
      </c>
      <c r="P91" s="4" t="str">
        <f>HYPERLINK("http://141.218.60.56/~jnz1568/getInfo.php?workbook=07_01.xlsx&amp;sheet=A0&amp;row=91&amp;col=16&amp;number=0.00024396&amp;sourceID=12","0.00024396")</f>
        <v>0.00024396</v>
      </c>
      <c r="Q91" s="4" t="str">
        <f>HYPERLINK("http://141.218.60.56/~jnz1568/getInfo.php?workbook=07_01.xlsx&amp;sheet=A0&amp;row=91&amp;col=17&amp;number=&amp;sourceID=12","")</f>
        <v/>
      </c>
      <c r="R91" s="4" t="str">
        <f>HYPERLINK("http://141.218.60.56/~jnz1568/getInfo.php?workbook=07_01.xlsx&amp;sheet=A0&amp;row=91&amp;col=18&amp;number=132.3&amp;sourceID=12","132.3")</f>
        <v>132.3</v>
      </c>
      <c r="S91" s="4" t="str">
        <f>HYPERLINK("http://141.218.60.56/~jnz1568/getInfo.php?workbook=07_01.xlsx&amp;sheet=A0&amp;row=91&amp;col=19&amp;number=&amp;sourceID=12","")</f>
        <v/>
      </c>
      <c r="T91" s="4" t="str">
        <f>HYPERLINK("http://141.218.60.56/~jnz1568/getInfo.php?workbook=07_01.xlsx&amp;sheet=A0&amp;row=91&amp;col=20&amp;number==&amp;sourceID=30","=")</f>
        <v>=</v>
      </c>
      <c r="U91" s="4" t="str">
        <f>HYPERLINK("http://141.218.60.56/~jnz1568/getInfo.php?workbook=07_01.xlsx&amp;sheet=A0&amp;row=91&amp;col=21&amp;number=&amp;sourceID=30","")</f>
        <v/>
      </c>
      <c r="V91" s="4" t="str">
        <f>HYPERLINK("http://141.218.60.56/~jnz1568/getInfo.php?workbook=07_01.xlsx&amp;sheet=A0&amp;row=91&amp;col=22&amp;number=&amp;sourceID=30","")</f>
        <v/>
      </c>
      <c r="W91" s="4" t="str">
        <f>HYPERLINK("http://141.218.60.56/~jnz1568/getInfo.php?workbook=07_01.xlsx&amp;sheet=A0&amp;row=91&amp;col=23&amp;number=&amp;sourceID=30","")</f>
        <v/>
      </c>
      <c r="X91" s="4" t="str">
        <f>HYPERLINK("http://141.218.60.56/~jnz1568/getInfo.php?workbook=07_01.xlsx&amp;sheet=A0&amp;row=91&amp;col=24&amp;number=132.3&amp;sourceID=30","132.3")</f>
        <v>132.3</v>
      </c>
      <c r="Y91" s="4" t="str">
        <f>HYPERLINK("http://141.218.60.56/~jnz1568/getInfo.php?workbook=07_01.xlsx&amp;sheet=A0&amp;row=91&amp;col=25&amp;number==&amp;sourceID=13","=")</f>
        <v>=</v>
      </c>
      <c r="Z91" s="4" t="str">
        <f>HYPERLINK("http://141.218.60.56/~jnz1568/getInfo.php?workbook=07_01.xlsx&amp;sheet=A0&amp;row=91&amp;col=26&amp;number=&amp;sourceID=13","")</f>
        <v/>
      </c>
      <c r="AA91" s="4" t="str">
        <f>HYPERLINK("http://141.218.60.56/~jnz1568/getInfo.php?workbook=07_01.xlsx&amp;sheet=A0&amp;row=91&amp;col=27&amp;number=&amp;sourceID=13","")</f>
        <v/>
      </c>
      <c r="AB91" s="4" t="str">
        <f>HYPERLINK("http://141.218.60.56/~jnz1568/getInfo.php?workbook=07_01.xlsx&amp;sheet=A0&amp;row=91&amp;col=28&amp;number=0.056&amp;sourceID=13","0.056")</f>
        <v>0.056</v>
      </c>
      <c r="AC91" s="4" t="str">
        <f>HYPERLINK("http://141.218.60.56/~jnz1568/getInfo.php?workbook=07_01.xlsx&amp;sheet=A0&amp;row=91&amp;col=29&amp;number=&amp;sourceID=13","")</f>
        <v/>
      </c>
      <c r="AD91" s="4" t="str">
        <f>HYPERLINK("http://141.218.60.56/~jnz1568/getInfo.php?workbook=07_01.xlsx&amp;sheet=A0&amp;row=91&amp;col=30&amp;number=528&amp;sourceID=13","528")</f>
        <v>528</v>
      </c>
    </row>
    <row r="92" spans="1:30">
      <c r="A92" s="3">
        <v>7</v>
      </c>
      <c r="B92" s="3">
        <v>1</v>
      </c>
      <c r="C92" s="3">
        <v>15</v>
      </c>
      <c r="D92" s="3">
        <v>3</v>
      </c>
      <c r="E92" s="3">
        <f>((1/(INDEX(E0!J$4:J$28,C92,1)-INDEX(E0!J$4:J$28,D92,1))))*100000000</f>
        <v>0</v>
      </c>
      <c r="F92" s="4" t="str">
        <f>HYPERLINK("http://141.218.60.56/~jnz1568/getInfo.php?workbook=07_01.xlsx&amp;sheet=A0&amp;row=92&amp;col=6&amp;number==&amp;sourceID=11","=")</f>
        <v>=</v>
      </c>
      <c r="G92" s="4" t="str">
        <f>HYPERLINK("http://141.218.60.56/~jnz1568/getInfo.php?workbook=07_01.xlsx&amp;sheet=A0&amp;row=92&amp;col=7&amp;number=&amp;sourceID=11","")</f>
        <v/>
      </c>
      <c r="H92" s="4" t="str">
        <f>HYPERLINK("http://141.218.60.56/~jnz1568/getInfo.php?workbook=07_01.xlsx&amp;sheet=A0&amp;row=92&amp;col=8&amp;number=611510&amp;sourceID=11","611510")</f>
        <v>611510</v>
      </c>
      <c r="I92" s="4" t="str">
        <f>HYPERLINK("http://141.218.60.56/~jnz1568/getInfo.php?workbook=07_01.xlsx&amp;sheet=A0&amp;row=92&amp;col=9&amp;number=&amp;sourceID=11","")</f>
        <v/>
      </c>
      <c r="J92" s="4" t="str">
        <f>HYPERLINK("http://141.218.60.56/~jnz1568/getInfo.php?workbook=07_01.xlsx&amp;sheet=A0&amp;row=92&amp;col=10&amp;number=&amp;sourceID=11","")</f>
        <v/>
      </c>
      <c r="K92" s="4" t="str">
        <f>HYPERLINK("http://141.218.60.56/~jnz1568/getInfo.php?workbook=07_01.xlsx&amp;sheet=A0&amp;row=92&amp;col=11&amp;number=&amp;sourceID=11","")</f>
        <v/>
      </c>
      <c r="L92" s="4" t="str">
        <f>HYPERLINK("http://141.218.60.56/~jnz1568/getInfo.php?workbook=07_01.xlsx&amp;sheet=A0&amp;row=92&amp;col=12&amp;number=0.0081454&amp;sourceID=11","0.0081454")</f>
        <v>0.0081454</v>
      </c>
      <c r="M92" s="4" t="str">
        <f>HYPERLINK("http://141.218.60.56/~jnz1568/getInfo.php?workbook=07_01.xlsx&amp;sheet=A0&amp;row=92&amp;col=13&amp;number=611530&amp;sourceID=12","611530")</f>
        <v>611530</v>
      </c>
      <c r="N92" s="4" t="str">
        <f>HYPERLINK("http://141.218.60.56/~jnz1568/getInfo.php?workbook=07_01.xlsx&amp;sheet=A0&amp;row=92&amp;col=14&amp;number=&amp;sourceID=12","")</f>
        <v/>
      </c>
      <c r="O92" s="4" t="str">
        <f>HYPERLINK("http://141.218.60.56/~jnz1568/getInfo.php?workbook=07_01.xlsx&amp;sheet=A0&amp;row=92&amp;col=15&amp;number=611530&amp;sourceID=12","611530")</f>
        <v>611530</v>
      </c>
      <c r="P92" s="4" t="str">
        <f>HYPERLINK("http://141.218.60.56/~jnz1568/getInfo.php?workbook=07_01.xlsx&amp;sheet=A0&amp;row=92&amp;col=16&amp;number=&amp;sourceID=12","")</f>
        <v/>
      </c>
      <c r="Q92" s="4" t="str">
        <f>HYPERLINK("http://141.218.60.56/~jnz1568/getInfo.php?workbook=07_01.xlsx&amp;sheet=A0&amp;row=92&amp;col=17&amp;number=&amp;sourceID=12","")</f>
        <v/>
      </c>
      <c r="R92" s="4" t="str">
        <f>HYPERLINK("http://141.218.60.56/~jnz1568/getInfo.php?workbook=07_01.xlsx&amp;sheet=A0&amp;row=92&amp;col=18&amp;number=&amp;sourceID=12","")</f>
        <v/>
      </c>
      <c r="S92" s="4" t="str">
        <f>HYPERLINK("http://141.218.60.56/~jnz1568/getInfo.php?workbook=07_01.xlsx&amp;sheet=A0&amp;row=92&amp;col=19&amp;number=0.0081457&amp;sourceID=12","0.0081457")</f>
        <v>0.0081457</v>
      </c>
      <c r="T92" s="4" t="str">
        <f>HYPERLINK("http://141.218.60.56/~jnz1568/getInfo.php?workbook=07_01.xlsx&amp;sheet=A0&amp;row=92&amp;col=20&amp;number==&amp;sourceID=30","=")</f>
        <v>=</v>
      </c>
      <c r="U92" s="4" t="str">
        <f>HYPERLINK("http://141.218.60.56/~jnz1568/getInfo.php?workbook=07_01.xlsx&amp;sheet=A0&amp;row=92&amp;col=21&amp;number=&amp;sourceID=30","")</f>
        <v/>
      </c>
      <c r="V92" s="4" t="str">
        <f>HYPERLINK("http://141.218.60.56/~jnz1568/getInfo.php?workbook=07_01.xlsx&amp;sheet=A0&amp;row=92&amp;col=22&amp;number=611500&amp;sourceID=30","611500")</f>
        <v>611500</v>
      </c>
      <c r="W92" s="4" t="str">
        <f>HYPERLINK("http://141.218.60.56/~jnz1568/getInfo.php?workbook=07_01.xlsx&amp;sheet=A0&amp;row=92&amp;col=23&amp;number=&amp;sourceID=30","")</f>
        <v/>
      </c>
      <c r="X92" s="4" t="str">
        <f>HYPERLINK("http://141.218.60.56/~jnz1568/getInfo.php?workbook=07_01.xlsx&amp;sheet=A0&amp;row=92&amp;col=24&amp;number=&amp;sourceID=30","")</f>
        <v/>
      </c>
      <c r="Y92" s="4" t="str">
        <f>HYPERLINK("http://141.218.60.56/~jnz1568/getInfo.php?workbook=07_01.xlsx&amp;sheet=A0&amp;row=92&amp;col=25&amp;number==&amp;sourceID=13","=")</f>
        <v>=</v>
      </c>
      <c r="Z92" s="4" t="str">
        <f>HYPERLINK("http://141.218.60.56/~jnz1568/getInfo.php?workbook=07_01.xlsx&amp;sheet=A0&amp;row=92&amp;col=26&amp;number=&amp;sourceID=13","")</f>
        <v/>
      </c>
      <c r="AA92" s="4" t="str">
        <f>HYPERLINK("http://141.218.60.56/~jnz1568/getInfo.php?workbook=07_01.xlsx&amp;sheet=A0&amp;row=92&amp;col=27&amp;number=599000&amp;sourceID=13","599000")</f>
        <v>599000</v>
      </c>
      <c r="AB92" s="4" t="str">
        <f>HYPERLINK("http://141.218.60.56/~jnz1568/getInfo.php?workbook=07_01.xlsx&amp;sheet=A0&amp;row=92&amp;col=28&amp;number=&amp;sourceID=13","")</f>
        <v/>
      </c>
      <c r="AC92" s="4" t="str">
        <f>HYPERLINK("http://141.218.60.56/~jnz1568/getInfo.php?workbook=07_01.xlsx&amp;sheet=A0&amp;row=92&amp;col=29&amp;number=&amp;sourceID=13","")</f>
        <v/>
      </c>
      <c r="AD92" s="4" t="str">
        <f>HYPERLINK("http://141.218.60.56/~jnz1568/getInfo.php?workbook=07_01.xlsx&amp;sheet=A0&amp;row=92&amp;col=30&amp;number=&amp;sourceID=13","")</f>
        <v/>
      </c>
    </row>
    <row r="93" spans="1:30">
      <c r="A93" s="3">
        <v>7</v>
      </c>
      <c r="B93" s="3">
        <v>1</v>
      </c>
      <c r="C93" s="3">
        <v>15</v>
      </c>
      <c r="D93" s="3">
        <v>4</v>
      </c>
      <c r="E93" s="3">
        <f>((1/(INDEX(E0!J$4:J$28,C93,1)-INDEX(E0!J$4:J$28,D93,1))))*100000000</f>
        <v>0</v>
      </c>
      <c r="F93" s="4" t="str">
        <f>HYPERLINK("http://141.218.60.56/~jnz1568/getInfo.php?workbook=07_01.xlsx&amp;sheet=A0&amp;row=93&amp;col=6&amp;number==&amp;sourceID=11","=")</f>
        <v>=</v>
      </c>
      <c r="G93" s="4" t="str">
        <f>HYPERLINK("http://141.218.60.56/~jnz1568/getInfo.php?workbook=07_01.xlsx&amp;sheet=A0&amp;row=93&amp;col=7&amp;number=49546000000&amp;sourceID=11","49546000000")</f>
        <v>49546000000</v>
      </c>
      <c r="H93" s="4" t="str">
        <f>HYPERLINK("http://141.218.60.56/~jnz1568/getInfo.php?workbook=07_01.xlsx&amp;sheet=A0&amp;row=93&amp;col=8&amp;number=&amp;sourceID=11","")</f>
        <v/>
      </c>
      <c r="I93" s="4" t="str">
        <f>HYPERLINK("http://141.218.60.56/~jnz1568/getInfo.php?workbook=07_01.xlsx&amp;sheet=A0&amp;row=93&amp;col=9&amp;number=1.732e-06&amp;sourceID=11","1.732e-06")</f>
        <v>1.732e-06</v>
      </c>
      <c r="J93" s="4" t="str">
        <f>HYPERLINK("http://141.218.60.56/~jnz1568/getInfo.php?workbook=07_01.xlsx&amp;sheet=A0&amp;row=93&amp;col=10&amp;number=&amp;sourceID=11","")</f>
        <v/>
      </c>
      <c r="K93" s="4" t="str">
        <f>HYPERLINK("http://141.218.60.56/~jnz1568/getInfo.php?workbook=07_01.xlsx&amp;sheet=A0&amp;row=93&amp;col=11&amp;number=720.62&amp;sourceID=11","720.62")</f>
        <v>720.62</v>
      </c>
      <c r="L93" s="4" t="str">
        <f>HYPERLINK("http://141.218.60.56/~jnz1568/getInfo.php?workbook=07_01.xlsx&amp;sheet=A0&amp;row=93&amp;col=12&amp;number=&amp;sourceID=11","")</f>
        <v/>
      </c>
      <c r="M93" s="4" t="str">
        <f>HYPERLINK("http://141.218.60.56/~jnz1568/getInfo.php?workbook=07_01.xlsx&amp;sheet=A0&amp;row=93&amp;col=13&amp;number=49548000000&amp;sourceID=12","49548000000")</f>
        <v>49548000000</v>
      </c>
      <c r="N93" s="4" t="str">
        <f>HYPERLINK("http://141.218.60.56/~jnz1568/getInfo.php?workbook=07_01.xlsx&amp;sheet=A0&amp;row=93&amp;col=14&amp;number=49548000000&amp;sourceID=12","49548000000")</f>
        <v>49548000000</v>
      </c>
      <c r="O93" s="4" t="str">
        <f>HYPERLINK("http://141.218.60.56/~jnz1568/getInfo.php?workbook=07_01.xlsx&amp;sheet=A0&amp;row=93&amp;col=15&amp;number=&amp;sourceID=12","")</f>
        <v/>
      </c>
      <c r="P93" s="4" t="str">
        <f>HYPERLINK("http://141.218.60.56/~jnz1568/getInfo.php?workbook=07_01.xlsx&amp;sheet=A0&amp;row=93&amp;col=16&amp;number=1.7327e-06&amp;sourceID=12","1.7327e-06")</f>
        <v>1.7327e-06</v>
      </c>
      <c r="Q93" s="4" t="str">
        <f>HYPERLINK("http://141.218.60.56/~jnz1568/getInfo.php?workbook=07_01.xlsx&amp;sheet=A0&amp;row=93&amp;col=17&amp;number=&amp;sourceID=12","")</f>
        <v/>
      </c>
      <c r="R93" s="4" t="str">
        <f>HYPERLINK("http://141.218.60.56/~jnz1568/getInfo.php?workbook=07_01.xlsx&amp;sheet=A0&amp;row=93&amp;col=18&amp;number=720.65&amp;sourceID=12","720.65")</f>
        <v>720.65</v>
      </c>
      <c r="S93" s="4" t="str">
        <f>HYPERLINK("http://141.218.60.56/~jnz1568/getInfo.php?workbook=07_01.xlsx&amp;sheet=A0&amp;row=93&amp;col=19&amp;number=&amp;sourceID=12","")</f>
        <v/>
      </c>
      <c r="T93" s="4" t="str">
        <f>HYPERLINK("http://141.218.60.56/~jnz1568/getInfo.php?workbook=07_01.xlsx&amp;sheet=A0&amp;row=93&amp;col=20&amp;number==&amp;sourceID=30","=")</f>
        <v>=</v>
      </c>
      <c r="U93" s="4" t="str">
        <f>HYPERLINK("http://141.218.60.56/~jnz1568/getInfo.php?workbook=07_01.xlsx&amp;sheet=A0&amp;row=93&amp;col=21&amp;number=49550000000&amp;sourceID=30","49550000000")</f>
        <v>49550000000</v>
      </c>
      <c r="V93" s="4" t="str">
        <f>HYPERLINK("http://141.218.60.56/~jnz1568/getInfo.php?workbook=07_01.xlsx&amp;sheet=A0&amp;row=93&amp;col=22&amp;number=&amp;sourceID=30","")</f>
        <v/>
      </c>
      <c r="W93" s="4" t="str">
        <f>HYPERLINK("http://141.218.60.56/~jnz1568/getInfo.php?workbook=07_01.xlsx&amp;sheet=A0&amp;row=93&amp;col=23&amp;number=&amp;sourceID=30","")</f>
        <v/>
      </c>
      <c r="X93" s="4" t="str">
        <f>HYPERLINK("http://141.218.60.56/~jnz1568/getInfo.php?workbook=07_01.xlsx&amp;sheet=A0&amp;row=93&amp;col=24&amp;number=720.7&amp;sourceID=30","720.7")</f>
        <v>720.7</v>
      </c>
      <c r="Y93" s="4" t="str">
        <f>HYPERLINK("http://141.218.60.56/~jnz1568/getInfo.php?workbook=07_01.xlsx&amp;sheet=A0&amp;row=93&amp;col=25&amp;number==&amp;sourceID=13","=")</f>
        <v>=</v>
      </c>
      <c r="Z93" s="4" t="str">
        <f>HYPERLINK("http://141.218.60.56/~jnz1568/getInfo.php?workbook=07_01.xlsx&amp;sheet=A0&amp;row=93&amp;col=26&amp;number=49500000000&amp;sourceID=13","49500000000")</f>
        <v>49500000000</v>
      </c>
      <c r="AA93" s="4" t="str">
        <f>HYPERLINK("http://141.218.60.56/~jnz1568/getInfo.php?workbook=07_01.xlsx&amp;sheet=A0&amp;row=93&amp;col=27&amp;number=&amp;sourceID=13","")</f>
        <v/>
      </c>
      <c r="AB93" s="4" t="str">
        <f>HYPERLINK("http://141.218.60.56/~jnz1568/getInfo.php?workbook=07_01.xlsx&amp;sheet=A0&amp;row=93&amp;col=28&amp;number=&amp;sourceID=13","")</f>
        <v/>
      </c>
      <c r="AC93" s="4" t="str">
        <f>HYPERLINK("http://141.218.60.56/~jnz1568/getInfo.php?workbook=07_01.xlsx&amp;sheet=A0&amp;row=93&amp;col=29&amp;number=&amp;sourceID=13","")</f>
        <v/>
      </c>
      <c r="AD93" s="4" t="str">
        <f>HYPERLINK("http://141.218.60.56/~jnz1568/getInfo.php?workbook=07_01.xlsx&amp;sheet=A0&amp;row=93&amp;col=30&amp;number=&amp;sourceID=13","")</f>
        <v/>
      </c>
    </row>
    <row r="94" spans="1:30">
      <c r="A94" s="3">
        <v>7</v>
      </c>
      <c r="B94" s="3">
        <v>1</v>
      </c>
      <c r="C94" s="3">
        <v>15</v>
      </c>
      <c r="D94" s="3">
        <v>5</v>
      </c>
      <c r="E94" s="3">
        <f>((1/(INDEX(E0!J$4:J$28,C94,1)-INDEX(E0!J$4:J$28,D94,1))))*100000000</f>
        <v>0</v>
      </c>
      <c r="F94" s="4" t="str">
        <f>HYPERLINK("http://141.218.60.56/~jnz1568/getInfo.php?workbook=07_01.xlsx&amp;sheet=A0&amp;row=94&amp;col=6&amp;number==&amp;sourceID=11","=")</f>
        <v>=</v>
      </c>
      <c r="G94" s="4" t="str">
        <f>HYPERLINK("http://141.218.60.56/~jnz1568/getInfo.php?workbook=07_01.xlsx&amp;sheet=A0&amp;row=94&amp;col=7&amp;number=&amp;sourceID=11","")</f>
        <v/>
      </c>
      <c r="H94" s="4" t="str">
        <f>HYPERLINK("http://141.218.60.56/~jnz1568/getInfo.php?workbook=07_01.xlsx&amp;sheet=A0&amp;row=94&amp;col=8&amp;number=&amp;sourceID=11","")</f>
        <v/>
      </c>
      <c r="I94" s="4" t="str">
        <f>HYPERLINK("http://141.218.60.56/~jnz1568/getInfo.php?workbook=07_01.xlsx&amp;sheet=A0&amp;row=94&amp;col=9&amp;number=4.0475&amp;sourceID=11","4.0475")</f>
        <v>4.0475</v>
      </c>
      <c r="J94" s="4" t="str">
        <f>HYPERLINK("http://141.218.60.56/~jnz1568/getInfo.php?workbook=07_01.xlsx&amp;sheet=A0&amp;row=94&amp;col=10&amp;number=&amp;sourceID=11","")</f>
        <v/>
      </c>
      <c r="K94" s="4" t="str">
        <f>HYPERLINK("http://141.218.60.56/~jnz1568/getInfo.php?workbook=07_01.xlsx&amp;sheet=A0&amp;row=94&amp;col=11&amp;number=3.0291&amp;sourceID=11","3.0291")</f>
        <v>3.0291</v>
      </c>
      <c r="L94" s="4" t="str">
        <f>HYPERLINK("http://141.218.60.56/~jnz1568/getInfo.php?workbook=07_01.xlsx&amp;sheet=A0&amp;row=94&amp;col=12&amp;number=&amp;sourceID=11","")</f>
        <v/>
      </c>
      <c r="M94" s="4" t="str">
        <f>HYPERLINK("http://141.218.60.56/~jnz1568/getInfo.php?workbook=07_01.xlsx&amp;sheet=A0&amp;row=94&amp;col=13&amp;number=7.0768&amp;sourceID=12","7.0768")</f>
        <v>7.0768</v>
      </c>
      <c r="N94" s="4" t="str">
        <f>HYPERLINK("http://141.218.60.56/~jnz1568/getInfo.php?workbook=07_01.xlsx&amp;sheet=A0&amp;row=94&amp;col=14&amp;number=&amp;sourceID=12","")</f>
        <v/>
      </c>
      <c r="O94" s="4" t="str">
        <f>HYPERLINK("http://141.218.60.56/~jnz1568/getInfo.php?workbook=07_01.xlsx&amp;sheet=A0&amp;row=94&amp;col=15&amp;number=&amp;sourceID=12","")</f>
        <v/>
      </c>
      <c r="P94" s="4" t="str">
        <f>HYPERLINK("http://141.218.60.56/~jnz1568/getInfo.php?workbook=07_01.xlsx&amp;sheet=A0&amp;row=94&amp;col=16&amp;number=4.0476&amp;sourceID=12","4.0476")</f>
        <v>4.0476</v>
      </c>
      <c r="Q94" s="4" t="str">
        <f>HYPERLINK("http://141.218.60.56/~jnz1568/getInfo.php?workbook=07_01.xlsx&amp;sheet=A0&amp;row=94&amp;col=17&amp;number=&amp;sourceID=12","")</f>
        <v/>
      </c>
      <c r="R94" s="4" t="str">
        <f>HYPERLINK("http://141.218.60.56/~jnz1568/getInfo.php?workbook=07_01.xlsx&amp;sheet=A0&amp;row=94&amp;col=18&amp;number=3.0292&amp;sourceID=12","3.0292")</f>
        <v>3.0292</v>
      </c>
      <c r="S94" s="4" t="str">
        <f>HYPERLINK("http://141.218.60.56/~jnz1568/getInfo.php?workbook=07_01.xlsx&amp;sheet=A0&amp;row=94&amp;col=19&amp;number=&amp;sourceID=12","")</f>
        <v/>
      </c>
      <c r="T94" s="4" t="str">
        <f>HYPERLINK("http://141.218.60.56/~jnz1568/getInfo.php?workbook=07_01.xlsx&amp;sheet=A0&amp;row=94&amp;col=20&amp;number==&amp;sourceID=30","=")</f>
        <v>=</v>
      </c>
      <c r="U94" s="4" t="str">
        <f>HYPERLINK("http://141.218.60.56/~jnz1568/getInfo.php?workbook=07_01.xlsx&amp;sheet=A0&amp;row=94&amp;col=21&amp;number=&amp;sourceID=30","")</f>
        <v/>
      </c>
      <c r="V94" s="4" t="str">
        <f>HYPERLINK("http://141.218.60.56/~jnz1568/getInfo.php?workbook=07_01.xlsx&amp;sheet=A0&amp;row=94&amp;col=22&amp;number=&amp;sourceID=30","")</f>
        <v/>
      </c>
      <c r="W94" s="4" t="str">
        <f>HYPERLINK("http://141.218.60.56/~jnz1568/getInfo.php?workbook=07_01.xlsx&amp;sheet=A0&amp;row=94&amp;col=23&amp;number=&amp;sourceID=30","")</f>
        <v/>
      </c>
      <c r="X94" s="4" t="str">
        <f>HYPERLINK("http://141.218.60.56/~jnz1568/getInfo.php?workbook=07_01.xlsx&amp;sheet=A0&amp;row=94&amp;col=24&amp;number=3.029&amp;sourceID=30","3.029")</f>
        <v>3.029</v>
      </c>
      <c r="Y94" s="4" t="str">
        <f>HYPERLINK("http://141.218.60.56/~jnz1568/getInfo.php?workbook=07_01.xlsx&amp;sheet=A0&amp;row=94&amp;col=25&amp;number==&amp;sourceID=13","=")</f>
        <v>=</v>
      </c>
      <c r="Z94" s="4" t="str">
        <f>HYPERLINK("http://141.218.60.56/~jnz1568/getInfo.php?workbook=07_01.xlsx&amp;sheet=A0&amp;row=94&amp;col=26&amp;number=&amp;sourceID=13","")</f>
        <v/>
      </c>
      <c r="AA94" s="4" t="str">
        <f>HYPERLINK("http://141.218.60.56/~jnz1568/getInfo.php?workbook=07_01.xlsx&amp;sheet=A0&amp;row=94&amp;col=27&amp;number=&amp;sourceID=13","")</f>
        <v/>
      </c>
      <c r="AB94" s="4" t="str">
        <f>HYPERLINK("http://141.218.60.56/~jnz1568/getInfo.php?workbook=07_01.xlsx&amp;sheet=A0&amp;row=94&amp;col=28&amp;number=6.28&amp;sourceID=13","6.28")</f>
        <v>6.28</v>
      </c>
      <c r="AC94" s="4" t="str">
        <f>HYPERLINK("http://141.218.60.56/~jnz1568/getInfo.php?workbook=07_01.xlsx&amp;sheet=A0&amp;row=94&amp;col=29&amp;number=&amp;sourceID=13","")</f>
        <v/>
      </c>
      <c r="AD94" s="4" t="str">
        <f>HYPERLINK("http://141.218.60.56/~jnz1568/getInfo.php?workbook=07_01.xlsx&amp;sheet=A0&amp;row=94&amp;col=30&amp;number=12.1&amp;sourceID=13","12.1")</f>
        <v>12.1</v>
      </c>
    </row>
    <row r="95" spans="1:30">
      <c r="A95" s="3">
        <v>7</v>
      </c>
      <c r="B95" s="3">
        <v>1</v>
      </c>
      <c r="C95" s="3">
        <v>15</v>
      </c>
      <c r="D95" s="3">
        <v>6</v>
      </c>
      <c r="E95" s="3">
        <f>((1/(INDEX(E0!J$4:J$28,C95,1)-INDEX(E0!J$4:J$28,D95,1))))*100000000</f>
        <v>0</v>
      </c>
      <c r="F95" s="4" t="str">
        <f>HYPERLINK("http://141.218.60.56/~jnz1568/getInfo.php?workbook=07_01.xlsx&amp;sheet=A0&amp;row=95&amp;col=6&amp;number==&amp;sourceID=11","=")</f>
        <v>=</v>
      </c>
      <c r="G95" s="4" t="str">
        <f>HYPERLINK("http://141.218.60.56/~jnz1568/getInfo.php?workbook=07_01.xlsx&amp;sheet=A0&amp;row=95&amp;col=7&amp;number=&amp;sourceID=11","")</f>
        <v/>
      </c>
      <c r="H95" s="4" t="str">
        <f>HYPERLINK("http://141.218.60.56/~jnz1568/getInfo.php?workbook=07_01.xlsx&amp;sheet=A0&amp;row=95&amp;col=8&amp;number=443790&amp;sourceID=11","443790")</f>
        <v>443790</v>
      </c>
      <c r="I95" s="4" t="str">
        <f>HYPERLINK("http://141.218.60.56/~jnz1568/getInfo.php?workbook=07_01.xlsx&amp;sheet=A0&amp;row=95&amp;col=9&amp;number=&amp;sourceID=11","")</f>
        <v/>
      </c>
      <c r="J95" s="4" t="str">
        <f>HYPERLINK("http://141.218.60.56/~jnz1568/getInfo.php?workbook=07_01.xlsx&amp;sheet=A0&amp;row=95&amp;col=10&amp;number=&amp;sourceID=11","")</f>
        <v/>
      </c>
      <c r="K95" s="4" t="str">
        <f>HYPERLINK("http://141.218.60.56/~jnz1568/getInfo.php?workbook=07_01.xlsx&amp;sheet=A0&amp;row=95&amp;col=11&amp;number=&amp;sourceID=11","")</f>
        <v/>
      </c>
      <c r="L95" s="4" t="str">
        <f>HYPERLINK("http://141.218.60.56/~jnz1568/getInfo.php?workbook=07_01.xlsx&amp;sheet=A0&amp;row=95&amp;col=12&amp;number=0.00039776&amp;sourceID=11","0.00039776")</f>
        <v>0.00039776</v>
      </c>
      <c r="M95" s="4" t="str">
        <f>HYPERLINK("http://141.218.60.56/~jnz1568/getInfo.php?workbook=07_01.xlsx&amp;sheet=A0&amp;row=95&amp;col=13&amp;number=443810&amp;sourceID=12","443810")</f>
        <v>443810</v>
      </c>
      <c r="N95" s="4" t="str">
        <f>HYPERLINK("http://141.218.60.56/~jnz1568/getInfo.php?workbook=07_01.xlsx&amp;sheet=A0&amp;row=95&amp;col=14&amp;number=&amp;sourceID=12","")</f>
        <v/>
      </c>
      <c r="O95" s="4" t="str">
        <f>HYPERLINK("http://141.218.60.56/~jnz1568/getInfo.php?workbook=07_01.xlsx&amp;sheet=A0&amp;row=95&amp;col=15&amp;number=443810&amp;sourceID=12","443810")</f>
        <v>443810</v>
      </c>
      <c r="P95" s="4" t="str">
        <f>HYPERLINK("http://141.218.60.56/~jnz1568/getInfo.php?workbook=07_01.xlsx&amp;sheet=A0&amp;row=95&amp;col=16&amp;number=&amp;sourceID=12","")</f>
        <v/>
      </c>
      <c r="Q95" s="4" t="str">
        <f>HYPERLINK("http://141.218.60.56/~jnz1568/getInfo.php?workbook=07_01.xlsx&amp;sheet=A0&amp;row=95&amp;col=17&amp;number=&amp;sourceID=12","")</f>
        <v/>
      </c>
      <c r="R95" s="4" t="str">
        <f>HYPERLINK("http://141.218.60.56/~jnz1568/getInfo.php?workbook=07_01.xlsx&amp;sheet=A0&amp;row=95&amp;col=18&amp;number=&amp;sourceID=12","")</f>
        <v/>
      </c>
      <c r="S95" s="4" t="str">
        <f>HYPERLINK("http://141.218.60.56/~jnz1568/getInfo.php?workbook=07_01.xlsx&amp;sheet=A0&amp;row=95&amp;col=19&amp;number=0.00039777&amp;sourceID=12","0.00039777")</f>
        <v>0.00039777</v>
      </c>
      <c r="T95" s="4" t="str">
        <f>HYPERLINK("http://141.218.60.56/~jnz1568/getInfo.php?workbook=07_01.xlsx&amp;sheet=A0&amp;row=95&amp;col=20&amp;number==&amp;sourceID=30","=")</f>
        <v>=</v>
      </c>
      <c r="U95" s="4" t="str">
        <f>HYPERLINK("http://141.218.60.56/~jnz1568/getInfo.php?workbook=07_01.xlsx&amp;sheet=A0&amp;row=95&amp;col=21&amp;number=&amp;sourceID=30","")</f>
        <v/>
      </c>
      <c r="V95" s="4" t="str">
        <f>HYPERLINK("http://141.218.60.56/~jnz1568/getInfo.php?workbook=07_01.xlsx&amp;sheet=A0&amp;row=95&amp;col=22&amp;number=443800&amp;sourceID=30","443800")</f>
        <v>443800</v>
      </c>
      <c r="W95" s="4" t="str">
        <f>HYPERLINK("http://141.218.60.56/~jnz1568/getInfo.php?workbook=07_01.xlsx&amp;sheet=A0&amp;row=95&amp;col=23&amp;number=&amp;sourceID=30","")</f>
        <v/>
      </c>
      <c r="X95" s="4" t="str">
        <f>HYPERLINK("http://141.218.60.56/~jnz1568/getInfo.php?workbook=07_01.xlsx&amp;sheet=A0&amp;row=95&amp;col=24&amp;number=&amp;sourceID=30","")</f>
        <v/>
      </c>
      <c r="Y95" s="4" t="str">
        <f>HYPERLINK("http://141.218.60.56/~jnz1568/getInfo.php?workbook=07_01.xlsx&amp;sheet=A0&amp;row=95&amp;col=25&amp;number==&amp;sourceID=13","=")</f>
        <v>=</v>
      </c>
      <c r="Z95" s="4" t="str">
        <f>HYPERLINK("http://141.218.60.56/~jnz1568/getInfo.php?workbook=07_01.xlsx&amp;sheet=A0&amp;row=95&amp;col=26&amp;number=&amp;sourceID=13","")</f>
        <v/>
      </c>
      <c r="AA95" s="4" t="str">
        <f>HYPERLINK("http://141.218.60.56/~jnz1568/getInfo.php?workbook=07_01.xlsx&amp;sheet=A0&amp;row=95&amp;col=27&amp;number=443000&amp;sourceID=13","443000")</f>
        <v>443000</v>
      </c>
      <c r="AB95" s="4" t="str">
        <f>HYPERLINK("http://141.218.60.56/~jnz1568/getInfo.php?workbook=07_01.xlsx&amp;sheet=A0&amp;row=95&amp;col=28&amp;number=&amp;sourceID=13","")</f>
        <v/>
      </c>
      <c r="AC95" s="4" t="str">
        <f>HYPERLINK("http://141.218.60.56/~jnz1568/getInfo.php?workbook=07_01.xlsx&amp;sheet=A0&amp;row=95&amp;col=29&amp;number=&amp;sourceID=13","")</f>
        <v/>
      </c>
      <c r="AD95" s="4" t="str">
        <f>HYPERLINK("http://141.218.60.56/~jnz1568/getInfo.php?workbook=07_01.xlsx&amp;sheet=A0&amp;row=95&amp;col=30&amp;number=&amp;sourceID=13","")</f>
        <v/>
      </c>
    </row>
    <row r="96" spans="1:30">
      <c r="A96" s="3">
        <v>7</v>
      </c>
      <c r="B96" s="3">
        <v>1</v>
      </c>
      <c r="C96" s="3">
        <v>15</v>
      </c>
      <c r="D96" s="3">
        <v>7</v>
      </c>
      <c r="E96" s="3">
        <f>((1/(INDEX(E0!J$4:J$28,C96,1)-INDEX(E0!J$4:J$28,D96,1))))*100000000</f>
        <v>0</v>
      </c>
      <c r="F96" s="4" t="str">
        <f>HYPERLINK("http://141.218.60.56/~jnz1568/getInfo.php?workbook=07_01.xlsx&amp;sheet=A0&amp;row=96&amp;col=6&amp;number==&amp;sourceID=11","=")</f>
        <v>=</v>
      </c>
      <c r="G96" s="4" t="str">
        <f>HYPERLINK("http://141.218.60.56/~jnz1568/getInfo.php?workbook=07_01.xlsx&amp;sheet=A0&amp;row=96&amp;col=7&amp;number=&amp;sourceID=11","")</f>
        <v/>
      </c>
      <c r="H96" s="4" t="str">
        <f>HYPERLINK("http://141.218.60.56/~jnz1568/getInfo.php?workbook=07_01.xlsx&amp;sheet=A0&amp;row=96&amp;col=8&amp;number=28015&amp;sourceID=11","28015")</f>
        <v>28015</v>
      </c>
      <c r="I96" s="4" t="str">
        <f>HYPERLINK("http://141.218.60.56/~jnz1568/getInfo.php?workbook=07_01.xlsx&amp;sheet=A0&amp;row=96&amp;col=9&amp;number=&amp;sourceID=11","")</f>
        <v/>
      </c>
      <c r="J96" s="4" t="str">
        <f>HYPERLINK("http://141.218.60.56/~jnz1568/getInfo.php?workbook=07_01.xlsx&amp;sheet=A0&amp;row=96&amp;col=10&amp;number=0.0040475&amp;sourceID=11","0.0040475")</f>
        <v>0.0040475</v>
      </c>
      <c r="K96" s="4" t="str">
        <f>HYPERLINK("http://141.218.60.56/~jnz1568/getInfo.php?workbook=07_01.xlsx&amp;sheet=A0&amp;row=96&amp;col=11&amp;number=&amp;sourceID=11","")</f>
        <v/>
      </c>
      <c r="L96" s="4" t="str">
        <f>HYPERLINK("http://141.218.60.56/~jnz1568/getInfo.php?workbook=07_01.xlsx&amp;sheet=A0&amp;row=96&amp;col=12&amp;number=1.432e-06&amp;sourceID=11","1.432e-06")</f>
        <v>1.432e-06</v>
      </c>
      <c r="M96" s="4" t="str">
        <f>HYPERLINK("http://141.218.60.56/~jnz1568/getInfo.php?workbook=07_01.xlsx&amp;sheet=A0&amp;row=96&amp;col=13&amp;number=28016&amp;sourceID=12","28016")</f>
        <v>28016</v>
      </c>
      <c r="N96" s="4" t="str">
        <f>HYPERLINK("http://141.218.60.56/~jnz1568/getInfo.php?workbook=07_01.xlsx&amp;sheet=A0&amp;row=96&amp;col=14&amp;number=&amp;sourceID=12","")</f>
        <v/>
      </c>
      <c r="O96" s="4" t="str">
        <f>HYPERLINK("http://141.218.60.56/~jnz1568/getInfo.php?workbook=07_01.xlsx&amp;sheet=A0&amp;row=96&amp;col=15&amp;number=28016&amp;sourceID=12","28016")</f>
        <v>28016</v>
      </c>
      <c r="P96" s="4" t="str">
        <f>HYPERLINK("http://141.218.60.56/~jnz1568/getInfo.php?workbook=07_01.xlsx&amp;sheet=A0&amp;row=96&amp;col=16&amp;number=&amp;sourceID=12","")</f>
        <v/>
      </c>
      <c r="Q96" s="4" t="str">
        <f>HYPERLINK("http://141.218.60.56/~jnz1568/getInfo.php?workbook=07_01.xlsx&amp;sheet=A0&amp;row=96&amp;col=17&amp;number=0.0040477&amp;sourceID=12","0.0040477")</f>
        <v>0.0040477</v>
      </c>
      <c r="R96" s="4" t="str">
        <f>HYPERLINK("http://141.218.60.56/~jnz1568/getInfo.php?workbook=07_01.xlsx&amp;sheet=A0&amp;row=96&amp;col=18&amp;number=&amp;sourceID=12","")</f>
        <v/>
      </c>
      <c r="S96" s="4" t="str">
        <f>HYPERLINK("http://141.218.60.56/~jnz1568/getInfo.php?workbook=07_01.xlsx&amp;sheet=A0&amp;row=96&amp;col=19&amp;number=1.432e-06&amp;sourceID=12","1.432e-06")</f>
        <v>1.432e-06</v>
      </c>
      <c r="T96" s="4" t="str">
        <f>HYPERLINK("http://141.218.60.56/~jnz1568/getInfo.php?workbook=07_01.xlsx&amp;sheet=A0&amp;row=96&amp;col=20&amp;number==&amp;sourceID=30","=")</f>
        <v>=</v>
      </c>
      <c r="U96" s="4" t="str">
        <f>HYPERLINK("http://141.218.60.56/~jnz1568/getInfo.php?workbook=07_01.xlsx&amp;sheet=A0&amp;row=96&amp;col=21&amp;number=&amp;sourceID=30","")</f>
        <v/>
      </c>
      <c r="V96" s="4" t="str">
        <f>HYPERLINK("http://141.218.60.56/~jnz1568/getInfo.php?workbook=07_01.xlsx&amp;sheet=A0&amp;row=96&amp;col=22&amp;number=28020&amp;sourceID=30","28020")</f>
        <v>28020</v>
      </c>
      <c r="W96" s="4" t="str">
        <f>HYPERLINK("http://141.218.60.56/~jnz1568/getInfo.php?workbook=07_01.xlsx&amp;sheet=A0&amp;row=96&amp;col=23&amp;number=0.004049&amp;sourceID=30","0.004049")</f>
        <v>0.004049</v>
      </c>
      <c r="X96" s="4" t="str">
        <f>HYPERLINK("http://141.218.60.56/~jnz1568/getInfo.php?workbook=07_01.xlsx&amp;sheet=A0&amp;row=96&amp;col=24&amp;number=&amp;sourceID=30","")</f>
        <v/>
      </c>
      <c r="Y96" s="4" t="str">
        <f>HYPERLINK("http://141.218.60.56/~jnz1568/getInfo.php?workbook=07_01.xlsx&amp;sheet=A0&amp;row=96&amp;col=25&amp;number==&amp;sourceID=13","=")</f>
        <v>=</v>
      </c>
      <c r="Z96" s="4" t="str">
        <f>HYPERLINK("http://141.218.60.56/~jnz1568/getInfo.php?workbook=07_01.xlsx&amp;sheet=A0&amp;row=96&amp;col=26&amp;number=&amp;sourceID=13","")</f>
        <v/>
      </c>
      <c r="AA96" s="4" t="str">
        <f>HYPERLINK("http://141.218.60.56/~jnz1568/getInfo.php?workbook=07_01.xlsx&amp;sheet=A0&amp;row=96&amp;col=27&amp;number=28000&amp;sourceID=13","28000")</f>
        <v>28000</v>
      </c>
      <c r="AB96" s="4" t="str">
        <f>HYPERLINK("http://141.218.60.56/~jnz1568/getInfo.php?workbook=07_01.xlsx&amp;sheet=A0&amp;row=96&amp;col=28&amp;number=&amp;sourceID=13","")</f>
        <v/>
      </c>
      <c r="AC96" s="4" t="str">
        <f>HYPERLINK("http://141.218.60.56/~jnz1568/getInfo.php?workbook=07_01.xlsx&amp;sheet=A0&amp;row=96&amp;col=29&amp;number=0.00348&amp;sourceID=13","0.00348")</f>
        <v>0.00348</v>
      </c>
      <c r="AD96" s="4" t="str">
        <f>HYPERLINK("http://141.218.60.56/~jnz1568/getInfo.php?workbook=07_01.xlsx&amp;sheet=A0&amp;row=96&amp;col=30&amp;number=&amp;sourceID=13","")</f>
        <v/>
      </c>
    </row>
    <row r="97" spans="1:30">
      <c r="A97" s="3">
        <v>7</v>
      </c>
      <c r="B97" s="3">
        <v>1</v>
      </c>
      <c r="C97" s="3">
        <v>15</v>
      </c>
      <c r="D97" s="3">
        <v>8</v>
      </c>
      <c r="E97" s="3">
        <f>((1/(INDEX(E0!J$4:J$28,C97,1)-INDEX(E0!J$4:J$28,D97,1))))*100000000</f>
        <v>0</v>
      </c>
      <c r="F97" s="4" t="str">
        <f>HYPERLINK("http://141.218.60.56/~jnz1568/getInfo.php?workbook=07_01.xlsx&amp;sheet=A0&amp;row=97&amp;col=6&amp;number==&amp;sourceID=11","=")</f>
        <v>=</v>
      </c>
      <c r="G97" s="4" t="str">
        <f>HYPERLINK("http://141.218.60.56/~jnz1568/getInfo.php?workbook=07_01.xlsx&amp;sheet=A0&amp;row=97&amp;col=7&amp;number=16905000000&amp;sourceID=11","16905000000")</f>
        <v>16905000000</v>
      </c>
      <c r="H97" s="4" t="str">
        <f>HYPERLINK("http://141.218.60.56/~jnz1568/getInfo.php?workbook=07_01.xlsx&amp;sheet=A0&amp;row=97&amp;col=8&amp;number=&amp;sourceID=11","")</f>
        <v/>
      </c>
      <c r="I97" s="4" t="str">
        <f>HYPERLINK("http://141.218.60.56/~jnz1568/getInfo.php?workbook=07_01.xlsx&amp;sheet=A0&amp;row=97&amp;col=9&amp;number=3.2257&amp;sourceID=11","3.2257")</f>
        <v>3.2257</v>
      </c>
      <c r="J97" s="4" t="str">
        <f>HYPERLINK("http://141.218.60.56/~jnz1568/getInfo.php?workbook=07_01.xlsx&amp;sheet=A0&amp;row=97&amp;col=10&amp;number=&amp;sourceID=11","")</f>
        <v/>
      </c>
      <c r="K97" s="4" t="str">
        <f>HYPERLINK("http://141.218.60.56/~jnz1568/getInfo.php?workbook=07_01.xlsx&amp;sheet=A0&amp;row=97&amp;col=11&amp;number=16.539&amp;sourceID=11","16.539")</f>
        <v>16.539</v>
      </c>
      <c r="L97" s="4" t="str">
        <f>HYPERLINK("http://141.218.60.56/~jnz1568/getInfo.php?workbook=07_01.xlsx&amp;sheet=A0&amp;row=97&amp;col=12&amp;number=&amp;sourceID=11","")</f>
        <v/>
      </c>
      <c r="M97" s="4" t="str">
        <f>HYPERLINK("http://141.218.60.56/~jnz1568/getInfo.php?workbook=07_01.xlsx&amp;sheet=A0&amp;row=97&amp;col=13&amp;number=16906000000&amp;sourceID=12","16906000000")</f>
        <v>16906000000</v>
      </c>
      <c r="N97" s="4" t="str">
        <f>HYPERLINK("http://141.218.60.56/~jnz1568/getInfo.php?workbook=07_01.xlsx&amp;sheet=A0&amp;row=97&amp;col=14&amp;number=16906000000&amp;sourceID=12","16906000000")</f>
        <v>16906000000</v>
      </c>
      <c r="O97" s="4" t="str">
        <f>HYPERLINK("http://141.218.60.56/~jnz1568/getInfo.php?workbook=07_01.xlsx&amp;sheet=A0&amp;row=97&amp;col=15&amp;number=&amp;sourceID=12","")</f>
        <v/>
      </c>
      <c r="P97" s="4" t="str">
        <f>HYPERLINK("http://141.218.60.56/~jnz1568/getInfo.php?workbook=07_01.xlsx&amp;sheet=A0&amp;row=97&amp;col=16&amp;number=3.2258&amp;sourceID=12","3.2258")</f>
        <v>3.2258</v>
      </c>
      <c r="Q97" s="4" t="str">
        <f>HYPERLINK("http://141.218.60.56/~jnz1568/getInfo.php?workbook=07_01.xlsx&amp;sheet=A0&amp;row=97&amp;col=17&amp;number=&amp;sourceID=12","")</f>
        <v/>
      </c>
      <c r="R97" s="4" t="str">
        <f>HYPERLINK("http://141.218.60.56/~jnz1568/getInfo.php?workbook=07_01.xlsx&amp;sheet=A0&amp;row=97&amp;col=18&amp;number=16.539&amp;sourceID=12","16.539")</f>
        <v>16.539</v>
      </c>
      <c r="S97" s="4" t="str">
        <f>HYPERLINK("http://141.218.60.56/~jnz1568/getInfo.php?workbook=07_01.xlsx&amp;sheet=A0&amp;row=97&amp;col=19&amp;number=&amp;sourceID=12","")</f>
        <v/>
      </c>
      <c r="T97" s="4" t="str">
        <f>HYPERLINK("http://141.218.60.56/~jnz1568/getInfo.php?workbook=07_01.xlsx&amp;sheet=A0&amp;row=97&amp;col=20&amp;number==&amp;sourceID=30","=")</f>
        <v>=</v>
      </c>
      <c r="U97" s="4" t="str">
        <f>HYPERLINK("http://141.218.60.56/~jnz1568/getInfo.php?workbook=07_01.xlsx&amp;sheet=A0&amp;row=97&amp;col=21&amp;number=16910000000&amp;sourceID=30","16910000000")</f>
        <v>16910000000</v>
      </c>
      <c r="V97" s="4" t="str">
        <f>HYPERLINK("http://141.218.60.56/~jnz1568/getInfo.php?workbook=07_01.xlsx&amp;sheet=A0&amp;row=97&amp;col=22&amp;number=&amp;sourceID=30","")</f>
        <v/>
      </c>
      <c r="W97" s="4" t="str">
        <f>HYPERLINK("http://141.218.60.56/~jnz1568/getInfo.php?workbook=07_01.xlsx&amp;sheet=A0&amp;row=97&amp;col=23&amp;number=&amp;sourceID=30","")</f>
        <v/>
      </c>
      <c r="X97" s="4" t="str">
        <f>HYPERLINK("http://141.218.60.56/~jnz1568/getInfo.php?workbook=07_01.xlsx&amp;sheet=A0&amp;row=97&amp;col=24&amp;number=16.54&amp;sourceID=30","16.54")</f>
        <v>16.54</v>
      </c>
      <c r="Y97" s="4" t="str">
        <f>HYPERLINK("http://141.218.60.56/~jnz1568/getInfo.php?workbook=07_01.xlsx&amp;sheet=A0&amp;row=97&amp;col=25&amp;number==&amp;sourceID=13","=")</f>
        <v>=</v>
      </c>
      <c r="Z97" s="4" t="str">
        <f>HYPERLINK("http://141.218.60.56/~jnz1568/getInfo.php?workbook=07_01.xlsx&amp;sheet=A0&amp;row=97&amp;col=26&amp;number=16900000000&amp;sourceID=13","16900000000")</f>
        <v>16900000000</v>
      </c>
      <c r="AA97" s="4" t="str">
        <f>HYPERLINK("http://141.218.60.56/~jnz1568/getInfo.php?workbook=07_01.xlsx&amp;sheet=A0&amp;row=97&amp;col=27&amp;number=&amp;sourceID=13","")</f>
        <v/>
      </c>
      <c r="AB97" s="4" t="str">
        <f>HYPERLINK("http://141.218.60.56/~jnz1568/getInfo.php?workbook=07_01.xlsx&amp;sheet=A0&amp;row=97&amp;col=28&amp;number=&amp;sourceID=13","")</f>
        <v/>
      </c>
      <c r="AC97" s="4" t="str">
        <f>HYPERLINK("http://141.218.60.56/~jnz1568/getInfo.php?workbook=07_01.xlsx&amp;sheet=A0&amp;row=97&amp;col=29&amp;number=&amp;sourceID=13","")</f>
        <v/>
      </c>
      <c r="AD97" s="4" t="str">
        <f>HYPERLINK("http://141.218.60.56/~jnz1568/getInfo.php?workbook=07_01.xlsx&amp;sheet=A0&amp;row=97&amp;col=30&amp;number=&amp;sourceID=13","")</f>
        <v/>
      </c>
    </row>
    <row r="98" spans="1:30">
      <c r="A98" s="3">
        <v>7</v>
      </c>
      <c r="B98" s="3">
        <v>1</v>
      </c>
      <c r="C98" s="3">
        <v>15</v>
      </c>
      <c r="D98" s="3">
        <v>9</v>
      </c>
      <c r="E98" s="3">
        <f>((1/(INDEX(E0!J$4:J$28,C98,1)-INDEX(E0!J$4:J$28,D98,1))))*100000000</f>
        <v>0</v>
      </c>
      <c r="F98" s="4" t="str">
        <f>HYPERLINK("http://141.218.60.56/~jnz1568/getInfo.php?workbook=07_01.xlsx&amp;sheet=A0&amp;row=98&amp;col=6&amp;number==&amp;sourceID=11","=")</f>
        <v>=</v>
      </c>
      <c r="G98" s="4" t="str">
        <f>HYPERLINK("http://141.218.60.56/~jnz1568/getInfo.php?workbook=07_01.xlsx&amp;sheet=A0&amp;row=98&amp;col=7&amp;number=&amp;sourceID=11","")</f>
        <v/>
      </c>
      <c r="H98" s="4" t="str">
        <f>HYPERLINK("http://141.218.60.56/~jnz1568/getInfo.php?workbook=07_01.xlsx&amp;sheet=A0&amp;row=98&amp;col=8&amp;number=112020&amp;sourceID=11","112020")</f>
        <v>112020</v>
      </c>
      <c r="I98" s="4" t="str">
        <f>HYPERLINK("http://141.218.60.56/~jnz1568/getInfo.php?workbook=07_01.xlsx&amp;sheet=A0&amp;row=98&amp;col=9&amp;number=&amp;sourceID=11","")</f>
        <v/>
      </c>
      <c r="J98" s="4" t="str">
        <f>HYPERLINK("http://141.218.60.56/~jnz1568/getInfo.php?workbook=07_01.xlsx&amp;sheet=A0&amp;row=98&amp;col=10&amp;number=0.017138&amp;sourceID=11","0.017138")</f>
        <v>0.017138</v>
      </c>
      <c r="K98" s="4" t="str">
        <f>HYPERLINK("http://141.218.60.56/~jnz1568/getInfo.php?workbook=07_01.xlsx&amp;sheet=A0&amp;row=98&amp;col=11&amp;number=&amp;sourceID=11","")</f>
        <v/>
      </c>
      <c r="L98" s="4" t="str">
        <f>HYPERLINK("http://141.218.60.56/~jnz1568/getInfo.php?workbook=07_01.xlsx&amp;sheet=A0&amp;row=98&amp;col=12&amp;number=0.0001738&amp;sourceID=11","0.0001738")</f>
        <v>0.0001738</v>
      </c>
      <c r="M98" s="4" t="str">
        <f>HYPERLINK("http://141.218.60.56/~jnz1568/getInfo.php?workbook=07_01.xlsx&amp;sheet=A0&amp;row=98&amp;col=13&amp;number=112020&amp;sourceID=12","112020")</f>
        <v>112020</v>
      </c>
      <c r="N98" s="4" t="str">
        <f>HYPERLINK("http://141.218.60.56/~jnz1568/getInfo.php?workbook=07_01.xlsx&amp;sheet=A0&amp;row=98&amp;col=14&amp;number=&amp;sourceID=12","")</f>
        <v/>
      </c>
      <c r="O98" s="4" t="str">
        <f>HYPERLINK("http://141.218.60.56/~jnz1568/getInfo.php?workbook=07_01.xlsx&amp;sheet=A0&amp;row=98&amp;col=15&amp;number=112020&amp;sourceID=12","112020")</f>
        <v>112020</v>
      </c>
      <c r="P98" s="4" t="str">
        <f>HYPERLINK("http://141.218.60.56/~jnz1568/getInfo.php?workbook=07_01.xlsx&amp;sheet=A0&amp;row=98&amp;col=16&amp;number=&amp;sourceID=12","")</f>
        <v/>
      </c>
      <c r="Q98" s="4" t="str">
        <f>HYPERLINK("http://141.218.60.56/~jnz1568/getInfo.php?workbook=07_01.xlsx&amp;sheet=A0&amp;row=98&amp;col=17&amp;number=0.017138&amp;sourceID=12","0.017138")</f>
        <v>0.017138</v>
      </c>
      <c r="R98" s="4" t="str">
        <f>HYPERLINK("http://141.218.60.56/~jnz1568/getInfo.php?workbook=07_01.xlsx&amp;sheet=A0&amp;row=98&amp;col=18&amp;number=&amp;sourceID=12","")</f>
        <v/>
      </c>
      <c r="S98" s="4" t="str">
        <f>HYPERLINK("http://141.218.60.56/~jnz1568/getInfo.php?workbook=07_01.xlsx&amp;sheet=A0&amp;row=98&amp;col=19&amp;number=0.00017381&amp;sourceID=12","0.00017381")</f>
        <v>0.00017381</v>
      </c>
      <c r="T98" s="4" t="str">
        <f>HYPERLINK("http://141.218.60.56/~jnz1568/getInfo.php?workbook=07_01.xlsx&amp;sheet=A0&amp;row=98&amp;col=20&amp;number==&amp;sourceID=30","=")</f>
        <v>=</v>
      </c>
      <c r="U98" s="4" t="str">
        <f>HYPERLINK("http://141.218.60.56/~jnz1568/getInfo.php?workbook=07_01.xlsx&amp;sheet=A0&amp;row=98&amp;col=21&amp;number=&amp;sourceID=30","")</f>
        <v/>
      </c>
      <c r="V98" s="4" t="str">
        <f>HYPERLINK("http://141.218.60.56/~jnz1568/getInfo.php?workbook=07_01.xlsx&amp;sheet=A0&amp;row=98&amp;col=22&amp;number=112000&amp;sourceID=30","112000")</f>
        <v>112000</v>
      </c>
      <c r="W98" s="4" t="str">
        <f>HYPERLINK("http://141.218.60.56/~jnz1568/getInfo.php?workbook=07_01.xlsx&amp;sheet=A0&amp;row=98&amp;col=23&amp;number=0.01714&amp;sourceID=30","0.01714")</f>
        <v>0.01714</v>
      </c>
      <c r="X98" s="4" t="str">
        <f>HYPERLINK("http://141.218.60.56/~jnz1568/getInfo.php?workbook=07_01.xlsx&amp;sheet=A0&amp;row=98&amp;col=24&amp;number=&amp;sourceID=30","")</f>
        <v/>
      </c>
      <c r="Y98" s="4" t="str">
        <f>HYPERLINK("http://141.218.60.56/~jnz1568/getInfo.php?workbook=07_01.xlsx&amp;sheet=A0&amp;row=98&amp;col=25&amp;number==&amp;sourceID=13","=")</f>
        <v>=</v>
      </c>
      <c r="Z98" s="4" t="str">
        <f>HYPERLINK("http://141.218.60.56/~jnz1568/getInfo.php?workbook=07_01.xlsx&amp;sheet=A0&amp;row=98&amp;col=26&amp;number=&amp;sourceID=13","")</f>
        <v/>
      </c>
      <c r="AA98" s="4" t="str">
        <f>HYPERLINK("http://141.218.60.56/~jnz1568/getInfo.php?workbook=07_01.xlsx&amp;sheet=A0&amp;row=98&amp;col=27&amp;number=112000&amp;sourceID=13","112000")</f>
        <v>112000</v>
      </c>
      <c r="AB98" s="4" t="str">
        <f>HYPERLINK("http://141.218.60.56/~jnz1568/getInfo.php?workbook=07_01.xlsx&amp;sheet=A0&amp;row=98&amp;col=28&amp;number=&amp;sourceID=13","")</f>
        <v/>
      </c>
      <c r="AC98" s="4" t="str">
        <f>HYPERLINK("http://141.218.60.56/~jnz1568/getInfo.php?workbook=07_01.xlsx&amp;sheet=A0&amp;row=98&amp;col=29&amp;number=0.0171&amp;sourceID=13","0.0171")</f>
        <v>0.0171</v>
      </c>
      <c r="AD98" s="4" t="str">
        <f>HYPERLINK("http://141.218.60.56/~jnz1568/getInfo.php?workbook=07_01.xlsx&amp;sheet=A0&amp;row=98&amp;col=30&amp;number=&amp;sourceID=13","")</f>
        <v/>
      </c>
    </row>
    <row r="99" spans="1:30">
      <c r="A99" s="3">
        <v>7</v>
      </c>
      <c r="B99" s="3">
        <v>1</v>
      </c>
      <c r="C99" s="3">
        <v>15</v>
      </c>
      <c r="D99" s="3">
        <v>10</v>
      </c>
      <c r="E99" s="3">
        <f>((1/(INDEX(E0!J$4:J$28,C99,1)-INDEX(E0!J$4:J$28,D99,1))))*100000000</f>
        <v>0</v>
      </c>
      <c r="F99" s="4" t="str">
        <f>HYPERLINK("http://141.218.60.56/~jnz1568/getInfo.php?workbook=07_01.xlsx&amp;sheet=A0&amp;row=99&amp;col=6&amp;number==&amp;sourceID=11","=")</f>
        <v>=</v>
      </c>
      <c r="G99" s="4" t="str">
        <f>HYPERLINK("http://141.218.60.56/~jnz1568/getInfo.php?workbook=07_01.xlsx&amp;sheet=A0&amp;row=99&amp;col=7&amp;number=&amp;sourceID=11","")</f>
        <v/>
      </c>
      <c r="H99" s="4" t="str">
        <f>HYPERLINK("http://141.218.60.56/~jnz1568/getInfo.php?workbook=07_01.xlsx&amp;sheet=A0&amp;row=99&amp;col=8&amp;number=&amp;sourceID=11","")</f>
        <v/>
      </c>
      <c r="I99" s="4" t="str">
        <f>HYPERLINK("http://141.218.60.56/~jnz1568/getInfo.php?workbook=07_01.xlsx&amp;sheet=A0&amp;row=99&amp;col=9&amp;number=0&amp;sourceID=11","0")</f>
        <v>0</v>
      </c>
      <c r="J99" s="4" t="str">
        <f>HYPERLINK("http://141.218.60.56/~jnz1568/getInfo.php?workbook=07_01.xlsx&amp;sheet=A0&amp;row=99&amp;col=10&amp;number=&amp;sourceID=11","")</f>
        <v/>
      </c>
      <c r="K99" s="4" t="str">
        <f>HYPERLINK("http://141.218.60.56/~jnz1568/getInfo.php?workbook=07_01.xlsx&amp;sheet=A0&amp;row=99&amp;col=11&amp;number=1e-15&amp;sourceID=11","1e-15")</f>
        <v>1e-15</v>
      </c>
      <c r="L99" s="4" t="str">
        <f>HYPERLINK("http://141.218.60.56/~jnz1568/getInfo.php?workbook=07_01.xlsx&amp;sheet=A0&amp;row=99&amp;col=12&amp;number=&amp;sourceID=11","")</f>
        <v/>
      </c>
      <c r="M99" s="4" t="str">
        <f>HYPERLINK("http://141.218.60.56/~jnz1568/getInfo.php?workbook=07_01.xlsx&amp;sheet=A0&amp;row=99&amp;col=13&amp;number=1e-15&amp;sourceID=12","1e-15")</f>
        <v>1e-15</v>
      </c>
      <c r="N99" s="4" t="str">
        <f>HYPERLINK("http://141.218.60.56/~jnz1568/getInfo.php?workbook=07_01.xlsx&amp;sheet=A0&amp;row=99&amp;col=14&amp;number=&amp;sourceID=12","")</f>
        <v/>
      </c>
      <c r="O99" s="4" t="str">
        <f>HYPERLINK("http://141.218.60.56/~jnz1568/getInfo.php?workbook=07_01.xlsx&amp;sheet=A0&amp;row=99&amp;col=15&amp;number=&amp;sourceID=12","")</f>
        <v/>
      </c>
      <c r="P99" s="4" t="str">
        <f>HYPERLINK("http://141.218.60.56/~jnz1568/getInfo.php?workbook=07_01.xlsx&amp;sheet=A0&amp;row=99&amp;col=16&amp;number=0&amp;sourceID=12","0")</f>
        <v>0</v>
      </c>
      <c r="Q99" s="4" t="str">
        <f>HYPERLINK("http://141.218.60.56/~jnz1568/getInfo.php?workbook=07_01.xlsx&amp;sheet=A0&amp;row=99&amp;col=17&amp;number=&amp;sourceID=12","")</f>
        <v/>
      </c>
      <c r="R99" s="4" t="str">
        <f>HYPERLINK("http://141.218.60.56/~jnz1568/getInfo.php?workbook=07_01.xlsx&amp;sheet=A0&amp;row=99&amp;col=18&amp;number=1e-15&amp;sourceID=12","1e-15")</f>
        <v>1e-15</v>
      </c>
      <c r="S99" s="4" t="str">
        <f>HYPERLINK("http://141.218.60.56/~jnz1568/getInfo.php?workbook=07_01.xlsx&amp;sheet=A0&amp;row=99&amp;col=19&amp;number=&amp;sourceID=12","")</f>
        <v/>
      </c>
      <c r="T99" s="4" t="str">
        <f>HYPERLINK("http://141.218.60.56/~jnz1568/getInfo.php?workbook=07_01.xlsx&amp;sheet=A0&amp;row=99&amp;col=20&amp;number==&amp;sourceID=30","=")</f>
        <v>=</v>
      </c>
      <c r="U99" s="4" t="str">
        <f>HYPERLINK("http://141.218.60.56/~jnz1568/getInfo.php?workbook=07_01.xlsx&amp;sheet=A0&amp;row=99&amp;col=21&amp;number=&amp;sourceID=30","")</f>
        <v/>
      </c>
      <c r="V99" s="4" t="str">
        <f>HYPERLINK("http://141.218.60.56/~jnz1568/getInfo.php?workbook=07_01.xlsx&amp;sheet=A0&amp;row=99&amp;col=22&amp;number=&amp;sourceID=30","")</f>
        <v/>
      </c>
      <c r="W99" s="4" t="str">
        <f>HYPERLINK("http://141.218.60.56/~jnz1568/getInfo.php?workbook=07_01.xlsx&amp;sheet=A0&amp;row=99&amp;col=23&amp;number=&amp;sourceID=30","")</f>
        <v/>
      </c>
      <c r="X99" s="4" t="str">
        <f>HYPERLINK("http://141.218.60.56/~jnz1568/getInfo.php?workbook=07_01.xlsx&amp;sheet=A0&amp;row=99&amp;col=24&amp;number=1e-15&amp;sourceID=30","1e-15")</f>
        <v>1e-15</v>
      </c>
      <c r="Y99" s="4" t="str">
        <f>HYPERLINK("http://141.218.60.56/~jnz1568/getInfo.php?workbook=07_01.xlsx&amp;sheet=A0&amp;row=99&amp;col=25&amp;number=&amp;sourceID=13","")</f>
        <v/>
      </c>
      <c r="Z99" s="4" t="str">
        <f>HYPERLINK("http://141.218.60.56/~jnz1568/getInfo.php?workbook=07_01.xlsx&amp;sheet=A0&amp;row=99&amp;col=26&amp;number=&amp;sourceID=13","")</f>
        <v/>
      </c>
      <c r="AA99" s="4" t="str">
        <f>HYPERLINK("http://141.218.60.56/~jnz1568/getInfo.php?workbook=07_01.xlsx&amp;sheet=A0&amp;row=99&amp;col=27&amp;number=&amp;sourceID=13","")</f>
        <v/>
      </c>
      <c r="AB99" s="4" t="str">
        <f>HYPERLINK("http://141.218.60.56/~jnz1568/getInfo.php?workbook=07_01.xlsx&amp;sheet=A0&amp;row=99&amp;col=28&amp;number=&amp;sourceID=13","")</f>
        <v/>
      </c>
      <c r="AC99" s="4" t="str">
        <f>HYPERLINK("http://141.218.60.56/~jnz1568/getInfo.php?workbook=07_01.xlsx&amp;sheet=A0&amp;row=99&amp;col=29&amp;number=&amp;sourceID=13","")</f>
        <v/>
      </c>
      <c r="AD99" s="4" t="str">
        <f>HYPERLINK("http://141.218.60.56/~jnz1568/getInfo.php?workbook=07_01.xlsx&amp;sheet=A0&amp;row=99&amp;col=30&amp;number=&amp;sourceID=13","")</f>
        <v/>
      </c>
    </row>
    <row r="100" spans="1:30">
      <c r="A100" s="3">
        <v>7</v>
      </c>
      <c r="B100" s="3">
        <v>1</v>
      </c>
      <c r="C100" s="3">
        <v>15</v>
      </c>
      <c r="D100" s="3">
        <v>11</v>
      </c>
      <c r="E100" s="3">
        <f>((1/(INDEX(E0!J$4:J$28,C100,1)-INDEX(E0!J$4:J$28,D100,1))))*100000000</f>
        <v>0</v>
      </c>
      <c r="F100" s="4" t="str">
        <f>HYPERLINK("http://141.218.60.56/~jnz1568/getInfo.php?workbook=07_01.xlsx&amp;sheet=A0&amp;row=100&amp;col=6&amp;number==&amp;sourceID=11","=")</f>
        <v>=</v>
      </c>
      <c r="G100" s="4" t="str">
        <f>HYPERLINK("http://141.218.60.56/~jnz1568/getInfo.php?workbook=07_01.xlsx&amp;sheet=A0&amp;row=100&amp;col=7&amp;number=&amp;sourceID=11","")</f>
        <v/>
      </c>
      <c r="H100" s="4" t="str">
        <f>HYPERLINK("http://141.218.60.56/~jnz1568/getInfo.php?workbook=07_01.xlsx&amp;sheet=A0&amp;row=100&amp;col=8&amp;number=1.8026e-10&amp;sourceID=11","1.8026e-10")</f>
        <v>1.8026e-10</v>
      </c>
      <c r="I100" s="4" t="str">
        <f>HYPERLINK("http://141.218.60.56/~jnz1568/getInfo.php?workbook=07_01.xlsx&amp;sheet=A0&amp;row=100&amp;col=9&amp;number=&amp;sourceID=11","")</f>
        <v/>
      </c>
      <c r="J100" s="4" t="str">
        <f>HYPERLINK("http://141.218.60.56/~jnz1568/getInfo.php?workbook=07_01.xlsx&amp;sheet=A0&amp;row=100&amp;col=10&amp;number=&amp;sourceID=11","")</f>
        <v/>
      </c>
      <c r="K100" s="4" t="str">
        <f>HYPERLINK("http://141.218.60.56/~jnz1568/getInfo.php?workbook=07_01.xlsx&amp;sheet=A0&amp;row=100&amp;col=11&amp;number=&amp;sourceID=11","")</f>
        <v/>
      </c>
      <c r="L100" s="4" t="str">
        <f>HYPERLINK("http://141.218.60.56/~jnz1568/getInfo.php?workbook=07_01.xlsx&amp;sheet=A0&amp;row=100&amp;col=12&amp;number=0&amp;sourceID=11","0")</f>
        <v>0</v>
      </c>
      <c r="M100" s="4" t="str">
        <f>HYPERLINK("http://141.218.60.56/~jnz1568/getInfo.php?workbook=07_01.xlsx&amp;sheet=A0&amp;row=100&amp;col=13&amp;number=1.8027e-10&amp;sourceID=12","1.8027e-10")</f>
        <v>1.8027e-10</v>
      </c>
      <c r="N100" s="4" t="str">
        <f>HYPERLINK("http://141.218.60.56/~jnz1568/getInfo.php?workbook=07_01.xlsx&amp;sheet=A0&amp;row=100&amp;col=14&amp;number=&amp;sourceID=12","")</f>
        <v/>
      </c>
      <c r="O100" s="4" t="str">
        <f>HYPERLINK("http://141.218.60.56/~jnz1568/getInfo.php?workbook=07_01.xlsx&amp;sheet=A0&amp;row=100&amp;col=15&amp;number=1.8027e-10&amp;sourceID=12","1.8027e-10")</f>
        <v>1.8027e-10</v>
      </c>
      <c r="P100" s="4" t="str">
        <f>HYPERLINK("http://141.218.60.56/~jnz1568/getInfo.php?workbook=07_01.xlsx&amp;sheet=A0&amp;row=100&amp;col=16&amp;number=&amp;sourceID=12","")</f>
        <v/>
      </c>
      <c r="Q100" s="4" t="str">
        <f>HYPERLINK("http://141.218.60.56/~jnz1568/getInfo.php?workbook=07_01.xlsx&amp;sheet=A0&amp;row=100&amp;col=17&amp;number=&amp;sourceID=12","")</f>
        <v/>
      </c>
      <c r="R100" s="4" t="str">
        <f>HYPERLINK("http://141.218.60.56/~jnz1568/getInfo.php?workbook=07_01.xlsx&amp;sheet=A0&amp;row=100&amp;col=18&amp;number=&amp;sourceID=12","")</f>
        <v/>
      </c>
      <c r="S100" s="4" t="str">
        <f>HYPERLINK("http://141.218.60.56/~jnz1568/getInfo.php?workbook=07_01.xlsx&amp;sheet=A0&amp;row=100&amp;col=19&amp;number=0&amp;sourceID=12","0")</f>
        <v>0</v>
      </c>
      <c r="T100" s="4" t="str">
        <f>HYPERLINK("http://141.218.60.56/~jnz1568/getInfo.php?workbook=07_01.xlsx&amp;sheet=A0&amp;row=100&amp;col=20&amp;number==&amp;sourceID=30","=")</f>
        <v>=</v>
      </c>
      <c r="U100" s="4" t="str">
        <f>HYPERLINK("http://141.218.60.56/~jnz1568/getInfo.php?workbook=07_01.xlsx&amp;sheet=A0&amp;row=100&amp;col=21&amp;number=&amp;sourceID=30","")</f>
        <v/>
      </c>
      <c r="V100" s="4" t="str">
        <f>HYPERLINK("http://141.218.60.56/~jnz1568/getInfo.php?workbook=07_01.xlsx&amp;sheet=A0&amp;row=100&amp;col=22&amp;number=1.803e-10&amp;sourceID=30","1.803e-10")</f>
        <v>1.803e-10</v>
      </c>
      <c r="W100" s="4" t="str">
        <f>HYPERLINK("http://141.218.60.56/~jnz1568/getInfo.php?workbook=07_01.xlsx&amp;sheet=A0&amp;row=100&amp;col=23&amp;number=&amp;sourceID=30","")</f>
        <v/>
      </c>
      <c r="X100" s="4" t="str">
        <f>HYPERLINK("http://141.218.60.56/~jnz1568/getInfo.php?workbook=07_01.xlsx&amp;sheet=A0&amp;row=100&amp;col=24&amp;number=&amp;sourceID=30","")</f>
        <v/>
      </c>
      <c r="Y100" s="4" t="str">
        <f>HYPERLINK("http://141.218.60.56/~jnz1568/getInfo.php?workbook=07_01.xlsx&amp;sheet=A0&amp;row=100&amp;col=25&amp;number=&amp;sourceID=13","")</f>
        <v/>
      </c>
      <c r="Z100" s="4" t="str">
        <f>HYPERLINK("http://141.218.60.56/~jnz1568/getInfo.php?workbook=07_01.xlsx&amp;sheet=A0&amp;row=100&amp;col=26&amp;number=&amp;sourceID=13","")</f>
        <v/>
      </c>
      <c r="AA100" s="4" t="str">
        <f>HYPERLINK("http://141.218.60.56/~jnz1568/getInfo.php?workbook=07_01.xlsx&amp;sheet=A0&amp;row=100&amp;col=27&amp;number=&amp;sourceID=13","")</f>
        <v/>
      </c>
      <c r="AB100" s="4" t="str">
        <f>HYPERLINK("http://141.218.60.56/~jnz1568/getInfo.php?workbook=07_01.xlsx&amp;sheet=A0&amp;row=100&amp;col=28&amp;number=&amp;sourceID=13","")</f>
        <v/>
      </c>
      <c r="AC100" s="4" t="str">
        <f>HYPERLINK("http://141.218.60.56/~jnz1568/getInfo.php?workbook=07_01.xlsx&amp;sheet=A0&amp;row=100&amp;col=29&amp;number=&amp;sourceID=13","")</f>
        <v/>
      </c>
      <c r="AD100" s="4" t="str">
        <f>HYPERLINK("http://141.218.60.56/~jnz1568/getInfo.php?workbook=07_01.xlsx&amp;sheet=A0&amp;row=100&amp;col=30&amp;number=&amp;sourceID=13","")</f>
        <v/>
      </c>
    </row>
    <row r="101" spans="1:30">
      <c r="A101" s="3">
        <v>7</v>
      </c>
      <c r="B101" s="3">
        <v>1</v>
      </c>
      <c r="C101" s="3">
        <v>15</v>
      </c>
      <c r="D101" s="3">
        <v>12</v>
      </c>
      <c r="E101" s="3">
        <f>((1/(INDEX(E0!J$4:J$28,C101,1)-INDEX(E0!J$4:J$28,D101,1))))*100000000</f>
        <v>0</v>
      </c>
      <c r="F101" s="4" t="str">
        <f>HYPERLINK("http://141.218.60.56/~jnz1568/getInfo.php?workbook=07_01.xlsx&amp;sheet=A0&amp;row=101&amp;col=6&amp;number==&amp;sourceID=11","=")</f>
        <v>=</v>
      </c>
      <c r="G101" s="4" t="str">
        <f>HYPERLINK("http://141.218.60.56/~jnz1568/getInfo.php?workbook=07_01.xlsx&amp;sheet=A0&amp;row=101&amp;col=7&amp;number=&amp;sourceID=11","")</f>
        <v/>
      </c>
      <c r="H101" s="4" t="str">
        <f>HYPERLINK("http://141.218.60.56/~jnz1568/getInfo.php?workbook=07_01.xlsx&amp;sheet=A0&amp;row=101&amp;col=8&amp;number=4.4e-14&amp;sourceID=11","4.4e-14")</f>
        <v>4.4e-14</v>
      </c>
      <c r="I101" s="4" t="str">
        <f>HYPERLINK("http://141.218.60.56/~jnz1568/getInfo.php?workbook=07_01.xlsx&amp;sheet=A0&amp;row=101&amp;col=9&amp;number=&amp;sourceID=11","")</f>
        <v/>
      </c>
      <c r="J101" s="4" t="str">
        <f>HYPERLINK("http://141.218.60.56/~jnz1568/getInfo.php?workbook=07_01.xlsx&amp;sheet=A0&amp;row=101&amp;col=10&amp;number=5.2704e-07&amp;sourceID=11","5.2704e-07")</f>
        <v>5.2704e-07</v>
      </c>
      <c r="K101" s="4" t="str">
        <f>HYPERLINK("http://141.218.60.56/~jnz1568/getInfo.php?workbook=07_01.xlsx&amp;sheet=A0&amp;row=101&amp;col=11&amp;number=&amp;sourceID=11","")</f>
        <v/>
      </c>
      <c r="L101" s="4" t="str">
        <f>HYPERLINK("http://141.218.60.56/~jnz1568/getInfo.php?workbook=07_01.xlsx&amp;sheet=A0&amp;row=101&amp;col=12&amp;number=0&amp;sourceID=11","0")</f>
        <v>0</v>
      </c>
      <c r="M101" s="4" t="str">
        <f>HYPERLINK("http://141.218.60.56/~jnz1568/getInfo.php?workbook=07_01.xlsx&amp;sheet=A0&amp;row=101&amp;col=13&amp;number=5.2708e-07&amp;sourceID=12","5.2708e-07")</f>
        <v>5.2708e-07</v>
      </c>
      <c r="N101" s="4" t="str">
        <f>HYPERLINK("http://141.218.60.56/~jnz1568/getInfo.php?workbook=07_01.xlsx&amp;sheet=A0&amp;row=101&amp;col=14&amp;number=&amp;sourceID=12","")</f>
        <v/>
      </c>
      <c r="O101" s="4" t="str">
        <f>HYPERLINK("http://141.218.60.56/~jnz1568/getInfo.php?workbook=07_01.xlsx&amp;sheet=A0&amp;row=101&amp;col=15&amp;number=4.4e-14&amp;sourceID=12","4.4e-14")</f>
        <v>4.4e-14</v>
      </c>
      <c r="P101" s="4" t="str">
        <f>HYPERLINK("http://141.218.60.56/~jnz1568/getInfo.php?workbook=07_01.xlsx&amp;sheet=A0&amp;row=101&amp;col=16&amp;number=&amp;sourceID=12","")</f>
        <v/>
      </c>
      <c r="Q101" s="4" t="str">
        <f>HYPERLINK("http://141.218.60.56/~jnz1568/getInfo.php?workbook=07_01.xlsx&amp;sheet=A0&amp;row=101&amp;col=17&amp;number=5.2708e-07&amp;sourceID=12","5.2708e-07")</f>
        <v>5.2708e-07</v>
      </c>
      <c r="R101" s="4" t="str">
        <f>HYPERLINK("http://141.218.60.56/~jnz1568/getInfo.php?workbook=07_01.xlsx&amp;sheet=A0&amp;row=101&amp;col=18&amp;number=&amp;sourceID=12","")</f>
        <v/>
      </c>
      <c r="S101" s="4" t="str">
        <f>HYPERLINK("http://141.218.60.56/~jnz1568/getInfo.php?workbook=07_01.xlsx&amp;sheet=A0&amp;row=101&amp;col=19&amp;number=0&amp;sourceID=12","0")</f>
        <v>0</v>
      </c>
      <c r="T101" s="4" t="str">
        <f>HYPERLINK("http://141.218.60.56/~jnz1568/getInfo.php?workbook=07_01.xlsx&amp;sheet=A0&amp;row=101&amp;col=20&amp;number==&amp;sourceID=30","=")</f>
        <v>=</v>
      </c>
      <c r="U101" s="4" t="str">
        <f>HYPERLINK("http://141.218.60.56/~jnz1568/getInfo.php?workbook=07_01.xlsx&amp;sheet=A0&amp;row=101&amp;col=21&amp;number=&amp;sourceID=30","")</f>
        <v/>
      </c>
      <c r="V101" s="4" t="str">
        <f>HYPERLINK("http://141.218.60.56/~jnz1568/getInfo.php?workbook=07_01.xlsx&amp;sheet=A0&amp;row=101&amp;col=22&amp;number=4.4e-14&amp;sourceID=30","4.4e-14")</f>
        <v>4.4e-14</v>
      </c>
      <c r="W101" s="4" t="str">
        <f>HYPERLINK("http://141.218.60.56/~jnz1568/getInfo.php?workbook=07_01.xlsx&amp;sheet=A0&amp;row=101&amp;col=23&amp;number=5.271e-07&amp;sourceID=30","5.271e-07")</f>
        <v>5.271e-07</v>
      </c>
      <c r="X101" s="4" t="str">
        <f>HYPERLINK("http://141.218.60.56/~jnz1568/getInfo.php?workbook=07_01.xlsx&amp;sheet=A0&amp;row=101&amp;col=24&amp;number=&amp;sourceID=30","")</f>
        <v/>
      </c>
      <c r="Y101" s="4" t="str">
        <f>HYPERLINK("http://141.218.60.56/~jnz1568/getInfo.php?workbook=07_01.xlsx&amp;sheet=A0&amp;row=101&amp;col=25&amp;number=&amp;sourceID=13","")</f>
        <v/>
      </c>
      <c r="Z101" s="4" t="str">
        <f>HYPERLINK("http://141.218.60.56/~jnz1568/getInfo.php?workbook=07_01.xlsx&amp;sheet=A0&amp;row=101&amp;col=26&amp;number=&amp;sourceID=13","")</f>
        <v/>
      </c>
      <c r="AA101" s="4" t="str">
        <f>HYPERLINK("http://141.218.60.56/~jnz1568/getInfo.php?workbook=07_01.xlsx&amp;sheet=A0&amp;row=101&amp;col=27&amp;number=&amp;sourceID=13","")</f>
        <v/>
      </c>
      <c r="AB101" s="4" t="str">
        <f>HYPERLINK("http://141.218.60.56/~jnz1568/getInfo.php?workbook=07_01.xlsx&amp;sheet=A0&amp;row=101&amp;col=28&amp;number=&amp;sourceID=13","")</f>
        <v/>
      </c>
      <c r="AC101" s="4" t="str">
        <f>HYPERLINK("http://141.218.60.56/~jnz1568/getInfo.php?workbook=07_01.xlsx&amp;sheet=A0&amp;row=101&amp;col=29&amp;number=&amp;sourceID=13","")</f>
        <v/>
      </c>
      <c r="AD101" s="4" t="str">
        <f>HYPERLINK("http://141.218.60.56/~jnz1568/getInfo.php?workbook=07_01.xlsx&amp;sheet=A0&amp;row=101&amp;col=30&amp;number=&amp;sourceID=13","")</f>
        <v/>
      </c>
    </row>
    <row r="102" spans="1:30">
      <c r="A102" s="3">
        <v>7</v>
      </c>
      <c r="B102" s="3">
        <v>1</v>
      </c>
      <c r="C102" s="3">
        <v>15</v>
      </c>
      <c r="D102" s="3">
        <v>13</v>
      </c>
      <c r="E102" s="3">
        <f>((1/(INDEX(E0!J$4:J$28,C102,1)-INDEX(E0!J$4:J$28,D102,1))))*100000000</f>
        <v>0</v>
      </c>
      <c r="F102" s="4" t="str">
        <f>HYPERLINK("http://141.218.60.56/~jnz1568/getInfo.php?workbook=07_01.xlsx&amp;sheet=A0&amp;row=102&amp;col=6&amp;number==&amp;sourceID=11","=")</f>
        <v>=</v>
      </c>
      <c r="G102" s="4" t="str">
        <f>HYPERLINK("http://141.218.60.56/~jnz1568/getInfo.php?workbook=07_01.xlsx&amp;sheet=A0&amp;row=102&amp;col=7&amp;number=0.34898&amp;sourceID=11","0.34898")</f>
        <v>0.34898</v>
      </c>
      <c r="H102" s="4" t="str">
        <f>HYPERLINK("http://141.218.60.56/~jnz1568/getInfo.php?workbook=07_01.xlsx&amp;sheet=A0&amp;row=102&amp;col=8&amp;number=&amp;sourceID=11","")</f>
        <v/>
      </c>
      <c r="I102" s="4" t="str">
        <f>HYPERLINK("http://141.218.60.56/~jnz1568/getInfo.php?workbook=07_01.xlsx&amp;sheet=A0&amp;row=102&amp;col=9&amp;number=0&amp;sourceID=11","0")</f>
        <v>0</v>
      </c>
      <c r="J102" s="4" t="str">
        <f>HYPERLINK("http://141.218.60.56/~jnz1568/getInfo.php?workbook=07_01.xlsx&amp;sheet=A0&amp;row=102&amp;col=10&amp;number=&amp;sourceID=11","")</f>
        <v/>
      </c>
      <c r="K102" s="4" t="str">
        <f>HYPERLINK("http://141.218.60.56/~jnz1568/getInfo.php?workbook=07_01.xlsx&amp;sheet=A0&amp;row=102&amp;col=11&amp;number=0&amp;sourceID=11","0")</f>
        <v>0</v>
      </c>
      <c r="L102" s="4" t="str">
        <f>HYPERLINK("http://141.218.60.56/~jnz1568/getInfo.php?workbook=07_01.xlsx&amp;sheet=A0&amp;row=102&amp;col=12&amp;number=&amp;sourceID=11","")</f>
        <v/>
      </c>
      <c r="M102" s="4" t="str">
        <f>HYPERLINK("http://141.218.60.56/~jnz1568/getInfo.php?workbook=07_01.xlsx&amp;sheet=A0&amp;row=102&amp;col=13&amp;number=0.349&amp;sourceID=12","0.349")</f>
        <v>0.349</v>
      </c>
      <c r="N102" s="4" t="str">
        <f>HYPERLINK("http://141.218.60.56/~jnz1568/getInfo.php?workbook=07_01.xlsx&amp;sheet=A0&amp;row=102&amp;col=14&amp;number=0.349&amp;sourceID=12","0.349")</f>
        <v>0.349</v>
      </c>
      <c r="O102" s="4" t="str">
        <f>HYPERLINK("http://141.218.60.56/~jnz1568/getInfo.php?workbook=07_01.xlsx&amp;sheet=A0&amp;row=102&amp;col=15&amp;number=&amp;sourceID=12","")</f>
        <v/>
      </c>
      <c r="P102" s="4" t="str">
        <f>HYPERLINK("http://141.218.60.56/~jnz1568/getInfo.php?workbook=07_01.xlsx&amp;sheet=A0&amp;row=102&amp;col=16&amp;number=0&amp;sourceID=12","0")</f>
        <v>0</v>
      </c>
      <c r="Q102" s="4" t="str">
        <f>HYPERLINK("http://141.218.60.56/~jnz1568/getInfo.php?workbook=07_01.xlsx&amp;sheet=A0&amp;row=102&amp;col=17&amp;number=&amp;sourceID=12","")</f>
        <v/>
      </c>
      <c r="R102" s="4" t="str">
        <f>HYPERLINK("http://141.218.60.56/~jnz1568/getInfo.php?workbook=07_01.xlsx&amp;sheet=A0&amp;row=102&amp;col=18&amp;number=0&amp;sourceID=12","0")</f>
        <v>0</v>
      </c>
      <c r="S102" s="4" t="str">
        <f>HYPERLINK("http://141.218.60.56/~jnz1568/getInfo.php?workbook=07_01.xlsx&amp;sheet=A0&amp;row=102&amp;col=19&amp;number=&amp;sourceID=12","")</f>
        <v/>
      </c>
      <c r="T102" s="4" t="str">
        <f>HYPERLINK("http://141.218.60.56/~jnz1568/getInfo.php?workbook=07_01.xlsx&amp;sheet=A0&amp;row=102&amp;col=20&amp;number==SUM(U102:X102)&amp;sourceID=30","=SUM(U102:X102)")</f>
        <v>=SUM(U102:X102)</v>
      </c>
      <c r="U102" s="4" t="str">
        <f>HYPERLINK("http://141.218.60.56/~jnz1568/getInfo.php?workbook=07_01.xlsx&amp;sheet=A0&amp;row=102&amp;col=21&amp;number=0.349&amp;sourceID=30","0.349")</f>
        <v>0.349</v>
      </c>
      <c r="V102" s="4" t="str">
        <f>HYPERLINK("http://141.218.60.56/~jnz1568/getInfo.php?workbook=07_01.xlsx&amp;sheet=A0&amp;row=102&amp;col=22&amp;number=&amp;sourceID=30","")</f>
        <v/>
      </c>
      <c r="W102" s="4" t="str">
        <f>HYPERLINK("http://141.218.60.56/~jnz1568/getInfo.php?workbook=07_01.xlsx&amp;sheet=A0&amp;row=102&amp;col=23&amp;number=&amp;sourceID=30","")</f>
        <v/>
      </c>
      <c r="X102" s="4" t="str">
        <f>HYPERLINK("http://141.218.60.56/~jnz1568/getInfo.php?workbook=07_01.xlsx&amp;sheet=A0&amp;row=102&amp;col=24&amp;number=0&amp;sourceID=30","0")</f>
        <v>0</v>
      </c>
      <c r="Y102" s="4" t="str">
        <f>HYPERLINK("http://141.218.60.56/~jnz1568/getInfo.php?workbook=07_01.xlsx&amp;sheet=A0&amp;row=102&amp;col=25&amp;number=&amp;sourceID=13","")</f>
        <v/>
      </c>
      <c r="Z102" s="4" t="str">
        <f>HYPERLINK("http://141.218.60.56/~jnz1568/getInfo.php?workbook=07_01.xlsx&amp;sheet=A0&amp;row=102&amp;col=26&amp;number=&amp;sourceID=13","")</f>
        <v/>
      </c>
      <c r="AA102" s="4" t="str">
        <f>HYPERLINK("http://141.218.60.56/~jnz1568/getInfo.php?workbook=07_01.xlsx&amp;sheet=A0&amp;row=102&amp;col=27&amp;number=&amp;sourceID=13","")</f>
        <v/>
      </c>
      <c r="AB102" s="4" t="str">
        <f>HYPERLINK("http://141.218.60.56/~jnz1568/getInfo.php?workbook=07_01.xlsx&amp;sheet=A0&amp;row=102&amp;col=28&amp;number=&amp;sourceID=13","")</f>
        <v/>
      </c>
      <c r="AC102" s="4" t="str">
        <f>HYPERLINK("http://141.218.60.56/~jnz1568/getInfo.php?workbook=07_01.xlsx&amp;sheet=A0&amp;row=102&amp;col=29&amp;number=&amp;sourceID=13","")</f>
        <v/>
      </c>
      <c r="AD102" s="4" t="str">
        <f>HYPERLINK("http://141.218.60.56/~jnz1568/getInfo.php?workbook=07_01.xlsx&amp;sheet=A0&amp;row=102&amp;col=30&amp;number=&amp;sourceID=13","")</f>
        <v/>
      </c>
    </row>
    <row r="103" spans="1:30">
      <c r="A103" s="3">
        <v>7</v>
      </c>
      <c r="B103" s="3">
        <v>1</v>
      </c>
      <c r="C103" s="3">
        <v>16</v>
      </c>
      <c r="D103" s="3">
        <v>1</v>
      </c>
      <c r="E103" s="3">
        <f>((1/(INDEX(E0!J$4:J$28,C103,1)-INDEX(E0!J$4:J$28,D103,1))))*100000000</f>
        <v>0</v>
      </c>
      <c r="F103" s="4" t="str">
        <f>HYPERLINK("http://141.218.60.56/~jnz1568/getInfo.php?workbook=07_01.xlsx&amp;sheet=A0&amp;row=103&amp;col=6&amp;number==&amp;sourceID=11","=")</f>
        <v>=</v>
      </c>
      <c r="G103" s="4" t="str">
        <f>HYPERLINK("http://141.218.60.56/~jnz1568/getInfo.php?workbook=07_01.xlsx&amp;sheet=A0&amp;row=103&amp;col=7&amp;number=&amp;sourceID=11","")</f>
        <v/>
      </c>
      <c r="H103" s="4" t="str">
        <f>HYPERLINK("http://141.218.60.56/~jnz1568/getInfo.php?workbook=07_01.xlsx&amp;sheet=A0&amp;row=103&amp;col=8&amp;number=&amp;sourceID=11","")</f>
        <v/>
      </c>
      <c r="I103" s="4" t="str">
        <f>HYPERLINK("http://141.218.60.56/~jnz1568/getInfo.php?workbook=07_01.xlsx&amp;sheet=A0&amp;row=103&amp;col=9&amp;number=1786.6&amp;sourceID=11","1786.6")</f>
        <v>1786.6</v>
      </c>
      <c r="J103" s="4" t="str">
        <f>HYPERLINK("http://141.218.60.56/~jnz1568/getInfo.php?workbook=07_01.xlsx&amp;sheet=A0&amp;row=103&amp;col=10&amp;number=&amp;sourceID=11","")</f>
        <v/>
      </c>
      <c r="K103" s="4" t="str">
        <f>HYPERLINK("http://141.218.60.56/~jnz1568/getInfo.php?workbook=07_01.xlsx&amp;sheet=A0&amp;row=103&amp;col=11&amp;number=&amp;sourceID=11","")</f>
        <v/>
      </c>
      <c r="L103" s="4" t="str">
        <f>HYPERLINK("http://141.218.60.56/~jnz1568/getInfo.php?workbook=07_01.xlsx&amp;sheet=A0&amp;row=103&amp;col=12&amp;number=&amp;sourceID=11","")</f>
        <v/>
      </c>
      <c r="M103" s="4" t="str">
        <f>HYPERLINK("http://141.218.60.56/~jnz1568/getInfo.php?workbook=07_01.xlsx&amp;sheet=A0&amp;row=103&amp;col=13&amp;number=1786.7&amp;sourceID=12","1786.7")</f>
        <v>1786.7</v>
      </c>
      <c r="N103" s="4" t="str">
        <f>HYPERLINK("http://141.218.60.56/~jnz1568/getInfo.php?workbook=07_01.xlsx&amp;sheet=A0&amp;row=103&amp;col=14&amp;number=&amp;sourceID=12","")</f>
        <v/>
      </c>
      <c r="O103" s="4" t="str">
        <f>HYPERLINK("http://141.218.60.56/~jnz1568/getInfo.php?workbook=07_01.xlsx&amp;sheet=A0&amp;row=103&amp;col=15&amp;number=&amp;sourceID=12","")</f>
        <v/>
      </c>
      <c r="P103" s="4" t="str">
        <f>HYPERLINK("http://141.218.60.56/~jnz1568/getInfo.php?workbook=07_01.xlsx&amp;sheet=A0&amp;row=103&amp;col=16&amp;number=1786.7&amp;sourceID=12","1786.7")</f>
        <v>1786.7</v>
      </c>
      <c r="Q103" s="4" t="str">
        <f>HYPERLINK("http://141.218.60.56/~jnz1568/getInfo.php?workbook=07_01.xlsx&amp;sheet=A0&amp;row=103&amp;col=17&amp;number=&amp;sourceID=12","")</f>
        <v/>
      </c>
      <c r="R103" s="4" t="str">
        <f>HYPERLINK("http://141.218.60.56/~jnz1568/getInfo.php?workbook=07_01.xlsx&amp;sheet=A0&amp;row=103&amp;col=18&amp;number=&amp;sourceID=12","")</f>
        <v/>
      </c>
      <c r="S103" s="4" t="str">
        <f>HYPERLINK("http://141.218.60.56/~jnz1568/getInfo.php?workbook=07_01.xlsx&amp;sheet=A0&amp;row=103&amp;col=19&amp;number=&amp;sourceID=12","")</f>
        <v/>
      </c>
      <c r="T103" s="4" t="str">
        <f>HYPERLINK("http://141.218.60.56/~jnz1568/getInfo.php?workbook=07_01.xlsx&amp;sheet=A0&amp;row=103&amp;col=20&amp;number=&amp;sourceID=30","")</f>
        <v/>
      </c>
      <c r="U103" s="4" t="str">
        <f>HYPERLINK("http://141.218.60.56/~jnz1568/getInfo.php?workbook=07_01.xlsx&amp;sheet=A0&amp;row=103&amp;col=21&amp;number=&amp;sourceID=30","")</f>
        <v/>
      </c>
      <c r="V103" s="4" t="str">
        <f>HYPERLINK("http://141.218.60.56/~jnz1568/getInfo.php?workbook=07_01.xlsx&amp;sheet=A0&amp;row=103&amp;col=22&amp;number=&amp;sourceID=30","")</f>
        <v/>
      </c>
      <c r="W103" s="4" t="str">
        <f>HYPERLINK("http://141.218.60.56/~jnz1568/getInfo.php?workbook=07_01.xlsx&amp;sheet=A0&amp;row=103&amp;col=23&amp;number=&amp;sourceID=30","")</f>
        <v/>
      </c>
      <c r="X103" s="4" t="str">
        <f>HYPERLINK("http://141.218.60.56/~jnz1568/getInfo.php?workbook=07_01.xlsx&amp;sheet=A0&amp;row=103&amp;col=24&amp;number=&amp;sourceID=30","")</f>
        <v/>
      </c>
      <c r="Y103" s="4" t="str">
        <f>HYPERLINK("http://141.218.60.56/~jnz1568/getInfo.php?workbook=07_01.xlsx&amp;sheet=A0&amp;row=103&amp;col=25&amp;number==SUM(Z103:AD103)&amp;sourceID=13","=SUM(Z103:AD103)")</f>
        <v>=SUM(Z103:AD103)</v>
      </c>
      <c r="Z103" s="4" t="str">
        <f>HYPERLINK("http://141.218.60.56/~jnz1568/getInfo.php?workbook=07_01.xlsx&amp;sheet=A0&amp;row=103&amp;col=26&amp;number=&amp;sourceID=13","")</f>
        <v/>
      </c>
      <c r="AA103" s="4" t="str">
        <f>HYPERLINK("http://141.218.60.56/~jnz1568/getInfo.php?workbook=07_01.xlsx&amp;sheet=A0&amp;row=103&amp;col=27&amp;number=&amp;sourceID=13","")</f>
        <v/>
      </c>
      <c r="AB103" s="4" t="str">
        <f>HYPERLINK("http://141.218.60.56/~jnz1568/getInfo.php?workbook=07_01.xlsx&amp;sheet=A0&amp;row=103&amp;col=28&amp;number=960&amp;sourceID=13","960")</f>
        <v>960</v>
      </c>
      <c r="AC103" s="4" t="str">
        <f>HYPERLINK("http://141.218.60.56/~jnz1568/getInfo.php?workbook=07_01.xlsx&amp;sheet=A0&amp;row=103&amp;col=29&amp;number=&amp;sourceID=13","")</f>
        <v/>
      </c>
      <c r="AD103" s="4" t="str">
        <f>HYPERLINK("http://141.218.60.56/~jnz1568/getInfo.php?workbook=07_01.xlsx&amp;sheet=A0&amp;row=103&amp;col=30&amp;number=&amp;sourceID=13","")</f>
        <v/>
      </c>
    </row>
    <row r="104" spans="1:30">
      <c r="A104" s="3">
        <v>7</v>
      </c>
      <c r="B104" s="3">
        <v>1</v>
      </c>
      <c r="C104" s="3">
        <v>16</v>
      </c>
      <c r="D104" s="3">
        <v>2</v>
      </c>
      <c r="E104" s="3">
        <f>((1/(INDEX(E0!J$4:J$28,C104,1)-INDEX(E0!J$4:J$28,D104,1))))*100000000</f>
        <v>0</v>
      </c>
      <c r="F104" s="4" t="str">
        <f>HYPERLINK("http://141.218.60.56/~jnz1568/getInfo.php?workbook=07_01.xlsx&amp;sheet=A0&amp;row=104&amp;col=6&amp;number==&amp;sourceID=11","=")</f>
        <v>=</v>
      </c>
      <c r="G104" s="4" t="str">
        <f>HYPERLINK("http://141.218.60.56/~jnz1568/getInfo.php?workbook=07_01.xlsx&amp;sheet=A0&amp;row=104&amp;col=7&amp;number=&amp;sourceID=11","")</f>
        <v/>
      </c>
      <c r="H104" s="4" t="str">
        <f>HYPERLINK("http://141.218.60.56/~jnz1568/getInfo.php?workbook=07_01.xlsx&amp;sheet=A0&amp;row=104&amp;col=8&amp;number=&amp;sourceID=11","")</f>
        <v/>
      </c>
      <c r="I104" s="4" t="str">
        <f>HYPERLINK("http://141.218.60.56/~jnz1568/getInfo.php?workbook=07_01.xlsx&amp;sheet=A0&amp;row=104&amp;col=9&amp;number=&amp;sourceID=11","")</f>
        <v/>
      </c>
      <c r="J104" s="4" t="str">
        <f>HYPERLINK("http://141.218.60.56/~jnz1568/getInfo.php?workbook=07_01.xlsx&amp;sheet=A0&amp;row=104&amp;col=10&amp;number=&amp;sourceID=11","")</f>
        <v/>
      </c>
      <c r="K104" s="4" t="str">
        <f>HYPERLINK("http://141.218.60.56/~jnz1568/getInfo.php?workbook=07_01.xlsx&amp;sheet=A0&amp;row=104&amp;col=11&amp;number=&amp;sourceID=11","")</f>
        <v/>
      </c>
      <c r="L104" s="4" t="str">
        <f>HYPERLINK("http://141.218.60.56/~jnz1568/getInfo.php?workbook=07_01.xlsx&amp;sheet=A0&amp;row=104&amp;col=12&amp;number=0.031137&amp;sourceID=11","0.031137")</f>
        <v>0.031137</v>
      </c>
      <c r="M104" s="4" t="str">
        <f>HYPERLINK("http://141.218.60.56/~jnz1568/getInfo.php?workbook=07_01.xlsx&amp;sheet=A0&amp;row=104&amp;col=13&amp;number=0.031138&amp;sourceID=12","0.031138")</f>
        <v>0.031138</v>
      </c>
      <c r="N104" s="4" t="str">
        <f>HYPERLINK("http://141.218.60.56/~jnz1568/getInfo.php?workbook=07_01.xlsx&amp;sheet=A0&amp;row=104&amp;col=14&amp;number=&amp;sourceID=12","")</f>
        <v/>
      </c>
      <c r="O104" s="4" t="str">
        <f>HYPERLINK("http://141.218.60.56/~jnz1568/getInfo.php?workbook=07_01.xlsx&amp;sheet=A0&amp;row=104&amp;col=15&amp;number=&amp;sourceID=12","")</f>
        <v/>
      </c>
      <c r="P104" s="4" t="str">
        <f>HYPERLINK("http://141.218.60.56/~jnz1568/getInfo.php?workbook=07_01.xlsx&amp;sheet=A0&amp;row=104&amp;col=16&amp;number=&amp;sourceID=12","")</f>
        <v/>
      </c>
      <c r="Q104" s="4" t="str">
        <f>HYPERLINK("http://141.218.60.56/~jnz1568/getInfo.php?workbook=07_01.xlsx&amp;sheet=A0&amp;row=104&amp;col=17&amp;number=&amp;sourceID=12","")</f>
        <v/>
      </c>
      <c r="R104" s="4" t="str">
        <f>HYPERLINK("http://141.218.60.56/~jnz1568/getInfo.php?workbook=07_01.xlsx&amp;sheet=A0&amp;row=104&amp;col=18&amp;number=&amp;sourceID=12","")</f>
        <v/>
      </c>
      <c r="S104" s="4" t="str">
        <f>HYPERLINK("http://141.218.60.56/~jnz1568/getInfo.php?workbook=07_01.xlsx&amp;sheet=A0&amp;row=104&amp;col=19&amp;number=0.031138&amp;sourceID=12","0.031138")</f>
        <v>0.031138</v>
      </c>
      <c r="T104" s="4" t="str">
        <f>HYPERLINK("http://141.218.60.56/~jnz1568/getInfo.php?workbook=07_01.xlsx&amp;sheet=A0&amp;row=104&amp;col=20&amp;number=&amp;sourceID=30","")</f>
        <v/>
      </c>
      <c r="U104" s="4" t="str">
        <f>HYPERLINK("http://141.218.60.56/~jnz1568/getInfo.php?workbook=07_01.xlsx&amp;sheet=A0&amp;row=104&amp;col=21&amp;number=&amp;sourceID=30","")</f>
        <v/>
      </c>
      <c r="V104" s="4" t="str">
        <f>HYPERLINK("http://141.218.60.56/~jnz1568/getInfo.php?workbook=07_01.xlsx&amp;sheet=A0&amp;row=104&amp;col=22&amp;number=&amp;sourceID=30","")</f>
        <v/>
      </c>
      <c r="W104" s="4" t="str">
        <f>HYPERLINK("http://141.218.60.56/~jnz1568/getInfo.php?workbook=07_01.xlsx&amp;sheet=A0&amp;row=104&amp;col=23&amp;number=&amp;sourceID=30","")</f>
        <v/>
      </c>
      <c r="X104" s="4" t="str">
        <f>HYPERLINK("http://141.218.60.56/~jnz1568/getInfo.php?workbook=07_01.xlsx&amp;sheet=A0&amp;row=104&amp;col=24&amp;number=&amp;sourceID=30","")</f>
        <v/>
      </c>
      <c r="Y104" s="4" t="str">
        <f>HYPERLINK("http://141.218.60.56/~jnz1568/getInfo.php?workbook=07_01.xlsx&amp;sheet=A0&amp;row=104&amp;col=25&amp;number=&amp;sourceID=13","")</f>
        <v/>
      </c>
      <c r="Z104" s="4" t="str">
        <f>HYPERLINK("http://141.218.60.56/~jnz1568/getInfo.php?workbook=07_01.xlsx&amp;sheet=A0&amp;row=104&amp;col=26&amp;number=&amp;sourceID=13","")</f>
        <v/>
      </c>
      <c r="AA104" s="4" t="str">
        <f>HYPERLINK("http://141.218.60.56/~jnz1568/getInfo.php?workbook=07_01.xlsx&amp;sheet=A0&amp;row=104&amp;col=27&amp;number=&amp;sourceID=13","")</f>
        <v/>
      </c>
      <c r="AB104" s="4" t="str">
        <f>HYPERLINK("http://141.218.60.56/~jnz1568/getInfo.php?workbook=07_01.xlsx&amp;sheet=A0&amp;row=104&amp;col=28&amp;number=&amp;sourceID=13","")</f>
        <v/>
      </c>
      <c r="AC104" s="4" t="str">
        <f>HYPERLINK("http://141.218.60.56/~jnz1568/getInfo.php?workbook=07_01.xlsx&amp;sheet=A0&amp;row=104&amp;col=29&amp;number=&amp;sourceID=13","")</f>
        <v/>
      </c>
      <c r="AD104" s="4" t="str">
        <f>HYPERLINK("http://141.218.60.56/~jnz1568/getInfo.php?workbook=07_01.xlsx&amp;sheet=A0&amp;row=104&amp;col=30&amp;number=&amp;sourceID=13","")</f>
        <v/>
      </c>
    </row>
    <row r="105" spans="1:30">
      <c r="A105" s="3">
        <v>7</v>
      </c>
      <c r="B105" s="3">
        <v>1</v>
      </c>
      <c r="C105" s="3">
        <v>16</v>
      </c>
      <c r="D105" s="3">
        <v>3</v>
      </c>
      <c r="E105" s="3">
        <f>((1/(INDEX(E0!J$4:J$28,C105,1)-INDEX(E0!J$4:J$28,D105,1))))*100000000</f>
        <v>0</v>
      </c>
      <c r="F105" s="4" t="str">
        <f>HYPERLINK("http://141.218.60.56/~jnz1568/getInfo.php?workbook=07_01.xlsx&amp;sheet=A0&amp;row=105&amp;col=6&amp;number==&amp;sourceID=11","=")</f>
        <v>=</v>
      </c>
      <c r="G105" s="4" t="str">
        <f>HYPERLINK("http://141.218.60.56/~jnz1568/getInfo.php?workbook=07_01.xlsx&amp;sheet=A0&amp;row=105&amp;col=7&amp;number=&amp;sourceID=11","")</f>
        <v/>
      </c>
      <c r="H105" s="4" t="str">
        <f>HYPERLINK("http://141.218.60.56/~jnz1568/getInfo.php?workbook=07_01.xlsx&amp;sheet=A0&amp;row=105&amp;col=8&amp;number=&amp;sourceID=11","")</f>
        <v/>
      </c>
      <c r="I105" s="4" t="str">
        <f>HYPERLINK("http://141.218.60.56/~jnz1568/getInfo.php?workbook=07_01.xlsx&amp;sheet=A0&amp;row=105&amp;col=9&amp;number=706.91&amp;sourceID=11","706.91")</f>
        <v>706.91</v>
      </c>
      <c r="J105" s="4" t="str">
        <f>HYPERLINK("http://141.218.60.56/~jnz1568/getInfo.php?workbook=07_01.xlsx&amp;sheet=A0&amp;row=105&amp;col=10&amp;number=&amp;sourceID=11","")</f>
        <v/>
      </c>
      <c r="K105" s="4" t="str">
        <f>HYPERLINK("http://141.218.60.56/~jnz1568/getInfo.php?workbook=07_01.xlsx&amp;sheet=A0&amp;row=105&amp;col=11&amp;number=&amp;sourceID=11","")</f>
        <v/>
      </c>
      <c r="L105" s="4" t="str">
        <f>HYPERLINK("http://141.218.60.56/~jnz1568/getInfo.php?workbook=07_01.xlsx&amp;sheet=A0&amp;row=105&amp;col=12&amp;number=&amp;sourceID=11","")</f>
        <v/>
      </c>
      <c r="M105" s="4" t="str">
        <f>HYPERLINK("http://141.218.60.56/~jnz1568/getInfo.php?workbook=07_01.xlsx&amp;sheet=A0&amp;row=105&amp;col=13&amp;number=706.94&amp;sourceID=12","706.94")</f>
        <v>706.94</v>
      </c>
      <c r="N105" s="4" t="str">
        <f>HYPERLINK("http://141.218.60.56/~jnz1568/getInfo.php?workbook=07_01.xlsx&amp;sheet=A0&amp;row=105&amp;col=14&amp;number=&amp;sourceID=12","")</f>
        <v/>
      </c>
      <c r="O105" s="4" t="str">
        <f>HYPERLINK("http://141.218.60.56/~jnz1568/getInfo.php?workbook=07_01.xlsx&amp;sheet=A0&amp;row=105&amp;col=15&amp;number=&amp;sourceID=12","")</f>
        <v/>
      </c>
      <c r="P105" s="4" t="str">
        <f>HYPERLINK("http://141.218.60.56/~jnz1568/getInfo.php?workbook=07_01.xlsx&amp;sheet=A0&amp;row=105&amp;col=16&amp;number=706.94&amp;sourceID=12","706.94")</f>
        <v>706.94</v>
      </c>
      <c r="Q105" s="4" t="str">
        <f>HYPERLINK("http://141.218.60.56/~jnz1568/getInfo.php?workbook=07_01.xlsx&amp;sheet=A0&amp;row=105&amp;col=17&amp;number=&amp;sourceID=12","")</f>
        <v/>
      </c>
      <c r="R105" s="4" t="str">
        <f>HYPERLINK("http://141.218.60.56/~jnz1568/getInfo.php?workbook=07_01.xlsx&amp;sheet=A0&amp;row=105&amp;col=18&amp;number=&amp;sourceID=12","")</f>
        <v/>
      </c>
      <c r="S105" s="4" t="str">
        <f>HYPERLINK("http://141.218.60.56/~jnz1568/getInfo.php?workbook=07_01.xlsx&amp;sheet=A0&amp;row=105&amp;col=19&amp;number=&amp;sourceID=12","")</f>
        <v/>
      </c>
      <c r="T105" s="4" t="str">
        <f>HYPERLINK("http://141.218.60.56/~jnz1568/getInfo.php?workbook=07_01.xlsx&amp;sheet=A0&amp;row=105&amp;col=20&amp;number=&amp;sourceID=30","")</f>
        <v/>
      </c>
      <c r="U105" s="4" t="str">
        <f>HYPERLINK("http://141.218.60.56/~jnz1568/getInfo.php?workbook=07_01.xlsx&amp;sheet=A0&amp;row=105&amp;col=21&amp;number=&amp;sourceID=30","")</f>
        <v/>
      </c>
      <c r="V105" s="4" t="str">
        <f>HYPERLINK("http://141.218.60.56/~jnz1568/getInfo.php?workbook=07_01.xlsx&amp;sheet=A0&amp;row=105&amp;col=22&amp;number=&amp;sourceID=30","")</f>
        <v/>
      </c>
      <c r="W105" s="4" t="str">
        <f>HYPERLINK("http://141.218.60.56/~jnz1568/getInfo.php?workbook=07_01.xlsx&amp;sheet=A0&amp;row=105&amp;col=23&amp;number=&amp;sourceID=30","")</f>
        <v/>
      </c>
      <c r="X105" s="4" t="str">
        <f>HYPERLINK("http://141.218.60.56/~jnz1568/getInfo.php?workbook=07_01.xlsx&amp;sheet=A0&amp;row=105&amp;col=24&amp;number=&amp;sourceID=30","")</f>
        <v/>
      </c>
      <c r="Y105" s="4" t="str">
        <f>HYPERLINK("http://141.218.60.56/~jnz1568/getInfo.php?workbook=07_01.xlsx&amp;sheet=A0&amp;row=105&amp;col=25&amp;number==SUM(Z105:AD105)&amp;sourceID=13","=SUM(Z105:AD105)")</f>
        <v>=SUM(Z105:AD105)</v>
      </c>
      <c r="Z105" s="4" t="str">
        <f>HYPERLINK("http://141.218.60.56/~jnz1568/getInfo.php?workbook=07_01.xlsx&amp;sheet=A0&amp;row=105&amp;col=26&amp;number=&amp;sourceID=13","")</f>
        <v/>
      </c>
      <c r="AA105" s="4" t="str">
        <f>HYPERLINK("http://141.218.60.56/~jnz1568/getInfo.php?workbook=07_01.xlsx&amp;sheet=A0&amp;row=105&amp;col=27&amp;number=&amp;sourceID=13","")</f>
        <v/>
      </c>
      <c r="AB105" s="4" t="str">
        <f>HYPERLINK("http://141.218.60.56/~jnz1568/getInfo.php?workbook=07_01.xlsx&amp;sheet=A0&amp;row=105&amp;col=28&amp;number=712&amp;sourceID=13","712")</f>
        <v>712</v>
      </c>
      <c r="AC105" s="4" t="str">
        <f>HYPERLINK("http://141.218.60.56/~jnz1568/getInfo.php?workbook=07_01.xlsx&amp;sheet=A0&amp;row=105&amp;col=29&amp;number=&amp;sourceID=13","")</f>
        <v/>
      </c>
      <c r="AD105" s="4" t="str">
        <f>HYPERLINK("http://141.218.60.56/~jnz1568/getInfo.php?workbook=07_01.xlsx&amp;sheet=A0&amp;row=105&amp;col=30&amp;number=&amp;sourceID=13","")</f>
        <v/>
      </c>
    </row>
    <row r="106" spans="1:30">
      <c r="A106" s="3">
        <v>7</v>
      </c>
      <c r="B106" s="3">
        <v>1</v>
      </c>
      <c r="C106" s="3">
        <v>16</v>
      </c>
      <c r="D106" s="3">
        <v>4</v>
      </c>
      <c r="E106" s="3">
        <f>((1/(INDEX(E0!J$4:J$28,C106,1)-INDEX(E0!J$4:J$28,D106,1))))*100000000</f>
        <v>0</v>
      </c>
      <c r="F106" s="4" t="str">
        <f>HYPERLINK("http://141.218.60.56/~jnz1568/getInfo.php?workbook=07_01.xlsx&amp;sheet=A0&amp;row=106&amp;col=6&amp;number==&amp;sourceID=11","=")</f>
        <v>=</v>
      </c>
      <c r="G106" s="4" t="str">
        <f>HYPERLINK("http://141.218.60.56/~jnz1568/getInfo.php?workbook=07_01.xlsx&amp;sheet=A0&amp;row=106&amp;col=7&amp;number=&amp;sourceID=11","")</f>
        <v/>
      </c>
      <c r="H106" s="4" t="str">
        <f>HYPERLINK("http://141.218.60.56/~jnz1568/getInfo.php?workbook=07_01.xlsx&amp;sheet=A0&amp;row=106&amp;col=8&amp;number=7267800&amp;sourceID=11","7267800")</f>
        <v>7267800</v>
      </c>
      <c r="I106" s="4" t="str">
        <f>HYPERLINK("http://141.218.60.56/~jnz1568/getInfo.php?workbook=07_01.xlsx&amp;sheet=A0&amp;row=106&amp;col=9&amp;number=&amp;sourceID=11","")</f>
        <v/>
      </c>
      <c r="J106" s="4" t="str">
        <f>HYPERLINK("http://141.218.60.56/~jnz1568/getInfo.php?workbook=07_01.xlsx&amp;sheet=A0&amp;row=106&amp;col=10&amp;number=&amp;sourceID=11","")</f>
        <v/>
      </c>
      <c r="K106" s="4" t="str">
        <f>HYPERLINK("http://141.218.60.56/~jnz1568/getInfo.php?workbook=07_01.xlsx&amp;sheet=A0&amp;row=106&amp;col=11&amp;number=&amp;sourceID=11","")</f>
        <v/>
      </c>
      <c r="L106" s="4" t="str">
        <f>HYPERLINK("http://141.218.60.56/~jnz1568/getInfo.php?workbook=07_01.xlsx&amp;sheet=A0&amp;row=106&amp;col=12&amp;number=0.093232&amp;sourceID=11","0.093232")</f>
        <v>0.093232</v>
      </c>
      <c r="M106" s="4" t="str">
        <f>HYPERLINK("http://141.218.60.56/~jnz1568/getInfo.php?workbook=07_01.xlsx&amp;sheet=A0&amp;row=106&amp;col=13&amp;number=7268100&amp;sourceID=12","7268100")</f>
        <v>7268100</v>
      </c>
      <c r="N106" s="4" t="str">
        <f>HYPERLINK("http://141.218.60.56/~jnz1568/getInfo.php?workbook=07_01.xlsx&amp;sheet=A0&amp;row=106&amp;col=14&amp;number=&amp;sourceID=12","")</f>
        <v/>
      </c>
      <c r="O106" s="4" t="str">
        <f>HYPERLINK("http://141.218.60.56/~jnz1568/getInfo.php?workbook=07_01.xlsx&amp;sheet=A0&amp;row=106&amp;col=15&amp;number=7268100&amp;sourceID=12","7268100")</f>
        <v>7268100</v>
      </c>
      <c r="P106" s="4" t="str">
        <f>HYPERLINK("http://141.218.60.56/~jnz1568/getInfo.php?workbook=07_01.xlsx&amp;sheet=A0&amp;row=106&amp;col=16&amp;number=&amp;sourceID=12","")</f>
        <v/>
      </c>
      <c r="Q106" s="4" t="str">
        <f>HYPERLINK("http://141.218.60.56/~jnz1568/getInfo.php?workbook=07_01.xlsx&amp;sheet=A0&amp;row=106&amp;col=17&amp;number=&amp;sourceID=12","")</f>
        <v/>
      </c>
      <c r="R106" s="4" t="str">
        <f>HYPERLINK("http://141.218.60.56/~jnz1568/getInfo.php?workbook=07_01.xlsx&amp;sheet=A0&amp;row=106&amp;col=18&amp;number=&amp;sourceID=12","")</f>
        <v/>
      </c>
      <c r="S106" s="4" t="str">
        <f>HYPERLINK("http://141.218.60.56/~jnz1568/getInfo.php?workbook=07_01.xlsx&amp;sheet=A0&amp;row=106&amp;col=19&amp;number=0.093236&amp;sourceID=12","0.093236")</f>
        <v>0.093236</v>
      </c>
      <c r="T106" s="4" t="str">
        <f>HYPERLINK("http://141.218.60.56/~jnz1568/getInfo.php?workbook=07_01.xlsx&amp;sheet=A0&amp;row=106&amp;col=20&amp;number==SUM(U106:X106)&amp;sourceID=30","=SUM(U106:X106)")</f>
        <v>=SUM(U106:X106)</v>
      </c>
      <c r="U106" s="4" t="str">
        <f>HYPERLINK("http://141.218.60.56/~jnz1568/getInfo.php?workbook=07_01.xlsx&amp;sheet=A0&amp;row=106&amp;col=21&amp;number=&amp;sourceID=30","")</f>
        <v/>
      </c>
      <c r="V106" s="4" t="str">
        <f>HYPERLINK("http://141.218.60.56/~jnz1568/getInfo.php?workbook=07_01.xlsx&amp;sheet=A0&amp;row=106&amp;col=22&amp;number=7268000&amp;sourceID=30","7268000")</f>
        <v>7268000</v>
      </c>
      <c r="W106" s="4" t="str">
        <f>HYPERLINK("http://141.218.60.56/~jnz1568/getInfo.php?workbook=07_01.xlsx&amp;sheet=A0&amp;row=106&amp;col=23&amp;number=&amp;sourceID=30","")</f>
        <v/>
      </c>
      <c r="X106" s="4" t="str">
        <f>HYPERLINK("http://141.218.60.56/~jnz1568/getInfo.php?workbook=07_01.xlsx&amp;sheet=A0&amp;row=106&amp;col=24&amp;number=&amp;sourceID=30","")</f>
        <v/>
      </c>
      <c r="Y106" s="4" t="str">
        <f>HYPERLINK("http://141.218.60.56/~jnz1568/getInfo.php?workbook=07_01.xlsx&amp;sheet=A0&amp;row=106&amp;col=25&amp;number==SUM(Z106:AD106)&amp;sourceID=13","=SUM(Z106:AD106)")</f>
        <v>=SUM(Z106:AD106)</v>
      </c>
      <c r="Z106" s="4" t="str">
        <f>HYPERLINK("http://141.218.60.56/~jnz1568/getInfo.php?workbook=07_01.xlsx&amp;sheet=A0&amp;row=106&amp;col=26&amp;number=&amp;sourceID=13","")</f>
        <v/>
      </c>
      <c r="AA106" s="4" t="str">
        <f>HYPERLINK("http://141.218.60.56/~jnz1568/getInfo.php?workbook=07_01.xlsx&amp;sheet=A0&amp;row=106&amp;col=27&amp;number=7280000&amp;sourceID=13","7280000")</f>
        <v>7280000</v>
      </c>
      <c r="AB106" s="4" t="str">
        <f>HYPERLINK("http://141.218.60.56/~jnz1568/getInfo.php?workbook=07_01.xlsx&amp;sheet=A0&amp;row=106&amp;col=28&amp;number=&amp;sourceID=13","")</f>
        <v/>
      </c>
      <c r="AC106" s="4" t="str">
        <f>HYPERLINK("http://141.218.60.56/~jnz1568/getInfo.php?workbook=07_01.xlsx&amp;sheet=A0&amp;row=106&amp;col=29&amp;number=&amp;sourceID=13","")</f>
        <v/>
      </c>
      <c r="AD106" s="4" t="str">
        <f>HYPERLINK("http://141.218.60.56/~jnz1568/getInfo.php?workbook=07_01.xlsx&amp;sheet=A0&amp;row=106&amp;col=30&amp;number=&amp;sourceID=13","")</f>
        <v/>
      </c>
    </row>
    <row r="107" spans="1:30">
      <c r="A107" s="3">
        <v>7</v>
      </c>
      <c r="B107" s="3">
        <v>1</v>
      </c>
      <c r="C107" s="3">
        <v>16</v>
      </c>
      <c r="D107" s="3">
        <v>5</v>
      </c>
      <c r="E107" s="3">
        <f>((1/(INDEX(E0!J$4:J$28,C107,1)-INDEX(E0!J$4:J$28,D107,1))))*100000000</f>
        <v>0</v>
      </c>
      <c r="F107" s="4" t="str">
        <f>HYPERLINK("http://141.218.60.56/~jnz1568/getInfo.php?workbook=07_01.xlsx&amp;sheet=A0&amp;row=107&amp;col=6&amp;number==&amp;sourceID=11","=")</f>
        <v>=</v>
      </c>
      <c r="G107" s="4" t="str">
        <f>HYPERLINK("http://141.218.60.56/~jnz1568/getInfo.php?workbook=07_01.xlsx&amp;sheet=A0&amp;row=107&amp;col=7&amp;number=&amp;sourceID=11","")</f>
        <v/>
      </c>
      <c r="H107" s="4" t="str">
        <f>HYPERLINK("http://141.218.60.56/~jnz1568/getInfo.php?workbook=07_01.xlsx&amp;sheet=A0&amp;row=107&amp;col=8&amp;number=&amp;sourceID=11","")</f>
        <v/>
      </c>
      <c r="I107" s="4" t="str">
        <f>HYPERLINK("http://141.218.60.56/~jnz1568/getInfo.php?workbook=07_01.xlsx&amp;sheet=A0&amp;row=107&amp;col=9&amp;number=&amp;sourceID=11","")</f>
        <v/>
      </c>
      <c r="J107" s="4" t="str">
        <f>HYPERLINK("http://141.218.60.56/~jnz1568/getInfo.php?workbook=07_01.xlsx&amp;sheet=A0&amp;row=107&amp;col=10&amp;number=&amp;sourceID=11","")</f>
        <v/>
      </c>
      <c r="K107" s="4" t="str">
        <f>HYPERLINK("http://141.218.60.56/~jnz1568/getInfo.php?workbook=07_01.xlsx&amp;sheet=A0&amp;row=107&amp;col=11&amp;number=&amp;sourceID=11","")</f>
        <v/>
      </c>
      <c r="L107" s="4" t="str">
        <f>HYPERLINK("http://141.218.60.56/~jnz1568/getInfo.php?workbook=07_01.xlsx&amp;sheet=A0&amp;row=107&amp;col=12&amp;number=0.00019703&amp;sourceID=11","0.00019703")</f>
        <v>0.00019703</v>
      </c>
      <c r="M107" s="4" t="str">
        <f>HYPERLINK("http://141.218.60.56/~jnz1568/getInfo.php?workbook=07_01.xlsx&amp;sheet=A0&amp;row=107&amp;col=13&amp;number=0.00019704&amp;sourceID=12","0.00019704")</f>
        <v>0.00019704</v>
      </c>
      <c r="N107" s="4" t="str">
        <f>HYPERLINK("http://141.218.60.56/~jnz1568/getInfo.php?workbook=07_01.xlsx&amp;sheet=A0&amp;row=107&amp;col=14&amp;number=&amp;sourceID=12","")</f>
        <v/>
      </c>
      <c r="O107" s="4" t="str">
        <f>HYPERLINK("http://141.218.60.56/~jnz1568/getInfo.php?workbook=07_01.xlsx&amp;sheet=A0&amp;row=107&amp;col=15&amp;number=&amp;sourceID=12","")</f>
        <v/>
      </c>
      <c r="P107" s="4" t="str">
        <f>HYPERLINK("http://141.218.60.56/~jnz1568/getInfo.php?workbook=07_01.xlsx&amp;sheet=A0&amp;row=107&amp;col=16&amp;number=&amp;sourceID=12","")</f>
        <v/>
      </c>
      <c r="Q107" s="4" t="str">
        <f>HYPERLINK("http://141.218.60.56/~jnz1568/getInfo.php?workbook=07_01.xlsx&amp;sheet=A0&amp;row=107&amp;col=17&amp;number=&amp;sourceID=12","")</f>
        <v/>
      </c>
      <c r="R107" s="4" t="str">
        <f>HYPERLINK("http://141.218.60.56/~jnz1568/getInfo.php?workbook=07_01.xlsx&amp;sheet=A0&amp;row=107&amp;col=18&amp;number=&amp;sourceID=12","")</f>
        <v/>
      </c>
      <c r="S107" s="4" t="str">
        <f>HYPERLINK("http://141.218.60.56/~jnz1568/getInfo.php?workbook=07_01.xlsx&amp;sheet=A0&amp;row=107&amp;col=19&amp;number=0.00019704&amp;sourceID=12","0.00019704")</f>
        <v>0.00019704</v>
      </c>
      <c r="T107" s="4" t="str">
        <f>HYPERLINK("http://141.218.60.56/~jnz1568/getInfo.php?workbook=07_01.xlsx&amp;sheet=A0&amp;row=107&amp;col=20&amp;number=&amp;sourceID=30","")</f>
        <v/>
      </c>
      <c r="U107" s="4" t="str">
        <f>HYPERLINK("http://141.218.60.56/~jnz1568/getInfo.php?workbook=07_01.xlsx&amp;sheet=A0&amp;row=107&amp;col=21&amp;number=&amp;sourceID=30","")</f>
        <v/>
      </c>
      <c r="V107" s="4" t="str">
        <f>HYPERLINK("http://141.218.60.56/~jnz1568/getInfo.php?workbook=07_01.xlsx&amp;sheet=A0&amp;row=107&amp;col=22&amp;number=&amp;sourceID=30","")</f>
        <v/>
      </c>
      <c r="W107" s="4" t="str">
        <f>HYPERLINK("http://141.218.60.56/~jnz1568/getInfo.php?workbook=07_01.xlsx&amp;sheet=A0&amp;row=107&amp;col=23&amp;number=&amp;sourceID=30","")</f>
        <v/>
      </c>
      <c r="X107" s="4" t="str">
        <f>HYPERLINK("http://141.218.60.56/~jnz1568/getInfo.php?workbook=07_01.xlsx&amp;sheet=A0&amp;row=107&amp;col=24&amp;number=&amp;sourceID=30","")</f>
        <v/>
      </c>
      <c r="Y107" s="4" t="str">
        <f>HYPERLINK("http://141.218.60.56/~jnz1568/getInfo.php?workbook=07_01.xlsx&amp;sheet=A0&amp;row=107&amp;col=25&amp;number=&amp;sourceID=13","")</f>
        <v/>
      </c>
      <c r="Z107" s="4" t="str">
        <f>HYPERLINK("http://141.218.60.56/~jnz1568/getInfo.php?workbook=07_01.xlsx&amp;sheet=A0&amp;row=107&amp;col=26&amp;number=&amp;sourceID=13","")</f>
        <v/>
      </c>
      <c r="AA107" s="4" t="str">
        <f>HYPERLINK("http://141.218.60.56/~jnz1568/getInfo.php?workbook=07_01.xlsx&amp;sheet=A0&amp;row=107&amp;col=27&amp;number=&amp;sourceID=13","")</f>
        <v/>
      </c>
      <c r="AB107" s="4" t="str">
        <f>HYPERLINK("http://141.218.60.56/~jnz1568/getInfo.php?workbook=07_01.xlsx&amp;sheet=A0&amp;row=107&amp;col=28&amp;number=&amp;sourceID=13","")</f>
        <v/>
      </c>
      <c r="AC107" s="4" t="str">
        <f>HYPERLINK("http://141.218.60.56/~jnz1568/getInfo.php?workbook=07_01.xlsx&amp;sheet=A0&amp;row=107&amp;col=29&amp;number=&amp;sourceID=13","")</f>
        <v/>
      </c>
      <c r="AD107" s="4" t="str">
        <f>HYPERLINK("http://141.218.60.56/~jnz1568/getInfo.php?workbook=07_01.xlsx&amp;sheet=A0&amp;row=107&amp;col=30&amp;number=&amp;sourceID=13","")</f>
        <v/>
      </c>
    </row>
    <row r="108" spans="1:30">
      <c r="A108" s="3">
        <v>7</v>
      </c>
      <c r="B108" s="3">
        <v>1</v>
      </c>
      <c r="C108" s="3">
        <v>16</v>
      </c>
      <c r="D108" s="3">
        <v>6</v>
      </c>
      <c r="E108" s="3">
        <f>((1/(INDEX(E0!J$4:J$28,C108,1)-INDEX(E0!J$4:J$28,D108,1))))*100000000</f>
        <v>0</v>
      </c>
      <c r="F108" s="4" t="str">
        <f>HYPERLINK("http://141.218.60.56/~jnz1568/getInfo.php?workbook=07_01.xlsx&amp;sheet=A0&amp;row=108&amp;col=6&amp;number==&amp;sourceID=11","=")</f>
        <v>=</v>
      </c>
      <c r="G108" s="4" t="str">
        <f>HYPERLINK("http://141.218.60.56/~jnz1568/getInfo.php?workbook=07_01.xlsx&amp;sheet=A0&amp;row=108&amp;col=7&amp;number=&amp;sourceID=11","")</f>
        <v/>
      </c>
      <c r="H108" s="4" t="str">
        <f>HYPERLINK("http://141.218.60.56/~jnz1568/getInfo.php?workbook=07_01.xlsx&amp;sheet=A0&amp;row=108&amp;col=8&amp;number=&amp;sourceID=11","")</f>
        <v/>
      </c>
      <c r="I108" s="4" t="str">
        <f>HYPERLINK("http://141.218.60.56/~jnz1568/getInfo.php?workbook=07_01.xlsx&amp;sheet=A0&amp;row=108&amp;col=9&amp;number=6.4927&amp;sourceID=11","6.4927")</f>
        <v>6.4927</v>
      </c>
      <c r="J108" s="4" t="str">
        <f>HYPERLINK("http://141.218.60.56/~jnz1568/getInfo.php?workbook=07_01.xlsx&amp;sheet=A0&amp;row=108&amp;col=10&amp;number=&amp;sourceID=11","")</f>
        <v/>
      </c>
      <c r="K108" s="4" t="str">
        <f>HYPERLINK("http://141.218.60.56/~jnz1568/getInfo.php?workbook=07_01.xlsx&amp;sheet=A0&amp;row=108&amp;col=11&amp;number=&amp;sourceID=11","")</f>
        <v/>
      </c>
      <c r="L108" s="4" t="str">
        <f>HYPERLINK("http://141.218.60.56/~jnz1568/getInfo.php?workbook=07_01.xlsx&amp;sheet=A0&amp;row=108&amp;col=12&amp;number=&amp;sourceID=11","")</f>
        <v/>
      </c>
      <c r="M108" s="4" t="str">
        <f>HYPERLINK("http://141.218.60.56/~jnz1568/getInfo.php?workbook=07_01.xlsx&amp;sheet=A0&amp;row=108&amp;col=13&amp;number=6.493&amp;sourceID=12","6.493")</f>
        <v>6.493</v>
      </c>
      <c r="N108" s="4" t="str">
        <f>HYPERLINK("http://141.218.60.56/~jnz1568/getInfo.php?workbook=07_01.xlsx&amp;sheet=A0&amp;row=108&amp;col=14&amp;number=&amp;sourceID=12","")</f>
        <v/>
      </c>
      <c r="O108" s="4" t="str">
        <f>HYPERLINK("http://141.218.60.56/~jnz1568/getInfo.php?workbook=07_01.xlsx&amp;sheet=A0&amp;row=108&amp;col=15&amp;number=&amp;sourceID=12","")</f>
        <v/>
      </c>
      <c r="P108" s="4" t="str">
        <f>HYPERLINK("http://141.218.60.56/~jnz1568/getInfo.php?workbook=07_01.xlsx&amp;sheet=A0&amp;row=108&amp;col=16&amp;number=6.493&amp;sourceID=12","6.493")</f>
        <v>6.493</v>
      </c>
      <c r="Q108" s="4" t="str">
        <f>HYPERLINK("http://141.218.60.56/~jnz1568/getInfo.php?workbook=07_01.xlsx&amp;sheet=A0&amp;row=108&amp;col=17&amp;number=&amp;sourceID=12","")</f>
        <v/>
      </c>
      <c r="R108" s="4" t="str">
        <f>HYPERLINK("http://141.218.60.56/~jnz1568/getInfo.php?workbook=07_01.xlsx&amp;sheet=A0&amp;row=108&amp;col=18&amp;number=&amp;sourceID=12","")</f>
        <v/>
      </c>
      <c r="S108" s="4" t="str">
        <f>HYPERLINK("http://141.218.60.56/~jnz1568/getInfo.php?workbook=07_01.xlsx&amp;sheet=A0&amp;row=108&amp;col=19&amp;number=&amp;sourceID=12","")</f>
        <v/>
      </c>
      <c r="T108" s="4" t="str">
        <f>HYPERLINK("http://141.218.60.56/~jnz1568/getInfo.php?workbook=07_01.xlsx&amp;sheet=A0&amp;row=108&amp;col=20&amp;number=&amp;sourceID=30","")</f>
        <v/>
      </c>
      <c r="U108" s="4" t="str">
        <f>HYPERLINK("http://141.218.60.56/~jnz1568/getInfo.php?workbook=07_01.xlsx&amp;sheet=A0&amp;row=108&amp;col=21&amp;number=&amp;sourceID=30","")</f>
        <v/>
      </c>
      <c r="V108" s="4" t="str">
        <f>HYPERLINK("http://141.218.60.56/~jnz1568/getInfo.php?workbook=07_01.xlsx&amp;sheet=A0&amp;row=108&amp;col=22&amp;number=&amp;sourceID=30","")</f>
        <v/>
      </c>
      <c r="W108" s="4" t="str">
        <f>HYPERLINK("http://141.218.60.56/~jnz1568/getInfo.php?workbook=07_01.xlsx&amp;sheet=A0&amp;row=108&amp;col=23&amp;number=&amp;sourceID=30","")</f>
        <v/>
      </c>
      <c r="X108" s="4" t="str">
        <f>HYPERLINK("http://141.218.60.56/~jnz1568/getInfo.php?workbook=07_01.xlsx&amp;sheet=A0&amp;row=108&amp;col=24&amp;number=&amp;sourceID=30","")</f>
        <v/>
      </c>
      <c r="Y108" s="4" t="str">
        <f>HYPERLINK("http://141.218.60.56/~jnz1568/getInfo.php?workbook=07_01.xlsx&amp;sheet=A0&amp;row=108&amp;col=25&amp;number==SUM(Z108:AD108)&amp;sourceID=13","=SUM(Z108:AD108)")</f>
        <v>=SUM(Z108:AD108)</v>
      </c>
      <c r="Z108" s="4" t="str">
        <f>HYPERLINK("http://141.218.60.56/~jnz1568/getInfo.php?workbook=07_01.xlsx&amp;sheet=A0&amp;row=108&amp;col=26&amp;number=&amp;sourceID=13","")</f>
        <v/>
      </c>
      <c r="AA108" s="4" t="str">
        <f>HYPERLINK("http://141.218.60.56/~jnz1568/getInfo.php?workbook=07_01.xlsx&amp;sheet=A0&amp;row=108&amp;col=27&amp;number=&amp;sourceID=13","")</f>
        <v/>
      </c>
      <c r="AB108" s="4" t="str">
        <f>HYPERLINK("http://141.218.60.56/~jnz1568/getInfo.php?workbook=07_01.xlsx&amp;sheet=A0&amp;row=108&amp;col=28&amp;number=6.49&amp;sourceID=13","6.49")</f>
        <v>6.49</v>
      </c>
      <c r="AC108" s="4" t="str">
        <f>HYPERLINK("http://141.218.60.56/~jnz1568/getInfo.php?workbook=07_01.xlsx&amp;sheet=A0&amp;row=108&amp;col=29&amp;number=&amp;sourceID=13","")</f>
        <v/>
      </c>
      <c r="AD108" s="4" t="str">
        <f>HYPERLINK("http://141.218.60.56/~jnz1568/getInfo.php?workbook=07_01.xlsx&amp;sheet=A0&amp;row=108&amp;col=30&amp;number=&amp;sourceID=13","")</f>
        <v/>
      </c>
    </row>
    <row r="109" spans="1:30">
      <c r="A109" s="3">
        <v>7</v>
      </c>
      <c r="B109" s="3">
        <v>1</v>
      </c>
      <c r="C109" s="3">
        <v>16</v>
      </c>
      <c r="D109" s="3">
        <v>7</v>
      </c>
      <c r="E109" s="3">
        <f>((1/(INDEX(E0!J$4:J$28,C109,1)-INDEX(E0!J$4:J$28,D109,1))))*100000000</f>
        <v>0</v>
      </c>
      <c r="F109" s="4" t="str">
        <f>HYPERLINK("http://141.218.60.56/~jnz1568/getInfo.php?workbook=07_01.xlsx&amp;sheet=A0&amp;row=109&amp;col=6&amp;number==&amp;sourceID=11","=")</f>
        <v>=</v>
      </c>
      <c r="G109" s="4" t="str">
        <f>HYPERLINK("http://141.218.60.56/~jnz1568/getInfo.php?workbook=07_01.xlsx&amp;sheet=A0&amp;row=109&amp;col=7&amp;number=&amp;sourceID=11","")</f>
        <v/>
      </c>
      <c r="H109" s="4" t="str">
        <f>HYPERLINK("http://141.218.60.56/~jnz1568/getInfo.php?workbook=07_01.xlsx&amp;sheet=A0&amp;row=109&amp;col=8&amp;number=&amp;sourceID=11","")</f>
        <v/>
      </c>
      <c r="I109" s="4" t="str">
        <f>HYPERLINK("http://141.218.60.56/~jnz1568/getInfo.php?workbook=07_01.xlsx&amp;sheet=A0&amp;row=109&amp;col=9&amp;number=0.77793&amp;sourceID=11","0.77793")</f>
        <v>0.77793</v>
      </c>
      <c r="J109" s="4" t="str">
        <f>HYPERLINK("http://141.218.60.56/~jnz1568/getInfo.php?workbook=07_01.xlsx&amp;sheet=A0&amp;row=109&amp;col=10&amp;number=&amp;sourceID=11","")</f>
        <v/>
      </c>
      <c r="K109" s="4" t="str">
        <f>HYPERLINK("http://141.218.60.56/~jnz1568/getInfo.php?workbook=07_01.xlsx&amp;sheet=A0&amp;row=109&amp;col=11&amp;number=7.1135&amp;sourceID=11","7.1135")</f>
        <v>7.1135</v>
      </c>
      <c r="L109" s="4" t="str">
        <f>HYPERLINK("http://141.218.60.56/~jnz1568/getInfo.php?workbook=07_01.xlsx&amp;sheet=A0&amp;row=109&amp;col=12&amp;number=&amp;sourceID=11","")</f>
        <v/>
      </c>
      <c r="M109" s="4" t="str">
        <f>HYPERLINK("http://141.218.60.56/~jnz1568/getInfo.php?workbook=07_01.xlsx&amp;sheet=A0&amp;row=109&amp;col=13&amp;number=7.8918&amp;sourceID=12","7.8918")</f>
        <v>7.8918</v>
      </c>
      <c r="N109" s="4" t="str">
        <f>HYPERLINK("http://141.218.60.56/~jnz1568/getInfo.php?workbook=07_01.xlsx&amp;sheet=A0&amp;row=109&amp;col=14&amp;number=&amp;sourceID=12","")</f>
        <v/>
      </c>
      <c r="O109" s="4" t="str">
        <f>HYPERLINK("http://141.218.60.56/~jnz1568/getInfo.php?workbook=07_01.xlsx&amp;sheet=A0&amp;row=109&amp;col=15&amp;number=&amp;sourceID=12","")</f>
        <v/>
      </c>
      <c r="P109" s="4" t="str">
        <f>HYPERLINK("http://141.218.60.56/~jnz1568/getInfo.php?workbook=07_01.xlsx&amp;sheet=A0&amp;row=109&amp;col=16&amp;number=0.77796&amp;sourceID=12","0.77796")</f>
        <v>0.77796</v>
      </c>
      <c r="Q109" s="4" t="str">
        <f>HYPERLINK("http://141.218.60.56/~jnz1568/getInfo.php?workbook=07_01.xlsx&amp;sheet=A0&amp;row=109&amp;col=17&amp;number=&amp;sourceID=12","")</f>
        <v/>
      </c>
      <c r="R109" s="4" t="str">
        <f>HYPERLINK("http://141.218.60.56/~jnz1568/getInfo.php?workbook=07_01.xlsx&amp;sheet=A0&amp;row=109&amp;col=18&amp;number=7.1138&amp;sourceID=12","7.1138")</f>
        <v>7.1138</v>
      </c>
      <c r="S109" s="4" t="str">
        <f>HYPERLINK("http://141.218.60.56/~jnz1568/getInfo.php?workbook=07_01.xlsx&amp;sheet=A0&amp;row=109&amp;col=19&amp;number=&amp;sourceID=12","")</f>
        <v/>
      </c>
      <c r="T109" s="4" t="str">
        <f>HYPERLINK("http://141.218.60.56/~jnz1568/getInfo.php?workbook=07_01.xlsx&amp;sheet=A0&amp;row=109&amp;col=20&amp;number==SUM(U109:X109)&amp;sourceID=30","=SUM(U109:X109)")</f>
        <v>=SUM(U109:X109)</v>
      </c>
      <c r="U109" s="4" t="str">
        <f>HYPERLINK("http://141.218.60.56/~jnz1568/getInfo.php?workbook=07_01.xlsx&amp;sheet=A0&amp;row=109&amp;col=21&amp;number=&amp;sourceID=30","")</f>
        <v/>
      </c>
      <c r="V109" s="4" t="str">
        <f>HYPERLINK("http://141.218.60.56/~jnz1568/getInfo.php?workbook=07_01.xlsx&amp;sheet=A0&amp;row=109&amp;col=22&amp;number=&amp;sourceID=30","")</f>
        <v/>
      </c>
      <c r="W109" s="4" t="str">
        <f>HYPERLINK("http://141.218.60.56/~jnz1568/getInfo.php?workbook=07_01.xlsx&amp;sheet=A0&amp;row=109&amp;col=23&amp;number=&amp;sourceID=30","")</f>
        <v/>
      </c>
      <c r="X109" s="4" t="str">
        <f>HYPERLINK("http://141.218.60.56/~jnz1568/getInfo.php?workbook=07_01.xlsx&amp;sheet=A0&amp;row=109&amp;col=24&amp;number=7.114&amp;sourceID=30","7.114")</f>
        <v>7.114</v>
      </c>
      <c r="Y109" s="4" t="str">
        <f>HYPERLINK("http://141.218.60.56/~jnz1568/getInfo.php?workbook=07_01.xlsx&amp;sheet=A0&amp;row=109&amp;col=25&amp;number==SUM(Z109:AD109)&amp;sourceID=13","=SUM(Z109:AD109)")</f>
        <v>=SUM(Z109:AD109)</v>
      </c>
      <c r="Z109" s="4" t="str">
        <f>HYPERLINK("http://141.218.60.56/~jnz1568/getInfo.php?workbook=07_01.xlsx&amp;sheet=A0&amp;row=109&amp;col=26&amp;number=&amp;sourceID=13","")</f>
        <v/>
      </c>
      <c r="AA109" s="4" t="str">
        <f>HYPERLINK("http://141.218.60.56/~jnz1568/getInfo.php?workbook=07_01.xlsx&amp;sheet=A0&amp;row=109&amp;col=27&amp;number=&amp;sourceID=13","")</f>
        <v/>
      </c>
      <c r="AB109" s="4" t="str">
        <f>HYPERLINK("http://141.218.60.56/~jnz1568/getInfo.php?workbook=07_01.xlsx&amp;sheet=A0&amp;row=109&amp;col=28&amp;number=1.75&amp;sourceID=13","1.75")</f>
        <v>1.75</v>
      </c>
      <c r="AC109" s="4" t="str">
        <f>HYPERLINK("http://141.218.60.56/~jnz1568/getInfo.php?workbook=07_01.xlsx&amp;sheet=A0&amp;row=109&amp;col=29&amp;number=&amp;sourceID=13","")</f>
        <v/>
      </c>
      <c r="AD109" s="4" t="str">
        <f>HYPERLINK("http://141.218.60.56/~jnz1568/getInfo.php?workbook=07_01.xlsx&amp;sheet=A0&amp;row=109&amp;col=30&amp;number=28.5&amp;sourceID=13","28.5")</f>
        <v>28.5</v>
      </c>
    </row>
    <row r="110" spans="1:30">
      <c r="A110" s="3">
        <v>7</v>
      </c>
      <c r="B110" s="3">
        <v>1</v>
      </c>
      <c r="C110" s="3">
        <v>16</v>
      </c>
      <c r="D110" s="3">
        <v>8</v>
      </c>
      <c r="E110" s="3">
        <f>((1/(INDEX(E0!J$4:J$28,C110,1)-INDEX(E0!J$4:J$28,D110,1))))*100000000</f>
        <v>0</v>
      </c>
      <c r="F110" s="4" t="str">
        <f>HYPERLINK("http://141.218.60.56/~jnz1568/getInfo.php?workbook=07_01.xlsx&amp;sheet=A0&amp;row=110&amp;col=6&amp;number==&amp;sourceID=11","=")</f>
        <v>=</v>
      </c>
      <c r="G110" s="4" t="str">
        <f>HYPERLINK("http://141.218.60.56/~jnz1568/getInfo.php?workbook=07_01.xlsx&amp;sheet=A0&amp;row=110&amp;col=7&amp;number=&amp;sourceID=11","")</f>
        <v/>
      </c>
      <c r="H110" s="4" t="str">
        <f>HYPERLINK("http://141.218.60.56/~jnz1568/getInfo.php?workbook=07_01.xlsx&amp;sheet=A0&amp;row=110&amp;col=8&amp;number=681600&amp;sourceID=11","681600")</f>
        <v>681600</v>
      </c>
      <c r="I110" s="4" t="str">
        <f>HYPERLINK("http://141.218.60.56/~jnz1568/getInfo.php?workbook=07_01.xlsx&amp;sheet=A0&amp;row=110&amp;col=9&amp;number=&amp;sourceID=11","")</f>
        <v/>
      </c>
      <c r="J110" s="4" t="str">
        <f>HYPERLINK("http://141.218.60.56/~jnz1568/getInfo.php?workbook=07_01.xlsx&amp;sheet=A0&amp;row=110&amp;col=10&amp;number=&amp;sourceID=11","")</f>
        <v/>
      </c>
      <c r="K110" s="4" t="str">
        <f>HYPERLINK("http://141.218.60.56/~jnz1568/getInfo.php?workbook=07_01.xlsx&amp;sheet=A0&amp;row=110&amp;col=11&amp;number=&amp;sourceID=11","")</f>
        <v/>
      </c>
      <c r="L110" s="4" t="str">
        <f>HYPERLINK("http://141.218.60.56/~jnz1568/getInfo.php?workbook=07_01.xlsx&amp;sheet=A0&amp;row=110&amp;col=12&amp;number=0.00058797&amp;sourceID=11","0.00058797")</f>
        <v>0.00058797</v>
      </c>
      <c r="M110" s="4" t="str">
        <f>HYPERLINK("http://141.218.60.56/~jnz1568/getInfo.php?workbook=07_01.xlsx&amp;sheet=A0&amp;row=110&amp;col=13&amp;number=681630&amp;sourceID=12","681630")</f>
        <v>681630</v>
      </c>
      <c r="N110" s="4" t="str">
        <f>HYPERLINK("http://141.218.60.56/~jnz1568/getInfo.php?workbook=07_01.xlsx&amp;sheet=A0&amp;row=110&amp;col=14&amp;number=&amp;sourceID=12","")</f>
        <v/>
      </c>
      <c r="O110" s="4" t="str">
        <f>HYPERLINK("http://141.218.60.56/~jnz1568/getInfo.php?workbook=07_01.xlsx&amp;sheet=A0&amp;row=110&amp;col=15&amp;number=681630&amp;sourceID=12","681630")</f>
        <v>681630</v>
      </c>
      <c r="P110" s="4" t="str">
        <f>HYPERLINK("http://141.218.60.56/~jnz1568/getInfo.php?workbook=07_01.xlsx&amp;sheet=A0&amp;row=110&amp;col=16&amp;number=&amp;sourceID=12","")</f>
        <v/>
      </c>
      <c r="Q110" s="4" t="str">
        <f>HYPERLINK("http://141.218.60.56/~jnz1568/getInfo.php?workbook=07_01.xlsx&amp;sheet=A0&amp;row=110&amp;col=17&amp;number=&amp;sourceID=12","")</f>
        <v/>
      </c>
      <c r="R110" s="4" t="str">
        <f>HYPERLINK("http://141.218.60.56/~jnz1568/getInfo.php?workbook=07_01.xlsx&amp;sheet=A0&amp;row=110&amp;col=18&amp;number=&amp;sourceID=12","")</f>
        <v/>
      </c>
      <c r="S110" s="4" t="str">
        <f>HYPERLINK("http://141.218.60.56/~jnz1568/getInfo.php?workbook=07_01.xlsx&amp;sheet=A0&amp;row=110&amp;col=19&amp;number=0.000588&amp;sourceID=12","0.000588")</f>
        <v>0.000588</v>
      </c>
      <c r="T110" s="4" t="str">
        <f>HYPERLINK("http://141.218.60.56/~jnz1568/getInfo.php?workbook=07_01.xlsx&amp;sheet=A0&amp;row=110&amp;col=20&amp;number==SUM(U110:X110)&amp;sourceID=30","=SUM(U110:X110)")</f>
        <v>=SUM(U110:X110)</v>
      </c>
      <c r="U110" s="4" t="str">
        <f>HYPERLINK("http://141.218.60.56/~jnz1568/getInfo.php?workbook=07_01.xlsx&amp;sheet=A0&amp;row=110&amp;col=21&amp;number=&amp;sourceID=30","")</f>
        <v/>
      </c>
      <c r="V110" s="4" t="str">
        <f>HYPERLINK("http://141.218.60.56/~jnz1568/getInfo.php?workbook=07_01.xlsx&amp;sheet=A0&amp;row=110&amp;col=22&amp;number=681600&amp;sourceID=30","681600")</f>
        <v>681600</v>
      </c>
      <c r="W110" s="4" t="str">
        <f>HYPERLINK("http://141.218.60.56/~jnz1568/getInfo.php?workbook=07_01.xlsx&amp;sheet=A0&amp;row=110&amp;col=23&amp;number=&amp;sourceID=30","")</f>
        <v/>
      </c>
      <c r="X110" s="4" t="str">
        <f>HYPERLINK("http://141.218.60.56/~jnz1568/getInfo.php?workbook=07_01.xlsx&amp;sheet=A0&amp;row=110&amp;col=24&amp;number=&amp;sourceID=30","")</f>
        <v/>
      </c>
      <c r="Y110" s="4" t="str">
        <f>HYPERLINK("http://141.218.60.56/~jnz1568/getInfo.php?workbook=07_01.xlsx&amp;sheet=A0&amp;row=110&amp;col=25&amp;number==SUM(Z110:AD110)&amp;sourceID=13","=SUM(Z110:AD110)")</f>
        <v>=SUM(Z110:AD110)</v>
      </c>
      <c r="Z110" s="4" t="str">
        <f>HYPERLINK("http://141.218.60.56/~jnz1568/getInfo.php?workbook=07_01.xlsx&amp;sheet=A0&amp;row=110&amp;col=26&amp;number=&amp;sourceID=13","")</f>
        <v/>
      </c>
      <c r="AA110" s="4" t="str">
        <f>HYPERLINK("http://141.218.60.56/~jnz1568/getInfo.php?workbook=07_01.xlsx&amp;sheet=A0&amp;row=110&amp;col=27&amp;number=682000&amp;sourceID=13","682000")</f>
        <v>682000</v>
      </c>
      <c r="AB110" s="4" t="str">
        <f>HYPERLINK("http://141.218.60.56/~jnz1568/getInfo.php?workbook=07_01.xlsx&amp;sheet=A0&amp;row=110&amp;col=28&amp;number=&amp;sourceID=13","")</f>
        <v/>
      </c>
      <c r="AC110" s="4" t="str">
        <f>HYPERLINK("http://141.218.60.56/~jnz1568/getInfo.php?workbook=07_01.xlsx&amp;sheet=A0&amp;row=110&amp;col=29&amp;number=&amp;sourceID=13","")</f>
        <v/>
      </c>
      <c r="AD110" s="4" t="str">
        <f>HYPERLINK("http://141.218.60.56/~jnz1568/getInfo.php?workbook=07_01.xlsx&amp;sheet=A0&amp;row=110&amp;col=30&amp;number=&amp;sourceID=13","")</f>
        <v/>
      </c>
    </row>
    <row r="111" spans="1:30">
      <c r="A111" s="3">
        <v>7</v>
      </c>
      <c r="B111" s="3">
        <v>1</v>
      </c>
      <c r="C111" s="3">
        <v>16</v>
      </c>
      <c r="D111" s="3">
        <v>9</v>
      </c>
      <c r="E111" s="3">
        <f>((1/(INDEX(E0!J$4:J$28,C111,1)-INDEX(E0!J$4:J$28,D111,1))))*100000000</f>
        <v>0</v>
      </c>
      <c r="F111" s="4" t="str">
        <f>HYPERLINK("http://141.218.60.56/~jnz1568/getInfo.php?workbook=07_01.xlsx&amp;sheet=A0&amp;row=111&amp;col=6&amp;number==&amp;sourceID=11","=")</f>
        <v>=</v>
      </c>
      <c r="G111" s="4" t="str">
        <f>HYPERLINK("http://141.218.60.56/~jnz1568/getInfo.php?workbook=07_01.xlsx&amp;sheet=A0&amp;row=111&amp;col=7&amp;number=33120000000&amp;sourceID=11","33120000000")</f>
        <v>33120000000</v>
      </c>
      <c r="H111" s="4" t="str">
        <f>HYPERLINK("http://141.218.60.56/~jnz1568/getInfo.php?workbook=07_01.xlsx&amp;sheet=A0&amp;row=111&amp;col=8&amp;number=&amp;sourceID=11","")</f>
        <v/>
      </c>
      <c r="I111" s="4" t="str">
        <f>HYPERLINK("http://141.218.60.56/~jnz1568/getInfo.php?workbook=07_01.xlsx&amp;sheet=A0&amp;row=111&amp;col=9&amp;number=2.3307&amp;sourceID=11","2.3307")</f>
        <v>2.3307</v>
      </c>
      <c r="J111" s="4" t="str">
        <f>HYPERLINK("http://141.218.60.56/~jnz1568/getInfo.php?workbook=07_01.xlsx&amp;sheet=A0&amp;row=111&amp;col=10&amp;number=&amp;sourceID=11","")</f>
        <v/>
      </c>
      <c r="K111" s="4" t="str">
        <f>HYPERLINK("http://141.218.60.56/~jnz1568/getInfo.php?workbook=07_01.xlsx&amp;sheet=A0&amp;row=111&amp;col=11&amp;number=48.963&amp;sourceID=11","48.963")</f>
        <v>48.963</v>
      </c>
      <c r="L111" s="4" t="str">
        <f>HYPERLINK("http://141.218.60.56/~jnz1568/getInfo.php?workbook=07_01.xlsx&amp;sheet=A0&amp;row=111&amp;col=12&amp;number=&amp;sourceID=11","")</f>
        <v/>
      </c>
      <c r="M111" s="4" t="str">
        <f>HYPERLINK("http://141.218.60.56/~jnz1568/getInfo.php?workbook=07_01.xlsx&amp;sheet=A0&amp;row=111&amp;col=13&amp;number=33122000000&amp;sourceID=12","33122000000")</f>
        <v>33122000000</v>
      </c>
      <c r="N111" s="4" t="str">
        <f>HYPERLINK("http://141.218.60.56/~jnz1568/getInfo.php?workbook=07_01.xlsx&amp;sheet=A0&amp;row=111&amp;col=14&amp;number=33122000000&amp;sourceID=12","33122000000")</f>
        <v>33122000000</v>
      </c>
      <c r="O111" s="4" t="str">
        <f>HYPERLINK("http://141.218.60.56/~jnz1568/getInfo.php?workbook=07_01.xlsx&amp;sheet=A0&amp;row=111&amp;col=15&amp;number=&amp;sourceID=12","")</f>
        <v/>
      </c>
      <c r="P111" s="4" t="str">
        <f>HYPERLINK("http://141.218.60.56/~jnz1568/getInfo.php?workbook=07_01.xlsx&amp;sheet=A0&amp;row=111&amp;col=16&amp;number=2.3308&amp;sourceID=12","2.3308")</f>
        <v>2.3308</v>
      </c>
      <c r="Q111" s="4" t="str">
        <f>HYPERLINK("http://141.218.60.56/~jnz1568/getInfo.php?workbook=07_01.xlsx&amp;sheet=A0&amp;row=111&amp;col=17&amp;number=&amp;sourceID=12","")</f>
        <v/>
      </c>
      <c r="R111" s="4" t="str">
        <f>HYPERLINK("http://141.218.60.56/~jnz1568/getInfo.php?workbook=07_01.xlsx&amp;sheet=A0&amp;row=111&amp;col=18&amp;number=48.965&amp;sourceID=12","48.965")</f>
        <v>48.965</v>
      </c>
      <c r="S111" s="4" t="str">
        <f>HYPERLINK("http://141.218.60.56/~jnz1568/getInfo.php?workbook=07_01.xlsx&amp;sheet=A0&amp;row=111&amp;col=19&amp;number=&amp;sourceID=12","")</f>
        <v/>
      </c>
      <c r="T111" s="4" t="str">
        <f>HYPERLINK("http://141.218.60.56/~jnz1568/getInfo.php?workbook=07_01.xlsx&amp;sheet=A0&amp;row=111&amp;col=20&amp;number==SUM(U111:X111)&amp;sourceID=30","=SUM(U111:X111)")</f>
        <v>=SUM(U111:X111)</v>
      </c>
      <c r="U111" s="4" t="str">
        <f>HYPERLINK("http://141.218.60.56/~jnz1568/getInfo.php?workbook=07_01.xlsx&amp;sheet=A0&amp;row=111&amp;col=21&amp;number=33120000000&amp;sourceID=30","33120000000")</f>
        <v>33120000000</v>
      </c>
      <c r="V111" s="4" t="str">
        <f>HYPERLINK("http://141.218.60.56/~jnz1568/getInfo.php?workbook=07_01.xlsx&amp;sheet=A0&amp;row=111&amp;col=22&amp;number=&amp;sourceID=30","")</f>
        <v/>
      </c>
      <c r="W111" s="4" t="str">
        <f>HYPERLINK("http://141.218.60.56/~jnz1568/getInfo.php?workbook=07_01.xlsx&amp;sheet=A0&amp;row=111&amp;col=23&amp;number=&amp;sourceID=30","")</f>
        <v/>
      </c>
      <c r="X111" s="4" t="str">
        <f>HYPERLINK("http://141.218.60.56/~jnz1568/getInfo.php?workbook=07_01.xlsx&amp;sheet=A0&amp;row=111&amp;col=24&amp;number=48.97&amp;sourceID=30","48.97")</f>
        <v>48.97</v>
      </c>
      <c r="Y111" s="4" t="str">
        <f>HYPERLINK("http://141.218.60.56/~jnz1568/getInfo.php?workbook=07_01.xlsx&amp;sheet=A0&amp;row=111&amp;col=25&amp;number==SUM(Z111:AD111)&amp;sourceID=13","=SUM(Z111:AD111)")</f>
        <v>=SUM(Z111:AD111)</v>
      </c>
      <c r="Z111" s="4" t="str">
        <f>HYPERLINK("http://141.218.60.56/~jnz1568/getInfo.php?workbook=07_01.xlsx&amp;sheet=A0&amp;row=111&amp;col=26&amp;number=33100000000&amp;sourceID=13","33100000000")</f>
        <v>33100000000</v>
      </c>
      <c r="AA111" s="4" t="str">
        <f>HYPERLINK("http://141.218.60.56/~jnz1568/getInfo.php?workbook=07_01.xlsx&amp;sheet=A0&amp;row=111&amp;col=27&amp;number=&amp;sourceID=13","")</f>
        <v/>
      </c>
      <c r="AB111" s="4" t="str">
        <f>HYPERLINK("http://141.218.60.56/~jnz1568/getInfo.php?workbook=07_01.xlsx&amp;sheet=A0&amp;row=111&amp;col=28&amp;number=&amp;sourceID=13","")</f>
        <v/>
      </c>
      <c r="AC111" s="4" t="str">
        <f>HYPERLINK("http://141.218.60.56/~jnz1568/getInfo.php?workbook=07_01.xlsx&amp;sheet=A0&amp;row=111&amp;col=29&amp;number=&amp;sourceID=13","")</f>
        <v/>
      </c>
      <c r="AD111" s="4" t="str">
        <f>HYPERLINK("http://141.218.60.56/~jnz1568/getInfo.php?workbook=07_01.xlsx&amp;sheet=A0&amp;row=111&amp;col=30&amp;number=&amp;sourceID=13","")</f>
        <v/>
      </c>
    </row>
    <row r="112" spans="1:30">
      <c r="A112" s="3">
        <v>7</v>
      </c>
      <c r="B112" s="3">
        <v>1</v>
      </c>
      <c r="C112" s="3">
        <v>16</v>
      </c>
      <c r="D112" s="3">
        <v>10</v>
      </c>
      <c r="E112" s="3">
        <f>((1/(INDEX(E0!J$4:J$28,C112,1)-INDEX(E0!J$4:J$28,D112,1))))*100000000</f>
        <v>0</v>
      </c>
      <c r="F112" s="4" t="str">
        <f>HYPERLINK("http://141.218.60.56/~jnz1568/getInfo.php?workbook=07_01.xlsx&amp;sheet=A0&amp;row=112&amp;col=6&amp;number==&amp;sourceID=11","=")</f>
        <v>=</v>
      </c>
      <c r="G112" s="4" t="str">
        <f>HYPERLINK("http://141.218.60.56/~jnz1568/getInfo.php?workbook=07_01.xlsx&amp;sheet=A0&amp;row=112&amp;col=7&amp;number=&amp;sourceID=11","")</f>
        <v/>
      </c>
      <c r="H112" s="4" t="str">
        <f>HYPERLINK("http://141.218.60.56/~jnz1568/getInfo.php?workbook=07_01.xlsx&amp;sheet=A0&amp;row=112&amp;col=8&amp;number=&amp;sourceID=11","")</f>
        <v/>
      </c>
      <c r="I112" s="4" t="str">
        <f>HYPERLINK("http://141.218.60.56/~jnz1568/getInfo.php?workbook=07_01.xlsx&amp;sheet=A0&amp;row=112&amp;col=9&amp;number=&amp;sourceID=11","")</f>
        <v/>
      </c>
      <c r="J112" s="4" t="str">
        <f>HYPERLINK("http://141.218.60.56/~jnz1568/getInfo.php?workbook=07_01.xlsx&amp;sheet=A0&amp;row=112&amp;col=10&amp;number=&amp;sourceID=11","")</f>
        <v/>
      </c>
      <c r="K112" s="4" t="str">
        <f>HYPERLINK("http://141.218.60.56/~jnz1568/getInfo.php?workbook=07_01.xlsx&amp;sheet=A0&amp;row=112&amp;col=11&amp;number=&amp;sourceID=11","")</f>
        <v/>
      </c>
      <c r="L112" s="4" t="str">
        <f>HYPERLINK("http://141.218.60.56/~jnz1568/getInfo.php?workbook=07_01.xlsx&amp;sheet=A0&amp;row=112&amp;col=12&amp;number=0&amp;sourceID=11","0")</f>
        <v>0</v>
      </c>
      <c r="M112" s="4" t="str">
        <f>HYPERLINK("http://141.218.60.56/~jnz1568/getInfo.php?workbook=07_01.xlsx&amp;sheet=A0&amp;row=112&amp;col=13&amp;number=0&amp;sourceID=12","0")</f>
        <v>0</v>
      </c>
      <c r="N112" s="4" t="str">
        <f>HYPERLINK("http://141.218.60.56/~jnz1568/getInfo.php?workbook=07_01.xlsx&amp;sheet=A0&amp;row=112&amp;col=14&amp;number=&amp;sourceID=12","")</f>
        <v/>
      </c>
      <c r="O112" s="4" t="str">
        <f>HYPERLINK("http://141.218.60.56/~jnz1568/getInfo.php?workbook=07_01.xlsx&amp;sheet=A0&amp;row=112&amp;col=15&amp;number=&amp;sourceID=12","")</f>
        <v/>
      </c>
      <c r="P112" s="4" t="str">
        <f>HYPERLINK("http://141.218.60.56/~jnz1568/getInfo.php?workbook=07_01.xlsx&amp;sheet=A0&amp;row=112&amp;col=16&amp;number=&amp;sourceID=12","")</f>
        <v/>
      </c>
      <c r="Q112" s="4" t="str">
        <f>HYPERLINK("http://141.218.60.56/~jnz1568/getInfo.php?workbook=07_01.xlsx&amp;sheet=A0&amp;row=112&amp;col=17&amp;number=&amp;sourceID=12","")</f>
        <v/>
      </c>
      <c r="R112" s="4" t="str">
        <f>HYPERLINK("http://141.218.60.56/~jnz1568/getInfo.php?workbook=07_01.xlsx&amp;sheet=A0&amp;row=112&amp;col=18&amp;number=&amp;sourceID=12","")</f>
        <v/>
      </c>
      <c r="S112" s="4" t="str">
        <f>HYPERLINK("http://141.218.60.56/~jnz1568/getInfo.php?workbook=07_01.xlsx&amp;sheet=A0&amp;row=112&amp;col=19&amp;number=0&amp;sourceID=12","0")</f>
        <v>0</v>
      </c>
      <c r="T112" s="4" t="str">
        <f>HYPERLINK("http://141.218.60.56/~jnz1568/getInfo.php?workbook=07_01.xlsx&amp;sheet=A0&amp;row=112&amp;col=20&amp;number=&amp;sourceID=30","")</f>
        <v/>
      </c>
      <c r="U112" s="4" t="str">
        <f>HYPERLINK("http://141.218.60.56/~jnz1568/getInfo.php?workbook=07_01.xlsx&amp;sheet=A0&amp;row=112&amp;col=21&amp;number=&amp;sourceID=30","")</f>
        <v/>
      </c>
      <c r="V112" s="4" t="str">
        <f>HYPERLINK("http://141.218.60.56/~jnz1568/getInfo.php?workbook=07_01.xlsx&amp;sheet=A0&amp;row=112&amp;col=22&amp;number=&amp;sourceID=30","")</f>
        <v/>
      </c>
      <c r="W112" s="4" t="str">
        <f>HYPERLINK("http://141.218.60.56/~jnz1568/getInfo.php?workbook=07_01.xlsx&amp;sheet=A0&amp;row=112&amp;col=23&amp;number=&amp;sourceID=30","")</f>
        <v/>
      </c>
      <c r="X112" s="4" t="str">
        <f>HYPERLINK("http://141.218.60.56/~jnz1568/getInfo.php?workbook=07_01.xlsx&amp;sheet=A0&amp;row=112&amp;col=24&amp;number=&amp;sourceID=30","")</f>
        <v/>
      </c>
      <c r="Y112" s="4" t="str">
        <f>HYPERLINK("http://141.218.60.56/~jnz1568/getInfo.php?workbook=07_01.xlsx&amp;sheet=A0&amp;row=112&amp;col=25&amp;number=&amp;sourceID=13","")</f>
        <v/>
      </c>
      <c r="Z112" s="4" t="str">
        <f>HYPERLINK("http://141.218.60.56/~jnz1568/getInfo.php?workbook=07_01.xlsx&amp;sheet=A0&amp;row=112&amp;col=26&amp;number=&amp;sourceID=13","")</f>
        <v/>
      </c>
      <c r="AA112" s="4" t="str">
        <f>HYPERLINK("http://141.218.60.56/~jnz1568/getInfo.php?workbook=07_01.xlsx&amp;sheet=A0&amp;row=112&amp;col=27&amp;number=&amp;sourceID=13","")</f>
        <v/>
      </c>
      <c r="AB112" s="4" t="str">
        <f>HYPERLINK("http://141.218.60.56/~jnz1568/getInfo.php?workbook=07_01.xlsx&amp;sheet=A0&amp;row=112&amp;col=28&amp;number=&amp;sourceID=13","")</f>
        <v/>
      </c>
      <c r="AC112" s="4" t="str">
        <f>HYPERLINK("http://141.218.60.56/~jnz1568/getInfo.php?workbook=07_01.xlsx&amp;sheet=A0&amp;row=112&amp;col=29&amp;number=&amp;sourceID=13","")</f>
        <v/>
      </c>
      <c r="AD112" s="4" t="str">
        <f>HYPERLINK("http://141.218.60.56/~jnz1568/getInfo.php?workbook=07_01.xlsx&amp;sheet=A0&amp;row=112&amp;col=30&amp;number=&amp;sourceID=13","")</f>
        <v/>
      </c>
    </row>
    <row r="113" spans="1:30">
      <c r="A113" s="3">
        <v>7</v>
      </c>
      <c r="B113" s="3">
        <v>1</v>
      </c>
      <c r="C113" s="3">
        <v>16</v>
      </c>
      <c r="D113" s="3">
        <v>11</v>
      </c>
      <c r="E113" s="3">
        <f>((1/(INDEX(E0!J$4:J$28,C113,1)-INDEX(E0!J$4:J$28,D113,1))))*100000000</f>
        <v>0</v>
      </c>
      <c r="F113" s="4" t="str">
        <f>HYPERLINK("http://141.218.60.56/~jnz1568/getInfo.php?workbook=07_01.xlsx&amp;sheet=A0&amp;row=113&amp;col=6&amp;number==&amp;sourceID=11","=")</f>
        <v>=</v>
      </c>
      <c r="G113" s="4" t="str">
        <f>HYPERLINK("http://141.218.60.56/~jnz1568/getInfo.php?workbook=07_01.xlsx&amp;sheet=A0&amp;row=113&amp;col=7&amp;number=&amp;sourceID=11","")</f>
        <v/>
      </c>
      <c r="H113" s="4" t="str">
        <f>HYPERLINK("http://141.218.60.56/~jnz1568/getInfo.php?workbook=07_01.xlsx&amp;sheet=A0&amp;row=113&amp;col=8&amp;number=&amp;sourceID=11","")</f>
        <v/>
      </c>
      <c r="I113" s="4" t="str">
        <f>HYPERLINK("http://141.218.60.56/~jnz1568/getInfo.php?workbook=07_01.xlsx&amp;sheet=A0&amp;row=113&amp;col=9&amp;number=0&amp;sourceID=11","0")</f>
        <v>0</v>
      </c>
      <c r="J113" s="4" t="str">
        <f>HYPERLINK("http://141.218.60.56/~jnz1568/getInfo.php?workbook=07_01.xlsx&amp;sheet=A0&amp;row=113&amp;col=10&amp;number=&amp;sourceID=11","")</f>
        <v/>
      </c>
      <c r="K113" s="4" t="str">
        <f>HYPERLINK("http://141.218.60.56/~jnz1568/getInfo.php?workbook=07_01.xlsx&amp;sheet=A0&amp;row=113&amp;col=11&amp;number=&amp;sourceID=11","")</f>
        <v/>
      </c>
      <c r="L113" s="4" t="str">
        <f>HYPERLINK("http://141.218.60.56/~jnz1568/getInfo.php?workbook=07_01.xlsx&amp;sheet=A0&amp;row=113&amp;col=12&amp;number=&amp;sourceID=11","")</f>
        <v/>
      </c>
      <c r="M113" s="4" t="str">
        <f>HYPERLINK("http://141.218.60.56/~jnz1568/getInfo.php?workbook=07_01.xlsx&amp;sheet=A0&amp;row=113&amp;col=13&amp;number=0&amp;sourceID=12","0")</f>
        <v>0</v>
      </c>
      <c r="N113" s="4" t="str">
        <f>HYPERLINK("http://141.218.60.56/~jnz1568/getInfo.php?workbook=07_01.xlsx&amp;sheet=A0&amp;row=113&amp;col=14&amp;number=&amp;sourceID=12","")</f>
        <v/>
      </c>
      <c r="O113" s="4" t="str">
        <f>HYPERLINK("http://141.218.60.56/~jnz1568/getInfo.php?workbook=07_01.xlsx&amp;sheet=A0&amp;row=113&amp;col=15&amp;number=&amp;sourceID=12","")</f>
        <v/>
      </c>
      <c r="P113" s="4" t="str">
        <f>HYPERLINK("http://141.218.60.56/~jnz1568/getInfo.php?workbook=07_01.xlsx&amp;sheet=A0&amp;row=113&amp;col=16&amp;number=0&amp;sourceID=12","0")</f>
        <v>0</v>
      </c>
      <c r="Q113" s="4" t="str">
        <f>HYPERLINK("http://141.218.60.56/~jnz1568/getInfo.php?workbook=07_01.xlsx&amp;sheet=A0&amp;row=113&amp;col=17&amp;number=&amp;sourceID=12","")</f>
        <v/>
      </c>
      <c r="R113" s="4" t="str">
        <f>HYPERLINK("http://141.218.60.56/~jnz1568/getInfo.php?workbook=07_01.xlsx&amp;sheet=A0&amp;row=113&amp;col=18&amp;number=&amp;sourceID=12","")</f>
        <v/>
      </c>
      <c r="S113" s="4" t="str">
        <f>HYPERLINK("http://141.218.60.56/~jnz1568/getInfo.php?workbook=07_01.xlsx&amp;sheet=A0&amp;row=113&amp;col=19&amp;number=&amp;sourceID=12","")</f>
        <v/>
      </c>
      <c r="T113" s="4" t="str">
        <f>HYPERLINK("http://141.218.60.56/~jnz1568/getInfo.php?workbook=07_01.xlsx&amp;sheet=A0&amp;row=113&amp;col=20&amp;number=&amp;sourceID=30","")</f>
        <v/>
      </c>
      <c r="U113" s="4" t="str">
        <f>HYPERLINK("http://141.218.60.56/~jnz1568/getInfo.php?workbook=07_01.xlsx&amp;sheet=A0&amp;row=113&amp;col=21&amp;number=&amp;sourceID=30","")</f>
        <v/>
      </c>
      <c r="V113" s="4" t="str">
        <f>HYPERLINK("http://141.218.60.56/~jnz1568/getInfo.php?workbook=07_01.xlsx&amp;sheet=A0&amp;row=113&amp;col=22&amp;number=&amp;sourceID=30","")</f>
        <v/>
      </c>
      <c r="W113" s="4" t="str">
        <f>HYPERLINK("http://141.218.60.56/~jnz1568/getInfo.php?workbook=07_01.xlsx&amp;sheet=A0&amp;row=113&amp;col=23&amp;number=&amp;sourceID=30","")</f>
        <v/>
      </c>
      <c r="X113" s="4" t="str">
        <f>HYPERLINK("http://141.218.60.56/~jnz1568/getInfo.php?workbook=07_01.xlsx&amp;sheet=A0&amp;row=113&amp;col=24&amp;number=&amp;sourceID=30","")</f>
        <v/>
      </c>
      <c r="Y113" s="4" t="str">
        <f>HYPERLINK("http://141.218.60.56/~jnz1568/getInfo.php?workbook=07_01.xlsx&amp;sheet=A0&amp;row=113&amp;col=25&amp;number=&amp;sourceID=13","")</f>
        <v/>
      </c>
      <c r="Z113" s="4" t="str">
        <f>HYPERLINK("http://141.218.60.56/~jnz1568/getInfo.php?workbook=07_01.xlsx&amp;sheet=A0&amp;row=113&amp;col=26&amp;number=&amp;sourceID=13","")</f>
        <v/>
      </c>
      <c r="AA113" s="4" t="str">
        <f>HYPERLINK("http://141.218.60.56/~jnz1568/getInfo.php?workbook=07_01.xlsx&amp;sheet=A0&amp;row=113&amp;col=27&amp;number=&amp;sourceID=13","")</f>
        <v/>
      </c>
      <c r="AB113" s="4" t="str">
        <f>HYPERLINK("http://141.218.60.56/~jnz1568/getInfo.php?workbook=07_01.xlsx&amp;sheet=A0&amp;row=113&amp;col=28&amp;number=&amp;sourceID=13","")</f>
        <v/>
      </c>
      <c r="AC113" s="4" t="str">
        <f>HYPERLINK("http://141.218.60.56/~jnz1568/getInfo.php?workbook=07_01.xlsx&amp;sheet=A0&amp;row=113&amp;col=29&amp;number=&amp;sourceID=13","")</f>
        <v/>
      </c>
      <c r="AD113" s="4" t="str">
        <f>HYPERLINK("http://141.218.60.56/~jnz1568/getInfo.php?workbook=07_01.xlsx&amp;sheet=A0&amp;row=113&amp;col=30&amp;number=&amp;sourceID=13","")</f>
        <v/>
      </c>
    </row>
    <row r="114" spans="1:30">
      <c r="A114" s="3">
        <v>7</v>
      </c>
      <c r="B114" s="3">
        <v>1</v>
      </c>
      <c r="C114" s="3">
        <v>16</v>
      </c>
      <c r="D114" s="3">
        <v>12</v>
      </c>
      <c r="E114" s="3">
        <f>((1/(INDEX(E0!J$4:J$28,C114,1)-INDEX(E0!J$4:J$28,D114,1))))*100000000</f>
        <v>0</v>
      </c>
      <c r="F114" s="4" t="str">
        <f>HYPERLINK("http://141.218.60.56/~jnz1568/getInfo.php?workbook=07_01.xlsx&amp;sheet=A0&amp;row=114&amp;col=6&amp;number==&amp;sourceID=11","=")</f>
        <v>=</v>
      </c>
      <c r="G114" s="4" t="str">
        <f>HYPERLINK("http://141.218.60.56/~jnz1568/getInfo.php?workbook=07_01.xlsx&amp;sheet=A0&amp;row=114&amp;col=7&amp;number=&amp;sourceID=11","")</f>
        <v/>
      </c>
      <c r="H114" s="4" t="str">
        <f>HYPERLINK("http://141.218.60.56/~jnz1568/getInfo.php?workbook=07_01.xlsx&amp;sheet=A0&amp;row=114&amp;col=8&amp;number=&amp;sourceID=11","")</f>
        <v/>
      </c>
      <c r="I114" s="4" t="str">
        <f>HYPERLINK("http://141.218.60.56/~jnz1568/getInfo.php?workbook=07_01.xlsx&amp;sheet=A0&amp;row=114&amp;col=9&amp;number=0&amp;sourceID=11","0")</f>
        <v>0</v>
      </c>
      <c r="J114" s="4" t="str">
        <f>HYPERLINK("http://141.218.60.56/~jnz1568/getInfo.php?workbook=07_01.xlsx&amp;sheet=A0&amp;row=114&amp;col=10&amp;number=&amp;sourceID=11","")</f>
        <v/>
      </c>
      <c r="K114" s="4" t="str">
        <f>HYPERLINK("http://141.218.60.56/~jnz1568/getInfo.php?workbook=07_01.xlsx&amp;sheet=A0&amp;row=114&amp;col=11&amp;number=0&amp;sourceID=11","0")</f>
        <v>0</v>
      </c>
      <c r="L114" s="4" t="str">
        <f>HYPERLINK("http://141.218.60.56/~jnz1568/getInfo.php?workbook=07_01.xlsx&amp;sheet=A0&amp;row=114&amp;col=12&amp;number=&amp;sourceID=11","")</f>
        <v/>
      </c>
      <c r="M114" s="4" t="str">
        <f>HYPERLINK("http://141.218.60.56/~jnz1568/getInfo.php?workbook=07_01.xlsx&amp;sheet=A0&amp;row=114&amp;col=13&amp;number=0&amp;sourceID=12","0")</f>
        <v>0</v>
      </c>
      <c r="N114" s="4" t="str">
        <f>HYPERLINK("http://141.218.60.56/~jnz1568/getInfo.php?workbook=07_01.xlsx&amp;sheet=A0&amp;row=114&amp;col=14&amp;number=&amp;sourceID=12","")</f>
        <v/>
      </c>
      <c r="O114" s="4" t="str">
        <f>HYPERLINK("http://141.218.60.56/~jnz1568/getInfo.php?workbook=07_01.xlsx&amp;sheet=A0&amp;row=114&amp;col=15&amp;number=&amp;sourceID=12","")</f>
        <v/>
      </c>
      <c r="P114" s="4" t="str">
        <f>HYPERLINK("http://141.218.60.56/~jnz1568/getInfo.php?workbook=07_01.xlsx&amp;sheet=A0&amp;row=114&amp;col=16&amp;number=0&amp;sourceID=12","0")</f>
        <v>0</v>
      </c>
      <c r="Q114" s="4" t="str">
        <f>HYPERLINK("http://141.218.60.56/~jnz1568/getInfo.php?workbook=07_01.xlsx&amp;sheet=A0&amp;row=114&amp;col=17&amp;number=&amp;sourceID=12","")</f>
        <v/>
      </c>
      <c r="R114" s="4" t="str">
        <f>HYPERLINK("http://141.218.60.56/~jnz1568/getInfo.php?workbook=07_01.xlsx&amp;sheet=A0&amp;row=114&amp;col=18&amp;number=0&amp;sourceID=12","0")</f>
        <v>0</v>
      </c>
      <c r="S114" s="4" t="str">
        <f>HYPERLINK("http://141.218.60.56/~jnz1568/getInfo.php?workbook=07_01.xlsx&amp;sheet=A0&amp;row=114&amp;col=19&amp;number=&amp;sourceID=12","")</f>
        <v/>
      </c>
      <c r="T114" s="4" t="str">
        <f>HYPERLINK("http://141.218.60.56/~jnz1568/getInfo.php?workbook=07_01.xlsx&amp;sheet=A0&amp;row=114&amp;col=20&amp;number==SUM(U114:X114)&amp;sourceID=30","=SUM(U114:X114)")</f>
        <v>=SUM(U114:X114)</v>
      </c>
      <c r="U114" s="4" t="str">
        <f>HYPERLINK("http://141.218.60.56/~jnz1568/getInfo.php?workbook=07_01.xlsx&amp;sheet=A0&amp;row=114&amp;col=21&amp;number=&amp;sourceID=30","")</f>
        <v/>
      </c>
      <c r="V114" s="4" t="str">
        <f>HYPERLINK("http://141.218.60.56/~jnz1568/getInfo.php?workbook=07_01.xlsx&amp;sheet=A0&amp;row=114&amp;col=22&amp;number=&amp;sourceID=30","")</f>
        <v/>
      </c>
      <c r="W114" s="4" t="str">
        <f>HYPERLINK("http://141.218.60.56/~jnz1568/getInfo.php?workbook=07_01.xlsx&amp;sheet=A0&amp;row=114&amp;col=23&amp;number=&amp;sourceID=30","")</f>
        <v/>
      </c>
      <c r="X114" s="4" t="str">
        <f>HYPERLINK("http://141.218.60.56/~jnz1568/getInfo.php?workbook=07_01.xlsx&amp;sheet=A0&amp;row=114&amp;col=24&amp;number=0&amp;sourceID=30","0")</f>
        <v>0</v>
      </c>
      <c r="Y114" s="4" t="str">
        <f>HYPERLINK("http://141.218.60.56/~jnz1568/getInfo.php?workbook=07_01.xlsx&amp;sheet=A0&amp;row=114&amp;col=25&amp;number=&amp;sourceID=13","")</f>
        <v/>
      </c>
      <c r="Z114" s="4" t="str">
        <f>HYPERLINK("http://141.218.60.56/~jnz1568/getInfo.php?workbook=07_01.xlsx&amp;sheet=A0&amp;row=114&amp;col=26&amp;number=&amp;sourceID=13","")</f>
        <v/>
      </c>
      <c r="AA114" s="4" t="str">
        <f>HYPERLINK("http://141.218.60.56/~jnz1568/getInfo.php?workbook=07_01.xlsx&amp;sheet=A0&amp;row=114&amp;col=27&amp;number=&amp;sourceID=13","")</f>
        <v/>
      </c>
      <c r="AB114" s="4" t="str">
        <f>HYPERLINK("http://141.218.60.56/~jnz1568/getInfo.php?workbook=07_01.xlsx&amp;sheet=A0&amp;row=114&amp;col=28&amp;number=&amp;sourceID=13","")</f>
        <v/>
      </c>
      <c r="AC114" s="4" t="str">
        <f>HYPERLINK("http://141.218.60.56/~jnz1568/getInfo.php?workbook=07_01.xlsx&amp;sheet=A0&amp;row=114&amp;col=29&amp;number=&amp;sourceID=13","")</f>
        <v/>
      </c>
      <c r="AD114" s="4" t="str">
        <f>HYPERLINK("http://141.218.60.56/~jnz1568/getInfo.php?workbook=07_01.xlsx&amp;sheet=A0&amp;row=114&amp;col=30&amp;number=&amp;sourceID=13","")</f>
        <v/>
      </c>
    </row>
    <row r="115" spans="1:30">
      <c r="A115" s="3">
        <v>7</v>
      </c>
      <c r="B115" s="3">
        <v>1</v>
      </c>
      <c r="C115" s="3">
        <v>16</v>
      </c>
      <c r="D115" s="3">
        <v>13</v>
      </c>
      <c r="E115" s="3">
        <f>((1/(INDEX(E0!J$4:J$28,C115,1)-INDEX(E0!J$4:J$28,D115,1))))*100000000</f>
        <v>0</v>
      </c>
      <c r="F115" s="4" t="str">
        <f>HYPERLINK("http://141.218.60.56/~jnz1568/getInfo.php?workbook=07_01.xlsx&amp;sheet=A0&amp;row=115&amp;col=6&amp;number==&amp;sourceID=11","=")</f>
        <v>=</v>
      </c>
      <c r="G115" s="4" t="str">
        <f>HYPERLINK("http://141.218.60.56/~jnz1568/getInfo.php?workbook=07_01.xlsx&amp;sheet=A0&amp;row=115&amp;col=7&amp;number=&amp;sourceID=11","")</f>
        <v/>
      </c>
      <c r="H115" s="4" t="str">
        <f>HYPERLINK("http://141.218.60.56/~jnz1568/getInfo.php?workbook=07_01.xlsx&amp;sheet=A0&amp;row=115&amp;col=8&amp;number=7.99e-13&amp;sourceID=11","7.99e-13")</f>
        <v>7.99e-13</v>
      </c>
      <c r="I115" s="4" t="str">
        <f>HYPERLINK("http://141.218.60.56/~jnz1568/getInfo.php?workbook=07_01.xlsx&amp;sheet=A0&amp;row=115&amp;col=9&amp;number=&amp;sourceID=11","")</f>
        <v/>
      </c>
      <c r="J115" s="4" t="str">
        <f>HYPERLINK("http://141.218.60.56/~jnz1568/getInfo.php?workbook=07_01.xlsx&amp;sheet=A0&amp;row=115&amp;col=10&amp;number=&amp;sourceID=11","")</f>
        <v/>
      </c>
      <c r="K115" s="4" t="str">
        <f>HYPERLINK("http://141.218.60.56/~jnz1568/getInfo.php?workbook=07_01.xlsx&amp;sheet=A0&amp;row=115&amp;col=11&amp;number=&amp;sourceID=11","")</f>
        <v/>
      </c>
      <c r="L115" s="4" t="str">
        <f>HYPERLINK("http://141.218.60.56/~jnz1568/getInfo.php?workbook=07_01.xlsx&amp;sheet=A0&amp;row=115&amp;col=12&amp;number=0&amp;sourceID=11","0")</f>
        <v>0</v>
      </c>
      <c r="M115" s="4" t="str">
        <f>HYPERLINK("http://141.218.60.56/~jnz1568/getInfo.php?workbook=07_01.xlsx&amp;sheet=A0&amp;row=115&amp;col=13&amp;number=7.99e-13&amp;sourceID=12","7.99e-13")</f>
        <v>7.99e-13</v>
      </c>
      <c r="N115" s="4" t="str">
        <f>HYPERLINK("http://141.218.60.56/~jnz1568/getInfo.php?workbook=07_01.xlsx&amp;sheet=A0&amp;row=115&amp;col=14&amp;number=&amp;sourceID=12","")</f>
        <v/>
      </c>
      <c r="O115" s="4" t="str">
        <f>HYPERLINK("http://141.218.60.56/~jnz1568/getInfo.php?workbook=07_01.xlsx&amp;sheet=A0&amp;row=115&amp;col=15&amp;number=7.99e-13&amp;sourceID=12","7.99e-13")</f>
        <v>7.99e-13</v>
      </c>
      <c r="P115" s="4" t="str">
        <f>HYPERLINK("http://141.218.60.56/~jnz1568/getInfo.php?workbook=07_01.xlsx&amp;sheet=A0&amp;row=115&amp;col=16&amp;number=&amp;sourceID=12","")</f>
        <v/>
      </c>
      <c r="Q115" s="4" t="str">
        <f>HYPERLINK("http://141.218.60.56/~jnz1568/getInfo.php?workbook=07_01.xlsx&amp;sheet=A0&amp;row=115&amp;col=17&amp;number=&amp;sourceID=12","")</f>
        <v/>
      </c>
      <c r="R115" s="4" t="str">
        <f>HYPERLINK("http://141.218.60.56/~jnz1568/getInfo.php?workbook=07_01.xlsx&amp;sheet=A0&amp;row=115&amp;col=18&amp;number=&amp;sourceID=12","")</f>
        <v/>
      </c>
      <c r="S115" s="4" t="str">
        <f>HYPERLINK("http://141.218.60.56/~jnz1568/getInfo.php?workbook=07_01.xlsx&amp;sheet=A0&amp;row=115&amp;col=19&amp;number=0&amp;sourceID=12","0")</f>
        <v>0</v>
      </c>
      <c r="T115" s="4" t="str">
        <f>HYPERLINK("http://141.218.60.56/~jnz1568/getInfo.php?workbook=07_01.xlsx&amp;sheet=A0&amp;row=115&amp;col=20&amp;number==&amp;sourceID=30","=")</f>
        <v>=</v>
      </c>
      <c r="U115" s="4" t="str">
        <f>HYPERLINK("http://141.218.60.56/~jnz1568/getInfo.php?workbook=07_01.xlsx&amp;sheet=A0&amp;row=115&amp;col=21&amp;number=&amp;sourceID=30","")</f>
        <v/>
      </c>
      <c r="V115" s="4" t="str">
        <f>HYPERLINK("http://141.218.60.56/~jnz1568/getInfo.php?workbook=07_01.xlsx&amp;sheet=A0&amp;row=115&amp;col=22&amp;number=7.99e-13&amp;sourceID=30","7.99e-13")</f>
        <v>7.99e-13</v>
      </c>
      <c r="W115" s="4" t="str">
        <f>HYPERLINK("http://141.218.60.56/~jnz1568/getInfo.php?workbook=07_01.xlsx&amp;sheet=A0&amp;row=115&amp;col=23&amp;number=&amp;sourceID=30","")</f>
        <v/>
      </c>
      <c r="X115" s="4" t="str">
        <f>HYPERLINK("http://141.218.60.56/~jnz1568/getInfo.php?workbook=07_01.xlsx&amp;sheet=A0&amp;row=115&amp;col=24&amp;number=&amp;sourceID=30","")</f>
        <v/>
      </c>
      <c r="Y115" s="4" t="str">
        <f>HYPERLINK("http://141.218.60.56/~jnz1568/getInfo.php?workbook=07_01.xlsx&amp;sheet=A0&amp;row=115&amp;col=25&amp;number=&amp;sourceID=13","")</f>
        <v/>
      </c>
      <c r="Z115" s="4" t="str">
        <f>HYPERLINK("http://141.218.60.56/~jnz1568/getInfo.php?workbook=07_01.xlsx&amp;sheet=A0&amp;row=115&amp;col=26&amp;number=&amp;sourceID=13","")</f>
        <v/>
      </c>
      <c r="AA115" s="4" t="str">
        <f>HYPERLINK("http://141.218.60.56/~jnz1568/getInfo.php?workbook=07_01.xlsx&amp;sheet=A0&amp;row=115&amp;col=27&amp;number=&amp;sourceID=13","")</f>
        <v/>
      </c>
      <c r="AB115" s="4" t="str">
        <f>HYPERLINK("http://141.218.60.56/~jnz1568/getInfo.php?workbook=07_01.xlsx&amp;sheet=A0&amp;row=115&amp;col=28&amp;number=&amp;sourceID=13","")</f>
        <v/>
      </c>
      <c r="AC115" s="4" t="str">
        <f>HYPERLINK("http://141.218.60.56/~jnz1568/getInfo.php?workbook=07_01.xlsx&amp;sheet=A0&amp;row=115&amp;col=29&amp;number=&amp;sourceID=13","")</f>
        <v/>
      </c>
      <c r="AD115" s="4" t="str">
        <f>HYPERLINK("http://141.218.60.56/~jnz1568/getInfo.php?workbook=07_01.xlsx&amp;sheet=A0&amp;row=115&amp;col=30&amp;number=&amp;sourceID=13","")</f>
        <v/>
      </c>
    </row>
    <row r="116" spans="1:30">
      <c r="A116" s="3">
        <v>7</v>
      </c>
      <c r="B116" s="3">
        <v>1</v>
      </c>
      <c r="C116" s="3">
        <v>16</v>
      </c>
      <c r="D116" s="3">
        <v>14</v>
      </c>
      <c r="E116" s="3">
        <f>((1/(INDEX(E0!J$4:J$28,C116,1)-INDEX(E0!J$4:J$28,D116,1))))*100000000</f>
        <v>0</v>
      </c>
      <c r="F116" s="4" t="str">
        <f>HYPERLINK("http://141.218.60.56/~jnz1568/getInfo.php?workbook=07_01.xlsx&amp;sheet=A0&amp;row=116&amp;col=6&amp;number==&amp;sourceID=11","=")</f>
        <v>=</v>
      </c>
      <c r="G116" s="4" t="str">
        <f>HYPERLINK("http://141.218.60.56/~jnz1568/getInfo.php?workbook=07_01.xlsx&amp;sheet=A0&amp;row=116&amp;col=7&amp;number=&amp;sourceID=11","")</f>
        <v/>
      </c>
      <c r="H116" s="4" t="str">
        <f>HYPERLINK("http://141.218.60.56/~jnz1568/getInfo.php?workbook=07_01.xlsx&amp;sheet=A0&amp;row=116&amp;col=8&amp;number=0&amp;sourceID=11","0")</f>
        <v>0</v>
      </c>
      <c r="I116" s="4" t="str">
        <f>HYPERLINK("http://141.218.60.56/~jnz1568/getInfo.php?workbook=07_01.xlsx&amp;sheet=A0&amp;row=116&amp;col=9&amp;number=&amp;sourceID=11","")</f>
        <v/>
      </c>
      <c r="J116" s="4" t="str">
        <f>HYPERLINK("http://141.218.60.56/~jnz1568/getInfo.php?workbook=07_01.xlsx&amp;sheet=A0&amp;row=116&amp;col=10&amp;number=7.0522e-08&amp;sourceID=11","7.0522e-08")</f>
        <v>7.0522e-08</v>
      </c>
      <c r="K116" s="4" t="str">
        <f>HYPERLINK("http://141.218.60.56/~jnz1568/getInfo.php?workbook=07_01.xlsx&amp;sheet=A0&amp;row=116&amp;col=11&amp;number=&amp;sourceID=11","")</f>
        <v/>
      </c>
      <c r="L116" s="4" t="str">
        <f>HYPERLINK("http://141.218.60.56/~jnz1568/getInfo.php?workbook=07_01.xlsx&amp;sheet=A0&amp;row=116&amp;col=12&amp;number=0&amp;sourceID=11","0")</f>
        <v>0</v>
      </c>
      <c r="M116" s="4" t="str">
        <f>HYPERLINK("http://141.218.60.56/~jnz1568/getInfo.php?workbook=07_01.xlsx&amp;sheet=A0&amp;row=116&amp;col=13&amp;number=7.0527e-08&amp;sourceID=12","7.0527e-08")</f>
        <v>7.0527e-08</v>
      </c>
      <c r="N116" s="4" t="str">
        <f>HYPERLINK("http://141.218.60.56/~jnz1568/getInfo.php?workbook=07_01.xlsx&amp;sheet=A0&amp;row=116&amp;col=14&amp;number=&amp;sourceID=12","")</f>
        <v/>
      </c>
      <c r="O116" s="4" t="str">
        <f>HYPERLINK("http://141.218.60.56/~jnz1568/getInfo.php?workbook=07_01.xlsx&amp;sheet=A0&amp;row=116&amp;col=15&amp;number=0&amp;sourceID=12","0")</f>
        <v>0</v>
      </c>
      <c r="P116" s="4" t="str">
        <f>HYPERLINK("http://141.218.60.56/~jnz1568/getInfo.php?workbook=07_01.xlsx&amp;sheet=A0&amp;row=116&amp;col=16&amp;number=&amp;sourceID=12","")</f>
        <v/>
      </c>
      <c r="Q116" s="4" t="str">
        <f>HYPERLINK("http://141.218.60.56/~jnz1568/getInfo.php?workbook=07_01.xlsx&amp;sheet=A0&amp;row=116&amp;col=17&amp;number=7.0527e-08&amp;sourceID=12","7.0527e-08")</f>
        <v>7.0527e-08</v>
      </c>
      <c r="R116" s="4" t="str">
        <f>HYPERLINK("http://141.218.60.56/~jnz1568/getInfo.php?workbook=07_01.xlsx&amp;sheet=A0&amp;row=116&amp;col=18&amp;number=&amp;sourceID=12","")</f>
        <v/>
      </c>
      <c r="S116" s="4" t="str">
        <f>HYPERLINK("http://141.218.60.56/~jnz1568/getInfo.php?workbook=07_01.xlsx&amp;sheet=A0&amp;row=116&amp;col=19&amp;number=0&amp;sourceID=12","0")</f>
        <v>0</v>
      </c>
      <c r="T116" s="4" t="str">
        <f>HYPERLINK("http://141.218.60.56/~jnz1568/getInfo.php?workbook=07_01.xlsx&amp;sheet=A0&amp;row=116&amp;col=20&amp;number==&amp;sourceID=30","=")</f>
        <v>=</v>
      </c>
      <c r="U116" s="4" t="str">
        <f>HYPERLINK("http://141.218.60.56/~jnz1568/getInfo.php?workbook=07_01.xlsx&amp;sheet=A0&amp;row=116&amp;col=21&amp;number=&amp;sourceID=30","")</f>
        <v/>
      </c>
      <c r="V116" s="4" t="str">
        <f>HYPERLINK("http://141.218.60.56/~jnz1568/getInfo.php?workbook=07_01.xlsx&amp;sheet=A0&amp;row=116&amp;col=22&amp;number=0&amp;sourceID=30","0")</f>
        <v>0</v>
      </c>
      <c r="W116" s="4" t="str">
        <f>HYPERLINK("http://141.218.60.56/~jnz1568/getInfo.php?workbook=07_01.xlsx&amp;sheet=A0&amp;row=116&amp;col=23&amp;number=7.053e-08&amp;sourceID=30","7.053e-08")</f>
        <v>7.053e-08</v>
      </c>
      <c r="X116" s="4" t="str">
        <f>HYPERLINK("http://141.218.60.56/~jnz1568/getInfo.php?workbook=07_01.xlsx&amp;sheet=A0&amp;row=116&amp;col=24&amp;number=&amp;sourceID=30","")</f>
        <v/>
      </c>
      <c r="Y116" s="4" t="str">
        <f>HYPERLINK("http://141.218.60.56/~jnz1568/getInfo.php?workbook=07_01.xlsx&amp;sheet=A0&amp;row=116&amp;col=25&amp;number=&amp;sourceID=13","")</f>
        <v/>
      </c>
      <c r="Z116" s="4" t="str">
        <f>HYPERLINK("http://141.218.60.56/~jnz1568/getInfo.php?workbook=07_01.xlsx&amp;sheet=A0&amp;row=116&amp;col=26&amp;number=&amp;sourceID=13","")</f>
        <v/>
      </c>
      <c r="AA116" s="4" t="str">
        <f>HYPERLINK("http://141.218.60.56/~jnz1568/getInfo.php?workbook=07_01.xlsx&amp;sheet=A0&amp;row=116&amp;col=27&amp;number=&amp;sourceID=13","")</f>
        <v/>
      </c>
      <c r="AB116" s="4" t="str">
        <f>HYPERLINK("http://141.218.60.56/~jnz1568/getInfo.php?workbook=07_01.xlsx&amp;sheet=A0&amp;row=116&amp;col=28&amp;number=&amp;sourceID=13","")</f>
        <v/>
      </c>
      <c r="AC116" s="4" t="str">
        <f>HYPERLINK("http://141.218.60.56/~jnz1568/getInfo.php?workbook=07_01.xlsx&amp;sheet=A0&amp;row=116&amp;col=29&amp;number=&amp;sourceID=13","")</f>
        <v/>
      </c>
      <c r="AD116" s="4" t="str">
        <f>HYPERLINK("http://141.218.60.56/~jnz1568/getInfo.php?workbook=07_01.xlsx&amp;sheet=A0&amp;row=116&amp;col=30&amp;number=&amp;sourceID=13","")</f>
        <v/>
      </c>
    </row>
    <row r="117" spans="1:30">
      <c r="A117" s="3">
        <v>7</v>
      </c>
      <c r="B117" s="3">
        <v>1</v>
      </c>
      <c r="C117" s="3">
        <v>16</v>
      </c>
      <c r="D117" s="3">
        <v>15</v>
      </c>
      <c r="E117" s="3">
        <f>((1/(INDEX(E0!J$4:J$28,C117,1)-INDEX(E0!J$4:J$28,D117,1))))*100000000</f>
        <v>0</v>
      </c>
      <c r="F117" s="4" t="str">
        <f>HYPERLINK("http://141.218.60.56/~jnz1568/getInfo.php?workbook=07_01.xlsx&amp;sheet=A0&amp;row=117&amp;col=6&amp;number==&amp;sourceID=11","=")</f>
        <v>=</v>
      </c>
      <c r="G117" s="4" t="str">
        <f>HYPERLINK("http://141.218.60.56/~jnz1568/getInfo.php?workbook=07_01.xlsx&amp;sheet=A0&amp;row=117&amp;col=7&amp;number=0.027242&amp;sourceID=11","0.027242")</f>
        <v>0.027242</v>
      </c>
      <c r="H117" s="4" t="str">
        <f>HYPERLINK("http://141.218.60.56/~jnz1568/getInfo.php?workbook=07_01.xlsx&amp;sheet=A0&amp;row=117&amp;col=8&amp;number=&amp;sourceID=11","")</f>
        <v/>
      </c>
      <c r="I117" s="4" t="str">
        <f>HYPERLINK("http://141.218.60.56/~jnz1568/getInfo.php?workbook=07_01.xlsx&amp;sheet=A0&amp;row=117&amp;col=9&amp;number=0&amp;sourceID=11","0")</f>
        <v>0</v>
      </c>
      <c r="J117" s="4" t="str">
        <f>HYPERLINK("http://141.218.60.56/~jnz1568/getInfo.php?workbook=07_01.xlsx&amp;sheet=A0&amp;row=117&amp;col=10&amp;number=&amp;sourceID=11","")</f>
        <v/>
      </c>
      <c r="K117" s="4" t="str">
        <f>HYPERLINK("http://141.218.60.56/~jnz1568/getInfo.php?workbook=07_01.xlsx&amp;sheet=A0&amp;row=117&amp;col=11&amp;number=0&amp;sourceID=11","0")</f>
        <v>0</v>
      </c>
      <c r="L117" s="4" t="str">
        <f>HYPERLINK("http://141.218.60.56/~jnz1568/getInfo.php?workbook=07_01.xlsx&amp;sheet=A0&amp;row=117&amp;col=12&amp;number=&amp;sourceID=11","")</f>
        <v/>
      </c>
      <c r="M117" s="4" t="str">
        <f>HYPERLINK("http://141.218.60.56/~jnz1568/getInfo.php?workbook=07_01.xlsx&amp;sheet=A0&amp;row=117&amp;col=13&amp;number=0.027244&amp;sourceID=12","0.027244")</f>
        <v>0.027244</v>
      </c>
      <c r="N117" s="4" t="str">
        <f>HYPERLINK("http://141.218.60.56/~jnz1568/getInfo.php?workbook=07_01.xlsx&amp;sheet=A0&amp;row=117&amp;col=14&amp;number=0.027244&amp;sourceID=12","0.027244")</f>
        <v>0.027244</v>
      </c>
      <c r="O117" s="4" t="str">
        <f>HYPERLINK("http://141.218.60.56/~jnz1568/getInfo.php?workbook=07_01.xlsx&amp;sheet=A0&amp;row=117&amp;col=15&amp;number=&amp;sourceID=12","")</f>
        <v/>
      </c>
      <c r="P117" s="4" t="str">
        <f>HYPERLINK("http://141.218.60.56/~jnz1568/getInfo.php?workbook=07_01.xlsx&amp;sheet=A0&amp;row=117&amp;col=16&amp;number=0&amp;sourceID=12","0")</f>
        <v>0</v>
      </c>
      <c r="Q117" s="4" t="str">
        <f>HYPERLINK("http://141.218.60.56/~jnz1568/getInfo.php?workbook=07_01.xlsx&amp;sheet=A0&amp;row=117&amp;col=17&amp;number=&amp;sourceID=12","")</f>
        <v/>
      </c>
      <c r="R117" s="4" t="str">
        <f>HYPERLINK("http://141.218.60.56/~jnz1568/getInfo.php?workbook=07_01.xlsx&amp;sheet=A0&amp;row=117&amp;col=18&amp;number=0&amp;sourceID=12","0")</f>
        <v>0</v>
      </c>
      <c r="S117" s="4" t="str">
        <f>HYPERLINK("http://141.218.60.56/~jnz1568/getInfo.php?workbook=07_01.xlsx&amp;sheet=A0&amp;row=117&amp;col=19&amp;number=&amp;sourceID=12","")</f>
        <v/>
      </c>
      <c r="T117" s="4" t="str">
        <f>HYPERLINK("http://141.218.60.56/~jnz1568/getInfo.php?workbook=07_01.xlsx&amp;sheet=A0&amp;row=117&amp;col=20&amp;number==&amp;sourceID=30","=")</f>
        <v>=</v>
      </c>
      <c r="U117" s="4" t="str">
        <f>HYPERLINK("http://141.218.60.56/~jnz1568/getInfo.php?workbook=07_01.xlsx&amp;sheet=A0&amp;row=117&amp;col=21&amp;number=0.02724&amp;sourceID=30","0.02724")</f>
        <v>0.02724</v>
      </c>
      <c r="V117" s="4" t="str">
        <f>HYPERLINK("http://141.218.60.56/~jnz1568/getInfo.php?workbook=07_01.xlsx&amp;sheet=A0&amp;row=117&amp;col=22&amp;number=&amp;sourceID=30","")</f>
        <v/>
      </c>
      <c r="W117" s="4" t="str">
        <f>HYPERLINK("http://141.218.60.56/~jnz1568/getInfo.php?workbook=07_01.xlsx&amp;sheet=A0&amp;row=117&amp;col=23&amp;number=&amp;sourceID=30","")</f>
        <v/>
      </c>
      <c r="X117" s="4" t="str">
        <f>HYPERLINK("http://141.218.60.56/~jnz1568/getInfo.php?workbook=07_01.xlsx&amp;sheet=A0&amp;row=117&amp;col=24&amp;number=0&amp;sourceID=30","0")</f>
        <v>0</v>
      </c>
      <c r="Y117" s="4" t="str">
        <f>HYPERLINK("http://141.218.60.56/~jnz1568/getInfo.php?workbook=07_01.xlsx&amp;sheet=A0&amp;row=117&amp;col=25&amp;number=&amp;sourceID=13","")</f>
        <v/>
      </c>
      <c r="Z117" s="4" t="str">
        <f>HYPERLINK("http://141.218.60.56/~jnz1568/getInfo.php?workbook=07_01.xlsx&amp;sheet=A0&amp;row=117&amp;col=26&amp;number=&amp;sourceID=13","")</f>
        <v/>
      </c>
      <c r="AA117" s="4" t="str">
        <f>HYPERLINK("http://141.218.60.56/~jnz1568/getInfo.php?workbook=07_01.xlsx&amp;sheet=A0&amp;row=117&amp;col=27&amp;number=&amp;sourceID=13","")</f>
        <v/>
      </c>
      <c r="AB117" s="4" t="str">
        <f>HYPERLINK("http://141.218.60.56/~jnz1568/getInfo.php?workbook=07_01.xlsx&amp;sheet=A0&amp;row=117&amp;col=28&amp;number=&amp;sourceID=13","")</f>
        <v/>
      </c>
      <c r="AC117" s="4" t="str">
        <f>HYPERLINK("http://141.218.60.56/~jnz1568/getInfo.php?workbook=07_01.xlsx&amp;sheet=A0&amp;row=117&amp;col=29&amp;number=&amp;sourceID=13","")</f>
        <v/>
      </c>
      <c r="AD117" s="4" t="str">
        <f>HYPERLINK("http://141.218.60.56/~jnz1568/getInfo.php?workbook=07_01.xlsx&amp;sheet=A0&amp;row=117&amp;col=30&amp;number=&amp;sourceID=13","")</f>
        <v/>
      </c>
    </row>
    <row r="118" spans="1:30">
      <c r="A118" s="3">
        <v>7</v>
      </c>
      <c r="B118" s="3">
        <v>1</v>
      </c>
      <c r="C118" s="3">
        <v>17</v>
      </c>
      <c r="D118" s="3">
        <v>1</v>
      </c>
      <c r="E118" s="3">
        <f>((1/(INDEX(E0!J$4:J$28,C118,1)-INDEX(E0!J$4:J$28,D118,1))))*100000000</f>
        <v>0</v>
      </c>
      <c r="F118" s="4" t="str">
        <f>HYPERLINK("http://141.218.60.56/~jnz1568/getInfo.php?workbook=07_01.xlsx&amp;sheet=A0&amp;row=118&amp;col=6&amp;number==&amp;sourceID=11","=")</f>
        <v>=</v>
      </c>
      <c r="G118" s="4" t="str">
        <f>HYPERLINK("http://141.218.60.56/~jnz1568/getInfo.php?workbook=07_01.xlsx&amp;sheet=A0&amp;row=118&amp;col=7&amp;number=82498000000&amp;sourceID=11","82498000000")</f>
        <v>82498000000</v>
      </c>
      <c r="H118" s="4" t="str">
        <f>HYPERLINK("http://141.218.60.56/~jnz1568/getInfo.php?workbook=07_01.xlsx&amp;sheet=A0&amp;row=118&amp;col=8&amp;number=&amp;sourceID=11","")</f>
        <v/>
      </c>
      <c r="I118" s="4" t="str">
        <f>HYPERLINK("http://141.218.60.56/~jnz1568/getInfo.php?workbook=07_01.xlsx&amp;sheet=A0&amp;row=118&amp;col=9&amp;number=&amp;sourceID=11","")</f>
        <v/>
      </c>
      <c r="J118" s="4" t="str">
        <f>HYPERLINK("http://141.218.60.56/~jnz1568/getInfo.php?workbook=07_01.xlsx&amp;sheet=A0&amp;row=118&amp;col=10&amp;number=&amp;sourceID=11","")</f>
        <v/>
      </c>
      <c r="K118" s="4" t="str">
        <f>HYPERLINK("http://141.218.60.56/~jnz1568/getInfo.php?workbook=07_01.xlsx&amp;sheet=A0&amp;row=118&amp;col=11&amp;number=&amp;sourceID=11","")</f>
        <v/>
      </c>
      <c r="L118" s="4" t="str">
        <f>HYPERLINK("http://141.218.60.56/~jnz1568/getInfo.php?workbook=07_01.xlsx&amp;sheet=A0&amp;row=118&amp;col=12&amp;number=&amp;sourceID=11","")</f>
        <v/>
      </c>
      <c r="M118" s="4" t="str">
        <f>HYPERLINK("http://141.218.60.56/~jnz1568/getInfo.php?workbook=07_01.xlsx&amp;sheet=A0&amp;row=118&amp;col=13&amp;number=82502000000&amp;sourceID=12","82502000000")</f>
        <v>82502000000</v>
      </c>
      <c r="N118" s="4" t="str">
        <f>HYPERLINK("http://141.218.60.56/~jnz1568/getInfo.php?workbook=07_01.xlsx&amp;sheet=A0&amp;row=118&amp;col=14&amp;number=82502000000&amp;sourceID=12","82502000000")</f>
        <v>82502000000</v>
      </c>
      <c r="O118" s="4" t="str">
        <f>HYPERLINK("http://141.218.60.56/~jnz1568/getInfo.php?workbook=07_01.xlsx&amp;sheet=A0&amp;row=118&amp;col=15&amp;number=&amp;sourceID=12","")</f>
        <v/>
      </c>
      <c r="P118" s="4" t="str">
        <f>HYPERLINK("http://141.218.60.56/~jnz1568/getInfo.php?workbook=07_01.xlsx&amp;sheet=A0&amp;row=118&amp;col=16&amp;number=&amp;sourceID=12","")</f>
        <v/>
      </c>
      <c r="Q118" s="4" t="str">
        <f>HYPERLINK("http://141.218.60.56/~jnz1568/getInfo.php?workbook=07_01.xlsx&amp;sheet=A0&amp;row=118&amp;col=17&amp;number=&amp;sourceID=12","")</f>
        <v/>
      </c>
      <c r="R118" s="4" t="str">
        <f>HYPERLINK("http://141.218.60.56/~jnz1568/getInfo.php?workbook=07_01.xlsx&amp;sheet=A0&amp;row=118&amp;col=18&amp;number=&amp;sourceID=12","")</f>
        <v/>
      </c>
      <c r="S118" s="4" t="str">
        <f>HYPERLINK("http://141.218.60.56/~jnz1568/getInfo.php?workbook=07_01.xlsx&amp;sheet=A0&amp;row=118&amp;col=19&amp;number=&amp;sourceID=12","")</f>
        <v/>
      </c>
      <c r="T118" s="4" t="str">
        <f>HYPERLINK("http://141.218.60.56/~jnz1568/getInfo.php?workbook=07_01.xlsx&amp;sheet=A0&amp;row=118&amp;col=20&amp;number==&amp;sourceID=30","=")</f>
        <v>=</v>
      </c>
      <c r="U118" s="4" t="str">
        <f>HYPERLINK("http://141.218.60.56/~jnz1568/getInfo.php?workbook=07_01.xlsx&amp;sheet=A0&amp;row=118&amp;col=21&amp;number=82500000000&amp;sourceID=30","82500000000")</f>
        <v>82500000000</v>
      </c>
      <c r="V118" s="4" t="str">
        <f>HYPERLINK("http://141.218.60.56/~jnz1568/getInfo.php?workbook=07_01.xlsx&amp;sheet=A0&amp;row=118&amp;col=22&amp;number=&amp;sourceID=30","")</f>
        <v/>
      </c>
      <c r="W118" s="4" t="str">
        <f>HYPERLINK("http://141.218.60.56/~jnz1568/getInfo.php?workbook=07_01.xlsx&amp;sheet=A0&amp;row=118&amp;col=23&amp;number=&amp;sourceID=30","")</f>
        <v/>
      </c>
      <c r="X118" s="4" t="str">
        <f>HYPERLINK("http://141.218.60.56/~jnz1568/getInfo.php?workbook=07_01.xlsx&amp;sheet=A0&amp;row=118&amp;col=24&amp;number=&amp;sourceID=30","")</f>
        <v/>
      </c>
      <c r="Y118" s="4" t="str">
        <f>HYPERLINK("http://141.218.60.56/~jnz1568/getInfo.php?workbook=07_01.xlsx&amp;sheet=A0&amp;row=118&amp;col=25&amp;number=&amp;sourceID=13","")</f>
        <v/>
      </c>
      <c r="Z118" s="4" t="str">
        <f>HYPERLINK("http://141.218.60.56/~jnz1568/getInfo.php?workbook=07_01.xlsx&amp;sheet=A0&amp;row=118&amp;col=26&amp;number=&amp;sourceID=13","")</f>
        <v/>
      </c>
      <c r="AA118" s="4" t="str">
        <f>HYPERLINK("http://141.218.60.56/~jnz1568/getInfo.php?workbook=07_01.xlsx&amp;sheet=A0&amp;row=118&amp;col=27&amp;number=&amp;sourceID=13","")</f>
        <v/>
      </c>
      <c r="AB118" s="4" t="str">
        <f>HYPERLINK("http://141.218.60.56/~jnz1568/getInfo.php?workbook=07_01.xlsx&amp;sheet=A0&amp;row=118&amp;col=28&amp;number=&amp;sourceID=13","")</f>
        <v/>
      </c>
      <c r="AC118" s="4" t="str">
        <f>HYPERLINK("http://141.218.60.56/~jnz1568/getInfo.php?workbook=07_01.xlsx&amp;sheet=A0&amp;row=118&amp;col=29&amp;number=&amp;sourceID=13","")</f>
        <v/>
      </c>
      <c r="AD118" s="4" t="str">
        <f>HYPERLINK("http://141.218.60.56/~jnz1568/getInfo.php?workbook=07_01.xlsx&amp;sheet=A0&amp;row=118&amp;col=30&amp;number=&amp;sourceID=13","")</f>
        <v/>
      </c>
    </row>
    <row r="119" spans="1:30">
      <c r="A119" s="3">
        <v>7</v>
      </c>
      <c r="B119" s="3">
        <v>1</v>
      </c>
      <c r="C119" s="3">
        <v>17</v>
      </c>
      <c r="D119" s="3">
        <v>2</v>
      </c>
      <c r="E119" s="3">
        <f>((1/(INDEX(E0!J$4:J$28,C119,1)-INDEX(E0!J$4:J$28,D119,1))))*100000000</f>
        <v>0</v>
      </c>
      <c r="F119" s="4" t="str">
        <f>HYPERLINK("http://141.218.60.56/~jnz1568/getInfo.php?workbook=07_01.xlsx&amp;sheet=A0&amp;row=119&amp;col=6&amp;number==&amp;sourceID=11","=")</f>
        <v>=</v>
      </c>
      <c r="G119" s="4" t="str">
        <f>HYPERLINK("http://141.218.60.56/~jnz1568/getInfo.php?workbook=07_01.xlsx&amp;sheet=A0&amp;row=119&amp;col=7&amp;number=&amp;sourceID=11","")</f>
        <v/>
      </c>
      <c r="H119" s="4" t="str">
        <f>HYPERLINK("http://141.218.60.56/~jnz1568/getInfo.php?workbook=07_01.xlsx&amp;sheet=A0&amp;row=119&amp;col=8&amp;number=&amp;sourceID=11","")</f>
        <v/>
      </c>
      <c r="I119" s="4" t="str">
        <f>HYPERLINK("http://141.218.60.56/~jnz1568/getInfo.php?workbook=07_01.xlsx&amp;sheet=A0&amp;row=119&amp;col=9&amp;number=&amp;sourceID=11","")</f>
        <v/>
      </c>
      <c r="J119" s="4" t="str">
        <f>HYPERLINK("http://141.218.60.56/~jnz1568/getInfo.php?workbook=07_01.xlsx&amp;sheet=A0&amp;row=119&amp;col=10&amp;number=0.070107&amp;sourceID=11","0.070107")</f>
        <v>0.070107</v>
      </c>
      <c r="K119" s="4" t="str">
        <f>HYPERLINK("http://141.218.60.56/~jnz1568/getInfo.php?workbook=07_01.xlsx&amp;sheet=A0&amp;row=119&amp;col=11&amp;number=&amp;sourceID=11","")</f>
        <v/>
      </c>
      <c r="L119" s="4" t="str">
        <f>HYPERLINK("http://141.218.60.56/~jnz1568/getInfo.php?workbook=07_01.xlsx&amp;sheet=A0&amp;row=119&amp;col=12&amp;number=&amp;sourceID=11","")</f>
        <v/>
      </c>
      <c r="M119" s="4" t="str">
        <f>HYPERLINK("http://141.218.60.56/~jnz1568/getInfo.php?workbook=07_01.xlsx&amp;sheet=A0&amp;row=119&amp;col=13&amp;number=0.070162&amp;sourceID=12","0.070162")</f>
        <v>0.070162</v>
      </c>
      <c r="N119" s="4" t="str">
        <f>HYPERLINK("http://141.218.60.56/~jnz1568/getInfo.php?workbook=07_01.xlsx&amp;sheet=A0&amp;row=119&amp;col=14&amp;number=&amp;sourceID=12","")</f>
        <v/>
      </c>
      <c r="O119" s="4" t="str">
        <f>HYPERLINK("http://141.218.60.56/~jnz1568/getInfo.php?workbook=07_01.xlsx&amp;sheet=A0&amp;row=119&amp;col=15&amp;number=&amp;sourceID=12","")</f>
        <v/>
      </c>
      <c r="P119" s="4" t="str">
        <f>HYPERLINK("http://141.218.60.56/~jnz1568/getInfo.php?workbook=07_01.xlsx&amp;sheet=A0&amp;row=119&amp;col=16&amp;number=&amp;sourceID=12","")</f>
        <v/>
      </c>
      <c r="Q119" s="4" t="str">
        <f>HYPERLINK("http://141.218.60.56/~jnz1568/getInfo.php?workbook=07_01.xlsx&amp;sheet=A0&amp;row=119&amp;col=17&amp;number=0.070162&amp;sourceID=12","0.070162")</f>
        <v>0.070162</v>
      </c>
      <c r="R119" s="4" t="str">
        <f>HYPERLINK("http://141.218.60.56/~jnz1568/getInfo.php?workbook=07_01.xlsx&amp;sheet=A0&amp;row=119&amp;col=18&amp;number=&amp;sourceID=12","")</f>
        <v/>
      </c>
      <c r="S119" s="4" t="str">
        <f>HYPERLINK("http://141.218.60.56/~jnz1568/getInfo.php?workbook=07_01.xlsx&amp;sheet=A0&amp;row=119&amp;col=19&amp;number=&amp;sourceID=12","")</f>
        <v/>
      </c>
      <c r="T119" s="4" t="str">
        <f>HYPERLINK("http://141.218.60.56/~jnz1568/getInfo.php?workbook=07_01.xlsx&amp;sheet=A0&amp;row=119&amp;col=20&amp;number==&amp;sourceID=30","=")</f>
        <v>=</v>
      </c>
      <c r="U119" s="4" t="str">
        <f>HYPERLINK("http://141.218.60.56/~jnz1568/getInfo.php?workbook=07_01.xlsx&amp;sheet=A0&amp;row=119&amp;col=21&amp;number=&amp;sourceID=30","")</f>
        <v/>
      </c>
      <c r="V119" s="4" t="str">
        <f>HYPERLINK("http://141.218.60.56/~jnz1568/getInfo.php?workbook=07_01.xlsx&amp;sheet=A0&amp;row=119&amp;col=22&amp;number=&amp;sourceID=30","")</f>
        <v/>
      </c>
      <c r="W119" s="4" t="str">
        <f>HYPERLINK("http://141.218.60.56/~jnz1568/getInfo.php?workbook=07_01.xlsx&amp;sheet=A0&amp;row=119&amp;col=23&amp;number=0.07013&amp;sourceID=30","0.07013")</f>
        <v>0.07013</v>
      </c>
      <c r="X119" s="4" t="str">
        <f>HYPERLINK("http://141.218.60.56/~jnz1568/getInfo.php?workbook=07_01.xlsx&amp;sheet=A0&amp;row=119&amp;col=24&amp;number=&amp;sourceID=30","")</f>
        <v/>
      </c>
      <c r="Y119" s="4" t="str">
        <f>HYPERLINK("http://141.218.60.56/~jnz1568/getInfo.php?workbook=07_01.xlsx&amp;sheet=A0&amp;row=119&amp;col=25&amp;number=&amp;sourceID=13","")</f>
        <v/>
      </c>
      <c r="Z119" s="4" t="str">
        <f>HYPERLINK("http://141.218.60.56/~jnz1568/getInfo.php?workbook=07_01.xlsx&amp;sheet=A0&amp;row=119&amp;col=26&amp;number=&amp;sourceID=13","")</f>
        <v/>
      </c>
      <c r="AA119" s="4" t="str">
        <f>HYPERLINK("http://141.218.60.56/~jnz1568/getInfo.php?workbook=07_01.xlsx&amp;sheet=A0&amp;row=119&amp;col=27&amp;number=&amp;sourceID=13","")</f>
        <v/>
      </c>
      <c r="AB119" s="4" t="str">
        <f>HYPERLINK("http://141.218.60.56/~jnz1568/getInfo.php?workbook=07_01.xlsx&amp;sheet=A0&amp;row=119&amp;col=28&amp;number=&amp;sourceID=13","")</f>
        <v/>
      </c>
      <c r="AC119" s="4" t="str">
        <f>HYPERLINK("http://141.218.60.56/~jnz1568/getInfo.php?workbook=07_01.xlsx&amp;sheet=A0&amp;row=119&amp;col=29&amp;number=&amp;sourceID=13","")</f>
        <v/>
      </c>
      <c r="AD119" s="4" t="str">
        <f>HYPERLINK("http://141.218.60.56/~jnz1568/getInfo.php?workbook=07_01.xlsx&amp;sheet=A0&amp;row=119&amp;col=30&amp;number=&amp;sourceID=13","")</f>
        <v/>
      </c>
    </row>
    <row r="120" spans="1:30">
      <c r="A120" s="3">
        <v>7</v>
      </c>
      <c r="B120" s="3">
        <v>1</v>
      </c>
      <c r="C120" s="3">
        <v>17</v>
      </c>
      <c r="D120" s="3">
        <v>3</v>
      </c>
      <c r="E120" s="3">
        <f>((1/(INDEX(E0!J$4:J$28,C120,1)-INDEX(E0!J$4:J$28,D120,1))))*100000000</f>
        <v>0</v>
      </c>
      <c r="F120" s="4" t="str">
        <f>HYPERLINK("http://141.218.60.56/~jnz1568/getInfo.php?workbook=07_01.xlsx&amp;sheet=A0&amp;row=120&amp;col=6&amp;number==&amp;sourceID=11","=")</f>
        <v>=</v>
      </c>
      <c r="G120" s="4" t="str">
        <f>HYPERLINK("http://141.218.60.56/~jnz1568/getInfo.php?workbook=07_01.xlsx&amp;sheet=A0&amp;row=120&amp;col=7&amp;number=11901000000&amp;sourceID=11","11901000000")</f>
        <v>11901000000</v>
      </c>
      <c r="H120" s="4" t="str">
        <f>HYPERLINK("http://141.218.60.56/~jnz1568/getInfo.php?workbook=07_01.xlsx&amp;sheet=A0&amp;row=120&amp;col=8&amp;number=&amp;sourceID=11","")</f>
        <v/>
      </c>
      <c r="I120" s="4" t="str">
        <f>HYPERLINK("http://141.218.60.56/~jnz1568/getInfo.php?workbook=07_01.xlsx&amp;sheet=A0&amp;row=120&amp;col=9&amp;number=&amp;sourceID=11","")</f>
        <v/>
      </c>
      <c r="J120" s="4" t="str">
        <f>HYPERLINK("http://141.218.60.56/~jnz1568/getInfo.php?workbook=07_01.xlsx&amp;sheet=A0&amp;row=120&amp;col=10&amp;number=&amp;sourceID=11","")</f>
        <v/>
      </c>
      <c r="K120" s="4" t="str">
        <f>HYPERLINK("http://141.218.60.56/~jnz1568/getInfo.php?workbook=07_01.xlsx&amp;sheet=A0&amp;row=120&amp;col=11&amp;number=&amp;sourceID=11","")</f>
        <v/>
      </c>
      <c r="L120" s="4" t="str">
        <f>HYPERLINK("http://141.218.60.56/~jnz1568/getInfo.php?workbook=07_01.xlsx&amp;sheet=A0&amp;row=120&amp;col=12&amp;number=&amp;sourceID=11","")</f>
        <v/>
      </c>
      <c r="M120" s="4" t="str">
        <f>HYPERLINK("http://141.218.60.56/~jnz1568/getInfo.php?workbook=07_01.xlsx&amp;sheet=A0&amp;row=120&amp;col=13&amp;number=11902000000&amp;sourceID=12","11902000000")</f>
        <v>11902000000</v>
      </c>
      <c r="N120" s="4" t="str">
        <f>HYPERLINK("http://141.218.60.56/~jnz1568/getInfo.php?workbook=07_01.xlsx&amp;sheet=A0&amp;row=120&amp;col=14&amp;number=11902000000&amp;sourceID=12","11902000000")</f>
        <v>11902000000</v>
      </c>
      <c r="O120" s="4" t="str">
        <f>HYPERLINK("http://141.218.60.56/~jnz1568/getInfo.php?workbook=07_01.xlsx&amp;sheet=A0&amp;row=120&amp;col=15&amp;number=&amp;sourceID=12","")</f>
        <v/>
      </c>
      <c r="P120" s="4" t="str">
        <f>HYPERLINK("http://141.218.60.56/~jnz1568/getInfo.php?workbook=07_01.xlsx&amp;sheet=A0&amp;row=120&amp;col=16&amp;number=&amp;sourceID=12","")</f>
        <v/>
      </c>
      <c r="Q120" s="4" t="str">
        <f>HYPERLINK("http://141.218.60.56/~jnz1568/getInfo.php?workbook=07_01.xlsx&amp;sheet=A0&amp;row=120&amp;col=17&amp;number=&amp;sourceID=12","")</f>
        <v/>
      </c>
      <c r="R120" s="4" t="str">
        <f>HYPERLINK("http://141.218.60.56/~jnz1568/getInfo.php?workbook=07_01.xlsx&amp;sheet=A0&amp;row=120&amp;col=18&amp;number=&amp;sourceID=12","")</f>
        <v/>
      </c>
      <c r="S120" s="4" t="str">
        <f>HYPERLINK("http://141.218.60.56/~jnz1568/getInfo.php?workbook=07_01.xlsx&amp;sheet=A0&amp;row=120&amp;col=19&amp;number=&amp;sourceID=12","")</f>
        <v/>
      </c>
      <c r="T120" s="4" t="str">
        <f>HYPERLINK("http://141.218.60.56/~jnz1568/getInfo.php?workbook=07_01.xlsx&amp;sheet=A0&amp;row=120&amp;col=20&amp;number==&amp;sourceID=30","=")</f>
        <v>=</v>
      </c>
      <c r="U120" s="4" t="str">
        <f>HYPERLINK("http://141.218.60.56/~jnz1568/getInfo.php?workbook=07_01.xlsx&amp;sheet=A0&amp;row=120&amp;col=21&amp;number=11900000000&amp;sourceID=30","11900000000")</f>
        <v>11900000000</v>
      </c>
      <c r="V120" s="4" t="str">
        <f>HYPERLINK("http://141.218.60.56/~jnz1568/getInfo.php?workbook=07_01.xlsx&amp;sheet=A0&amp;row=120&amp;col=22&amp;number=&amp;sourceID=30","")</f>
        <v/>
      </c>
      <c r="W120" s="4" t="str">
        <f>HYPERLINK("http://141.218.60.56/~jnz1568/getInfo.php?workbook=07_01.xlsx&amp;sheet=A0&amp;row=120&amp;col=23&amp;number=&amp;sourceID=30","")</f>
        <v/>
      </c>
      <c r="X120" s="4" t="str">
        <f>HYPERLINK("http://141.218.60.56/~jnz1568/getInfo.php?workbook=07_01.xlsx&amp;sheet=A0&amp;row=120&amp;col=24&amp;number=&amp;sourceID=30","")</f>
        <v/>
      </c>
      <c r="Y120" s="4" t="str">
        <f>HYPERLINK("http://141.218.60.56/~jnz1568/getInfo.php?workbook=07_01.xlsx&amp;sheet=A0&amp;row=120&amp;col=25&amp;number=&amp;sourceID=13","")</f>
        <v/>
      </c>
      <c r="Z120" s="4" t="str">
        <f>HYPERLINK("http://141.218.60.56/~jnz1568/getInfo.php?workbook=07_01.xlsx&amp;sheet=A0&amp;row=120&amp;col=26&amp;number=&amp;sourceID=13","")</f>
        <v/>
      </c>
      <c r="AA120" s="4" t="str">
        <f>HYPERLINK("http://141.218.60.56/~jnz1568/getInfo.php?workbook=07_01.xlsx&amp;sheet=A0&amp;row=120&amp;col=27&amp;number=&amp;sourceID=13","")</f>
        <v/>
      </c>
      <c r="AB120" s="4" t="str">
        <f>HYPERLINK("http://141.218.60.56/~jnz1568/getInfo.php?workbook=07_01.xlsx&amp;sheet=A0&amp;row=120&amp;col=28&amp;number=&amp;sourceID=13","")</f>
        <v/>
      </c>
      <c r="AC120" s="4" t="str">
        <f>HYPERLINK("http://141.218.60.56/~jnz1568/getInfo.php?workbook=07_01.xlsx&amp;sheet=A0&amp;row=120&amp;col=29&amp;number=&amp;sourceID=13","")</f>
        <v/>
      </c>
      <c r="AD120" s="4" t="str">
        <f>HYPERLINK("http://141.218.60.56/~jnz1568/getInfo.php?workbook=07_01.xlsx&amp;sheet=A0&amp;row=120&amp;col=30&amp;number=&amp;sourceID=13","")</f>
        <v/>
      </c>
    </row>
    <row r="121" spans="1:30">
      <c r="A121" s="3">
        <v>7</v>
      </c>
      <c r="B121" s="3">
        <v>1</v>
      </c>
      <c r="C121" s="3">
        <v>17</v>
      </c>
      <c r="D121" s="3">
        <v>4</v>
      </c>
      <c r="E121" s="3">
        <f>((1/(INDEX(E0!J$4:J$28,C121,1)-INDEX(E0!J$4:J$28,D121,1))))*100000000</f>
        <v>0</v>
      </c>
      <c r="F121" s="4" t="str">
        <f>HYPERLINK("http://141.218.60.56/~jnz1568/getInfo.php?workbook=07_01.xlsx&amp;sheet=A0&amp;row=121&amp;col=6&amp;number==&amp;sourceID=11","=")</f>
        <v>=</v>
      </c>
      <c r="G121" s="4" t="str">
        <f>HYPERLINK("http://141.218.60.56/~jnz1568/getInfo.php?workbook=07_01.xlsx&amp;sheet=A0&amp;row=121&amp;col=7&amp;number=&amp;sourceID=11","")</f>
        <v/>
      </c>
      <c r="H121" s="4" t="str">
        <f>HYPERLINK("http://141.218.60.56/~jnz1568/getInfo.php?workbook=07_01.xlsx&amp;sheet=A0&amp;row=121&amp;col=8&amp;number=619270&amp;sourceID=11","619270")</f>
        <v>619270</v>
      </c>
      <c r="I121" s="4" t="str">
        <f>HYPERLINK("http://141.218.60.56/~jnz1568/getInfo.php?workbook=07_01.xlsx&amp;sheet=A0&amp;row=121&amp;col=9&amp;number=&amp;sourceID=11","")</f>
        <v/>
      </c>
      <c r="J121" s="4" t="str">
        <f>HYPERLINK("http://141.218.60.56/~jnz1568/getInfo.php?workbook=07_01.xlsx&amp;sheet=A0&amp;row=121&amp;col=10&amp;number=1.232&amp;sourceID=11","1.232")</f>
        <v>1.232</v>
      </c>
      <c r="K121" s="4" t="str">
        <f>HYPERLINK("http://141.218.60.56/~jnz1568/getInfo.php?workbook=07_01.xlsx&amp;sheet=A0&amp;row=121&amp;col=11&amp;number=&amp;sourceID=11","")</f>
        <v/>
      </c>
      <c r="L121" s="4" t="str">
        <f>HYPERLINK("http://141.218.60.56/~jnz1568/getInfo.php?workbook=07_01.xlsx&amp;sheet=A0&amp;row=121&amp;col=12&amp;number=&amp;sourceID=11","")</f>
        <v/>
      </c>
      <c r="M121" s="4" t="str">
        <f>HYPERLINK("http://141.218.60.56/~jnz1568/getInfo.php?workbook=07_01.xlsx&amp;sheet=A0&amp;row=121&amp;col=13&amp;number=619300&amp;sourceID=12","619300")</f>
        <v>619300</v>
      </c>
      <c r="N121" s="4" t="str">
        <f>HYPERLINK("http://141.218.60.56/~jnz1568/getInfo.php?workbook=07_01.xlsx&amp;sheet=A0&amp;row=121&amp;col=14&amp;number=&amp;sourceID=12","")</f>
        <v/>
      </c>
      <c r="O121" s="4" t="str">
        <f>HYPERLINK("http://141.218.60.56/~jnz1568/getInfo.php?workbook=07_01.xlsx&amp;sheet=A0&amp;row=121&amp;col=15&amp;number=619300&amp;sourceID=12","619300")</f>
        <v>619300</v>
      </c>
      <c r="P121" s="4" t="str">
        <f>HYPERLINK("http://141.218.60.56/~jnz1568/getInfo.php?workbook=07_01.xlsx&amp;sheet=A0&amp;row=121&amp;col=16&amp;number=&amp;sourceID=12","")</f>
        <v/>
      </c>
      <c r="Q121" s="4" t="str">
        <f>HYPERLINK("http://141.218.60.56/~jnz1568/getInfo.php?workbook=07_01.xlsx&amp;sheet=A0&amp;row=121&amp;col=17&amp;number=1.2319&amp;sourceID=12","1.2319")</f>
        <v>1.2319</v>
      </c>
      <c r="R121" s="4" t="str">
        <f>HYPERLINK("http://141.218.60.56/~jnz1568/getInfo.php?workbook=07_01.xlsx&amp;sheet=A0&amp;row=121&amp;col=18&amp;number=&amp;sourceID=12","")</f>
        <v/>
      </c>
      <c r="S121" s="4" t="str">
        <f>HYPERLINK("http://141.218.60.56/~jnz1568/getInfo.php?workbook=07_01.xlsx&amp;sheet=A0&amp;row=121&amp;col=19&amp;number=&amp;sourceID=12","")</f>
        <v/>
      </c>
      <c r="T121" s="4" t="str">
        <f>HYPERLINK("http://141.218.60.56/~jnz1568/getInfo.php?workbook=07_01.xlsx&amp;sheet=A0&amp;row=121&amp;col=20&amp;number==&amp;sourceID=30","=")</f>
        <v>=</v>
      </c>
      <c r="U121" s="4" t="str">
        <f>HYPERLINK("http://141.218.60.56/~jnz1568/getInfo.php?workbook=07_01.xlsx&amp;sheet=A0&amp;row=121&amp;col=21&amp;number=&amp;sourceID=30","")</f>
        <v/>
      </c>
      <c r="V121" s="4" t="str">
        <f>HYPERLINK("http://141.218.60.56/~jnz1568/getInfo.php?workbook=07_01.xlsx&amp;sheet=A0&amp;row=121&amp;col=22&amp;number=619300&amp;sourceID=30","619300")</f>
        <v>619300</v>
      </c>
      <c r="W121" s="4" t="str">
        <f>HYPERLINK("http://141.218.60.56/~jnz1568/getInfo.php?workbook=07_01.xlsx&amp;sheet=A0&amp;row=121&amp;col=23&amp;number=1.232&amp;sourceID=30","1.232")</f>
        <v>1.232</v>
      </c>
      <c r="X121" s="4" t="str">
        <f>HYPERLINK("http://141.218.60.56/~jnz1568/getInfo.php?workbook=07_01.xlsx&amp;sheet=A0&amp;row=121&amp;col=24&amp;number=&amp;sourceID=30","")</f>
        <v/>
      </c>
      <c r="Y121" s="4" t="str">
        <f>HYPERLINK("http://141.218.60.56/~jnz1568/getInfo.php?workbook=07_01.xlsx&amp;sheet=A0&amp;row=121&amp;col=25&amp;number=&amp;sourceID=13","")</f>
        <v/>
      </c>
      <c r="Z121" s="4" t="str">
        <f>HYPERLINK("http://141.218.60.56/~jnz1568/getInfo.php?workbook=07_01.xlsx&amp;sheet=A0&amp;row=121&amp;col=26&amp;number=&amp;sourceID=13","")</f>
        <v/>
      </c>
      <c r="AA121" s="4" t="str">
        <f>HYPERLINK("http://141.218.60.56/~jnz1568/getInfo.php?workbook=07_01.xlsx&amp;sheet=A0&amp;row=121&amp;col=27&amp;number=&amp;sourceID=13","")</f>
        <v/>
      </c>
      <c r="AB121" s="4" t="str">
        <f>HYPERLINK("http://141.218.60.56/~jnz1568/getInfo.php?workbook=07_01.xlsx&amp;sheet=A0&amp;row=121&amp;col=28&amp;number=&amp;sourceID=13","")</f>
        <v/>
      </c>
      <c r="AC121" s="4" t="str">
        <f>HYPERLINK("http://141.218.60.56/~jnz1568/getInfo.php?workbook=07_01.xlsx&amp;sheet=A0&amp;row=121&amp;col=29&amp;number=&amp;sourceID=13","")</f>
        <v/>
      </c>
      <c r="AD121" s="4" t="str">
        <f>HYPERLINK("http://141.218.60.56/~jnz1568/getInfo.php?workbook=07_01.xlsx&amp;sheet=A0&amp;row=121&amp;col=30&amp;number=&amp;sourceID=13","")</f>
        <v/>
      </c>
    </row>
    <row r="122" spans="1:30">
      <c r="A122" s="3">
        <v>7</v>
      </c>
      <c r="B122" s="3">
        <v>1</v>
      </c>
      <c r="C122" s="3">
        <v>17</v>
      </c>
      <c r="D122" s="3">
        <v>5</v>
      </c>
      <c r="E122" s="3">
        <f>((1/(INDEX(E0!J$4:J$28,C122,1)-INDEX(E0!J$4:J$28,D122,1))))*100000000</f>
        <v>0</v>
      </c>
      <c r="F122" s="4" t="str">
        <f>HYPERLINK("http://141.218.60.56/~jnz1568/getInfo.php?workbook=07_01.xlsx&amp;sheet=A0&amp;row=122&amp;col=6&amp;number==&amp;sourceID=11","=")</f>
        <v>=</v>
      </c>
      <c r="G122" s="4" t="str">
        <f>HYPERLINK("http://141.218.60.56/~jnz1568/getInfo.php?workbook=07_01.xlsx&amp;sheet=A0&amp;row=122&amp;col=7&amp;number=&amp;sourceID=11","")</f>
        <v/>
      </c>
      <c r="H122" s="4" t="str">
        <f>HYPERLINK("http://141.218.60.56/~jnz1568/getInfo.php?workbook=07_01.xlsx&amp;sheet=A0&amp;row=122&amp;col=8&amp;number=&amp;sourceID=11","")</f>
        <v/>
      </c>
      <c r="I122" s="4" t="str">
        <f>HYPERLINK("http://141.218.60.56/~jnz1568/getInfo.php?workbook=07_01.xlsx&amp;sheet=A0&amp;row=122&amp;col=9&amp;number=&amp;sourceID=11","")</f>
        <v/>
      </c>
      <c r="J122" s="4" t="str">
        <f>HYPERLINK("http://141.218.60.56/~jnz1568/getInfo.php?workbook=07_01.xlsx&amp;sheet=A0&amp;row=122&amp;col=10&amp;number=0.0021772&amp;sourceID=11","0.0021772")</f>
        <v>0.0021772</v>
      </c>
      <c r="K122" s="4" t="str">
        <f>HYPERLINK("http://141.218.60.56/~jnz1568/getInfo.php?workbook=07_01.xlsx&amp;sheet=A0&amp;row=122&amp;col=11&amp;number=&amp;sourceID=11","")</f>
        <v/>
      </c>
      <c r="L122" s="4" t="str">
        <f>HYPERLINK("http://141.218.60.56/~jnz1568/getInfo.php?workbook=07_01.xlsx&amp;sheet=A0&amp;row=122&amp;col=12&amp;number=&amp;sourceID=11","")</f>
        <v/>
      </c>
      <c r="M122" s="4" t="str">
        <f>HYPERLINK("http://141.218.60.56/~jnz1568/getInfo.php?workbook=07_01.xlsx&amp;sheet=A0&amp;row=122&amp;col=13&amp;number=0.0021771&amp;sourceID=12","0.0021771")</f>
        <v>0.0021771</v>
      </c>
      <c r="N122" s="4" t="str">
        <f>HYPERLINK("http://141.218.60.56/~jnz1568/getInfo.php?workbook=07_01.xlsx&amp;sheet=A0&amp;row=122&amp;col=14&amp;number=&amp;sourceID=12","")</f>
        <v/>
      </c>
      <c r="O122" s="4" t="str">
        <f>HYPERLINK("http://141.218.60.56/~jnz1568/getInfo.php?workbook=07_01.xlsx&amp;sheet=A0&amp;row=122&amp;col=15&amp;number=&amp;sourceID=12","")</f>
        <v/>
      </c>
      <c r="P122" s="4" t="str">
        <f>HYPERLINK("http://141.218.60.56/~jnz1568/getInfo.php?workbook=07_01.xlsx&amp;sheet=A0&amp;row=122&amp;col=16&amp;number=&amp;sourceID=12","")</f>
        <v/>
      </c>
      <c r="Q122" s="4" t="str">
        <f>HYPERLINK("http://141.218.60.56/~jnz1568/getInfo.php?workbook=07_01.xlsx&amp;sheet=A0&amp;row=122&amp;col=17&amp;number=0.0021771&amp;sourceID=12","0.0021771")</f>
        <v>0.0021771</v>
      </c>
      <c r="R122" s="4" t="str">
        <f>HYPERLINK("http://141.218.60.56/~jnz1568/getInfo.php?workbook=07_01.xlsx&amp;sheet=A0&amp;row=122&amp;col=18&amp;number=&amp;sourceID=12","")</f>
        <v/>
      </c>
      <c r="S122" s="4" t="str">
        <f>HYPERLINK("http://141.218.60.56/~jnz1568/getInfo.php?workbook=07_01.xlsx&amp;sheet=A0&amp;row=122&amp;col=19&amp;number=&amp;sourceID=12","")</f>
        <v/>
      </c>
      <c r="T122" s="4" t="str">
        <f>HYPERLINK("http://141.218.60.56/~jnz1568/getInfo.php?workbook=07_01.xlsx&amp;sheet=A0&amp;row=122&amp;col=20&amp;number==&amp;sourceID=30","=")</f>
        <v>=</v>
      </c>
      <c r="U122" s="4" t="str">
        <f>HYPERLINK("http://141.218.60.56/~jnz1568/getInfo.php?workbook=07_01.xlsx&amp;sheet=A0&amp;row=122&amp;col=21&amp;number=&amp;sourceID=30","")</f>
        <v/>
      </c>
      <c r="V122" s="4" t="str">
        <f>HYPERLINK("http://141.218.60.56/~jnz1568/getInfo.php?workbook=07_01.xlsx&amp;sheet=A0&amp;row=122&amp;col=22&amp;number=&amp;sourceID=30","")</f>
        <v/>
      </c>
      <c r="W122" s="4" t="str">
        <f>HYPERLINK("http://141.218.60.56/~jnz1568/getInfo.php?workbook=07_01.xlsx&amp;sheet=A0&amp;row=122&amp;col=23&amp;number=0.002182&amp;sourceID=30","0.002182")</f>
        <v>0.002182</v>
      </c>
      <c r="X122" s="4" t="str">
        <f>HYPERLINK("http://141.218.60.56/~jnz1568/getInfo.php?workbook=07_01.xlsx&amp;sheet=A0&amp;row=122&amp;col=24&amp;number=&amp;sourceID=30","")</f>
        <v/>
      </c>
      <c r="Y122" s="4" t="str">
        <f>HYPERLINK("http://141.218.60.56/~jnz1568/getInfo.php?workbook=07_01.xlsx&amp;sheet=A0&amp;row=122&amp;col=25&amp;number=&amp;sourceID=13","")</f>
        <v/>
      </c>
      <c r="Z122" s="4" t="str">
        <f>HYPERLINK("http://141.218.60.56/~jnz1568/getInfo.php?workbook=07_01.xlsx&amp;sheet=A0&amp;row=122&amp;col=26&amp;number=&amp;sourceID=13","")</f>
        <v/>
      </c>
      <c r="AA122" s="4" t="str">
        <f>HYPERLINK("http://141.218.60.56/~jnz1568/getInfo.php?workbook=07_01.xlsx&amp;sheet=A0&amp;row=122&amp;col=27&amp;number=&amp;sourceID=13","")</f>
        <v/>
      </c>
      <c r="AB122" s="4" t="str">
        <f>HYPERLINK("http://141.218.60.56/~jnz1568/getInfo.php?workbook=07_01.xlsx&amp;sheet=A0&amp;row=122&amp;col=28&amp;number=&amp;sourceID=13","")</f>
        <v/>
      </c>
      <c r="AC122" s="4" t="str">
        <f>HYPERLINK("http://141.218.60.56/~jnz1568/getInfo.php?workbook=07_01.xlsx&amp;sheet=A0&amp;row=122&amp;col=29&amp;number=&amp;sourceID=13","")</f>
        <v/>
      </c>
      <c r="AD122" s="4" t="str">
        <f>HYPERLINK("http://141.218.60.56/~jnz1568/getInfo.php?workbook=07_01.xlsx&amp;sheet=A0&amp;row=122&amp;col=30&amp;number=&amp;sourceID=13","")</f>
        <v/>
      </c>
    </row>
    <row r="123" spans="1:30">
      <c r="A123" s="3">
        <v>7</v>
      </c>
      <c r="B123" s="3">
        <v>1</v>
      </c>
      <c r="C123" s="3">
        <v>17</v>
      </c>
      <c r="D123" s="3">
        <v>6</v>
      </c>
      <c r="E123" s="3">
        <f>((1/(INDEX(E0!J$4:J$28,C123,1)-INDEX(E0!J$4:J$28,D123,1))))*100000000</f>
        <v>0</v>
      </c>
      <c r="F123" s="4" t="str">
        <f>HYPERLINK("http://141.218.60.56/~jnz1568/getInfo.php?workbook=07_01.xlsx&amp;sheet=A0&amp;row=123&amp;col=6&amp;number==&amp;sourceID=11","=")</f>
        <v>=</v>
      </c>
      <c r="G123" s="4" t="str">
        <f>HYPERLINK("http://141.218.60.56/~jnz1568/getInfo.php?workbook=07_01.xlsx&amp;sheet=A0&amp;row=123&amp;col=7&amp;number=3939400000&amp;sourceID=11","3939400000")</f>
        <v>3939400000</v>
      </c>
      <c r="H123" s="4" t="str">
        <f>HYPERLINK("http://141.218.60.56/~jnz1568/getInfo.php?workbook=07_01.xlsx&amp;sheet=A0&amp;row=123&amp;col=8&amp;number=&amp;sourceID=11","")</f>
        <v/>
      </c>
      <c r="I123" s="4" t="str">
        <f>HYPERLINK("http://141.218.60.56/~jnz1568/getInfo.php?workbook=07_01.xlsx&amp;sheet=A0&amp;row=123&amp;col=9&amp;number=&amp;sourceID=11","")</f>
        <v/>
      </c>
      <c r="J123" s="4" t="str">
        <f>HYPERLINK("http://141.218.60.56/~jnz1568/getInfo.php?workbook=07_01.xlsx&amp;sheet=A0&amp;row=123&amp;col=10&amp;number=&amp;sourceID=11","")</f>
        <v/>
      </c>
      <c r="K123" s="4" t="str">
        <f>HYPERLINK("http://141.218.60.56/~jnz1568/getInfo.php?workbook=07_01.xlsx&amp;sheet=A0&amp;row=123&amp;col=11&amp;number=&amp;sourceID=11","")</f>
        <v/>
      </c>
      <c r="L123" s="4" t="str">
        <f>HYPERLINK("http://141.218.60.56/~jnz1568/getInfo.php?workbook=07_01.xlsx&amp;sheet=A0&amp;row=123&amp;col=12&amp;number=&amp;sourceID=11","")</f>
        <v/>
      </c>
      <c r="M123" s="4" t="str">
        <f>HYPERLINK("http://141.218.60.56/~jnz1568/getInfo.php?workbook=07_01.xlsx&amp;sheet=A0&amp;row=123&amp;col=13&amp;number=3939600000&amp;sourceID=12","3939600000")</f>
        <v>3939600000</v>
      </c>
      <c r="N123" s="4" t="str">
        <f>HYPERLINK("http://141.218.60.56/~jnz1568/getInfo.php?workbook=07_01.xlsx&amp;sheet=A0&amp;row=123&amp;col=14&amp;number=3939600000&amp;sourceID=12","3939600000")</f>
        <v>3939600000</v>
      </c>
      <c r="O123" s="4" t="str">
        <f>HYPERLINK("http://141.218.60.56/~jnz1568/getInfo.php?workbook=07_01.xlsx&amp;sheet=A0&amp;row=123&amp;col=15&amp;number=&amp;sourceID=12","")</f>
        <v/>
      </c>
      <c r="P123" s="4" t="str">
        <f>HYPERLINK("http://141.218.60.56/~jnz1568/getInfo.php?workbook=07_01.xlsx&amp;sheet=A0&amp;row=123&amp;col=16&amp;number=&amp;sourceID=12","")</f>
        <v/>
      </c>
      <c r="Q123" s="4" t="str">
        <f>HYPERLINK("http://141.218.60.56/~jnz1568/getInfo.php?workbook=07_01.xlsx&amp;sheet=A0&amp;row=123&amp;col=17&amp;number=&amp;sourceID=12","")</f>
        <v/>
      </c>
      <c r="R123" s="4" t="str">
        <f>HYPERLINK("http://141.218.60.56/~jnz1568/getInfo.php?workbook=07_01.xlsx&amp;sheet=A0&amp;row=123&amp;col=18&amp;number=&amp;sourceID=12","")</f>
        <v/>
      </c>
      <c r="S123" s="4" t="str">
        <f>HYPERLINK("http://141.218.60.56/~jnz1568/getInfo.php?workbook=07_01.xlsx&amp;sheet=A0&amp;row=123&amp;col=19&amp;number=&amp;sourceID=12","")</f>
        <v/>
      </c>
      <c r="T123" s="4" t="str">
        <f>HYPERLINK("http://141.218.60.56/~jnz1568/getInfo.php?workbook=07_01.xlsx&amp;sheet=A0&amp;row=123&amp;col=20&amp;number==&amp;sourceID=30","=")</f>
        <v>=</v>
      </c>
      <c r="U123" s="4" t="str">
        <f>HYPERLINK("http://141.218.60.56/~jnz1568/getInfo.php?workbook=07_01.xlsx&amp;sheet=A0&amp;row=123&amp;col=21&amp;number=3940000000&amp;sourceID=30","3940000000")</f>
        <v>3940000000</v>
      </c>
      <c r="V123" s="4" t="str">
        <f>HYPERLINK("http://141.218.60.56/~jnz1568/getInfo.php?workbook=07_01.xlsx&amp;sheet=A0&amp;row=123&amp;col=22&amp;number=&amp;sourceID=30","")</f>
        <v/>
      </c>
      <c r="W123" s="4" t="str">
        <f>HYPERLINK("http://141.218.60.56/~jnz1568/getInfo.php?workbook=07_01.xlsx&amp;sheet=A0&amp;row=123&amp;col=23&amp;number=&amp;sourceID=30","")</f>
        <v/>
      </c>
      <c r="X123" s="4" t="str">
        <f>HYPERLINK("http://141.218.60.56/~jnz1568/getInfo.php?workbook=07_01.xlsx&amp;sheet=A0&amp;row=123&amp;col=24&amp;number=&amp;sourceID=30","")</f>
        <v/>
      </c>
      <c r="Y123" s="4" t="str">
        <f>HYPERLINK("http://141.218.60.56/~jnz1568/getInfo.php?workbook=07_01.xlsx&amp;sheet=A0&amp;row=123&amp;col=25&amp;number=&amp;sourceID=13","")</f>
        <v/>
      </c>
      <c r="Z123" s="4" t="str">
        <f>HYPERLINK("http://141.218.60.56/~jnz1568/getInfo.php?workbook=07_01.xlsx&amp;sheet=A0&amp;row=123&amp;col=26&amp;number=&amp;sourceID=13","")</f>
        <v/>
      </c>
      <c r="AA123" s="4" t="str">
        <f>HYPERLINK("http://141.218.60.56/~jnz1568/getInfo.php?workbook=07_01.xlsx&amp;sheet=A0&amp;row=123&amp;col=27&amp;number=&amp;sourceID=13","")</f>
        <v/>
      </c>
      <c r="AB123" s="4" t="str">
        <f>HYPERLINK("http://141.218.60.56/~jnz1568/getInfo.php?workbook=07_01.xlsx&amp;sheet=A0&amp;row=123&amp;col=28&amp;number=&amp;sourceID=13","")</f>
        <v/>
      </c>
      <c r="AC123" s="4" t="str">
        <f>HYPERLINK("http://141.218.60.56/~jnz1568/getInfo.php?workbook=07_01.xlsx&amp;sheet=A0&amp;row=123&amp;col=29&amp;number=&amp;sourceID=13","")</f>
        <v/>
      </c>
      <c r="AD123" s="4" t="str">
        <f>HYPERLINK("http://141.218.60.56/~jnz1568/getInfo.php?workbook=07_01.xlsx&amp;sheet=A0&amp;row=123&amp;col=30&amp;number=&amp;sourceID=13","")</f>
        <v/>
      </c>
    </row>
    <row r="124" spans="1:30">
      <c r="A124" s="3">
        <v>7</v>
      </c>
      <c r="B124" s="3">
        <v>1</v>
      </c>
      <c r="C124" s="3">
        <v>17</v>
      </c>
      <c r="D124" s="3">
        <v>7</v>
      </c>
      <c r="E124" s="3">
        <f>((1/(INDEX(E0!J$4:J$28,C124,1)-INDEX(E0!J$4:J$28,D124,1))))*100000000</f>
        <v>0</v>
      </c>
      <c r="F124" s="4" t="str">
        <f>HYPERLINK("http://141.218.60.56/~jnz1568/getInfo.php?workbook=07_01.xlsx&amp;sheet=A0&amp;row=124&amp;col=6&amp;number==&amp;sourceID=11","=")</f>
        <v>=</v>
      </c>
      <c r="G124" s="4" t="str">
        <f>HYPERLINK("http://141.218.60.56/~jnz1568/getInfo.php?workbook=07_01.xlsx&amp;sheet=A0&amp;row=124&amp;col=7&amp;number=362050000&amp;sourceID=11","362050000")</f>
        <v>362050000</v>
      </c>
      <c r="H124" s="4" t="str">
        <f>HYPERLINK("http://141.218.60.56/~jnz1568/getInfo.php?workbook=07_01.xlsx&amp;sheet=A0&amp;row=124&amp;col=8&amp;number=&amp;sourceID=11","")</f>
        <v/>
      </c>
      <c r="I124" s="4" t="str">
        <f>HYPERLINK("http://141.218.60.56/~jnz1568/getInfo.php?workbook=07_01.xlsx&amp;sheet=A0&amp;row=124&amp;col=9&amp;number=&amp;sourceID=11","")</f>
        <v/>
      </c>
      <c r="J124" s="4" t="str">
        <f>HYPERLINK("http://141.218.60.56/~jnz1568/getInfo.php?workbook=07_01.xlsx&amp;sheet=A0&amp;row=124&amp;col=10&amp;number=&amp;sourceID=11","")</f>
        <v/>
      </c>
      <c r="K124" s="4" t="str">
        <f>HYPERLINK("http://141.218.60.56/~jnz1568/getInfo.php?workbook=07_01.xlsx&amp;sheet=A0&amp;row=124&amp;col=11&amp;number=0.023386&amp;sourceID=11","0.023386")</f>
        <v>0.023386</v>
      </c>
      <c r="L124" s="4" t="str">
        <f>HYPERLINK("http://141.218.60.56/~jnz1568/getInfo.php?workbook=07_01.xlsx&amp;sheet=A0&amp;row=124&amp;col=12&amp;number=&amp;sourceID=11","")</f>
        <v/>
      </c>
      <c r="M124" s="4" t="str">
        <f>HYPERLINK("http://141.218.60.56/~jnz1568/getInfo.php?workbook=07_01.xlsx&amp;sheet=A0&amp;row=124&amp;col=13&amp;number=362060000&amp;sourceID=12","362060000")</f>
        <v>362060000</v>
      </c>
      <c r="N124" s="4" t="str">
        <f>HYPERLINK("http://141.218.60.56/~jnz1568/getInfo.php?workbook=07_01.xlsx&amp;sheet=A0&amp;row=124&amp;col=14&amp;number=362060000&amp;sourceID=12","362060000")</f>
        <v>362060000</v>
      </c>
      <c r="O124" s="4" t="str">
        <f>HYPERLINK("http://141.218.60.56/~jnz1568/getInfo.php?workbook=07_01.xlsx&amp;sheet=A0&amp;row=124&amp;col=15&amp;number=&amp;sourceID=12","")</f>
        <v/>
      </c>
      <c r="P124" s="4" t="str">
        <f>HYPERLINK("http://141.218.60.56/~jnz1568/getInfo.php?workbook=07_01.xlsx&amp;sheet=A0&amp;row=124&amp;col=16&amp;number=&amp;sourceID=12","")</f>
        <v/>
      </c>
      <c r="Q124" s="4" t="str">
        <f>HYPERLINK("http://141.218.60.56/~jnz1568/getInfo.php?workbook=07_01.xlsx&amp;sheet=A0&amp;row=124&amp;col=17&amp;number=&amp;sourceID=12","")</f>
        <v/>
      </c>
      <c r="R124" s="4" t="str">
        <f>HYPERLINK("http://141.218.60.56/~jnz1568/getInfo.php?workbook=07_01.xlsx&amp;sheet=A0&amp;row=124&amp;col=18&amp;number=0.023387&amp;sourceID=12","0.023387")</f>
        <v>0.023387</v>
      </c>
      <c r="S124" s="4" t="str">
        <f>HYPERLINK("http://141.218.60.56/~jnz1568/getInfo.php?workbook=07_01.xlsx&amp;sheet=A0&amp;row=124&amp;col=19&amp;number=&amp;sourceID=12","")</f>
        <v/>
      </c>
      <c r="T124" s="4" t="str">
        <f>HYPERLINK("http://141.218.60.56/~jnz1568/getInfo.php?workbook=07_01.xlsx&amp;sheet=A0&amp;row=124&amp;col=20&amp;number==&amp;sourceID=30","=")</f>
        <v>=</v>
      </c>
      <c r="U124" s="4" t="str">
        <f>HYPERLINK("http://141.218.60.56/~jnz1568/getInfo.php?workbook=07_01.xlsx&amp;sheet=A0&amp;row=124&amp;col=21&amp;number=362100000&amp;sourceID=30","362100000")</f>
        <v>362100000</v>
      </c>
      <c r="V124" s="4" t="str">
        <f>HYPERLINK("http://141.218.60.56/~jnz1568/getInfo.php?workbook=07_01.xlsx&amp;sheet=A0&amp;row=124&amp;col=22&amp;number=&amp;sourceID=30","")</f>
        <v/>
      </c>
      <c r="W124" s="4" t="str">
        <f>HYPERLINK("http://141.218.60.56/~jnz1568/getInfo.php?workbook=07_01.xlsx&amp;sheet=A0&amp;row=124&amp;col=23&amp;number=&amp;sourceID=30","")</f>
        <v/>
      </c>
      <c r="X124" s="4" t="str">
        <f>HYPERLINK("http://141.218.60.56/~jnz1568/getInfo.php?workbook=07_01.xlsx&amp;sheet=A0&amp;row=124&amp;col=24&amp;number=0.02339&amp;sourceID=30","0.02339")</f>
        <v>0.02339</v>
      </c>
      <c r="Y124" s="4" t="str">
        <f>HYPERLINK("http://141.218.60.56/~jnz1568/getInfo.php?workbook=07_01.xlsx&amp;sheet=A0&amp;row=124&amp;col=25&amp;number=&amp;sourceID=13","")</f>
        <v/>
      </c>
      <c r="Z124" s="4" t="str">
        <f>HYPERLINK("http://141.218.60.56/~jnz1568/getInfo.php?workbook=07_01.xlsx&amp;sheet=A0&amp;row=124&amp;col=26&amp;number=&amp;sourceID=13","")</f>
        <v/>
      </c>
      <c r="AA124" s="4" t="str">
        <f>HYPERLINK("http://141.218.60.56/~jnz1568/getInfo.php?workbook=07_01.xlsx&amp;sheet=A0&amp;row=124&amp;col=27&amp;number=&amp;sourceID=13","")</f>
        <v/>
      </c>
      <c r="AB124" s="4" t="str">
        <f>HYPERLINK("http://141.218.60.56/~jnz1568/getInfo.php?workbook=07_01.xlsx&amp;sheet=A0&amp;row=124&amp;col=28&amp;number=&amp;sourceID=13","")</f>
        <v/>
      </c>
      <c r="AC124" s="4" t="str">
        <f>HYPERLINK("http://141.218.60.56/~jnz1568/getInfo.php?workbook=07_01.xlsx&amp;sheet=A0&amp;row=124&amp;col=29&amp;number=&amp;sourceID=13","")</f>
        <v/>
      </c>
      <c r="AD124" s="4" t="str">
        <f>HYPERLINK("http://141.218.60.56/~jnz1568/getInfo.php?workbook=07_01.xlsx&amp;sheet=A0&amp;row=124&amp;col=30&amp;number=&amp;sourceID=13","")</f>
        <v/>
      </c>
    </row>
    <row r="125" spans="1:30">
      <c r="A125" s="3">
        <v>7</v>
      </c>
      <c r="B125" s="3">
        <v>1</v>
      </c>
      <c r="C125" s="3">
        <v>17</v>
      </c>
      <c r="D125" s="3">
        <v>8</v>
      </c>
      <c r="E125" s="3">
        <f>((1/(INDEX(E0!J$4:J$28,C125,1)-INDEX(E0!J$4:J$28,D125,1))))*100000000</f>
        <v>0</v>
      </c>
      <c r="F125" s="4" t="str">
        <f>HYPERLINK("http://141.218.60.56/~jnz1568/getInfo.php?workbook=07_01.xlsx&amp;sheet=A0&amp;row=125&amp;col=6&amp;number==&amp;sourceID=11","=")</f>
        <v>=</v>
      </c>
      <c r="G125" s="4" t="str">
        <f>HYPERLINK("http://141.218.60.56/~jnz1568/getInfo.php?workbook=07_01.xlsx&amp;sheet=A0&amp;row=125&amp;col=7&amp;number=&amp;sourceID=11","")</f>
        <v/>
      </c>
      <c r="H125" s="4" t="str">
        <f>HYPERLINK("http://141.218.60.56/~jnz1568/getInfo.php?workbook=07_01.xlsx&amp;sheet=A0&amp;row=125&amp;col=8&amp;number=168000&amp;sourceID=11","168000")</f>
        <v>168000</v>
      </c>
      <c r="I125" s="4" t="str">
        <f>HYPERLINK("http://141.218.60.56/~jnz1568/getInfo.php?workbook=07_01.xlsx&amp;sheet=A0&amp;row=125&amp;col=9&amp;number=&amp;sourceID=11","")</f>
        <v/>
      </c>
      <c r="J125" s="4" t="str">
        <f>HYPERLINK("http://141.218.60.56/~jnz1568/getInfo.php?workbook=07_01.xlsx&amp;sheet=A0&amp;row=125&amp;col=10&amp;number=0.11745&amp;sourceID=11","0.11745")</f>
        <v>0.11745</v>
      </c>
      <c r="K125" s="4" t="str">
        <f>HYPERLINK("http://141.218.60.56/~jnz1568/getInfo.php?workbook=07_01.xlsx&amp;sheet=A0&amp;row=125&amp;col=11&amp;number=&amp;sourceID=11","")</f>
        <v/>
      </c>
      <c r="L125" s="4" t="str">
        <f>HYPERLINK("http://141.218.60.56/~jnz1568/getInfo.php?workbook=07_01.xlsx&amp;sheet=A0&amp;row=125&amp;col=12&amp;number=&amp;sourceID=11","")</f>
        <v/>
      </c>
      <c r="M125" s="4" t="str">
        <f>HYPERLINK("http://141.218.60.56/~jnz1568/getInfo.php?workbook=07_01.xlsx&amp;sheet=A0&amp;row=125&amp;col=13&amp;number=168010&amp;sourceID=12","168010")</f>
        <v>168010</v>
      </c>
      <c r="N125" s="4" t="str">
        <f>HYPERLINK("http://141.218.60.56/~jnz1568/getInfo.php?workbook=07_01.xlsx&amp;sheet=A0&amp;row=125&amp;col=14&amp;number=&amp;sourceID=12","")</f>
        <v/>
      </c>
      <c r="O125" s="4" t="str">
        <f>HYPERLINK("http://141.218.60.56/~jnz1568/getInfo.php?workbook=07_01.xlsx&amp;sheet=A0&amp;row=125&amp;col=15&amp;number=168010&amp;sourceID=12","168010")</f>
        <v>168010</v>
      </c>
      <c r="P125" s="4" t="str">
        <f>HYPERLINK("http://141.218.60.56/~jnz1568/getInfo.php?workbook=07_01.xlsx&amp;sheet=A0&amp;row=125&amp;col=16&amp;number=&amp;sourceID=12","")</f>
        <v/>
      </c>
      <c r="Q125" s="4" t="str">
        <f>HYPERLINK("http://141.218.60.56/~jnz1568/getInfo.php?workbook=07_01.xlsx&amp;sheet=A0&amp;row=125&amp;col=17&amp;number=0.11746&amp;sourceID=12","0.11746")</f>
        <v>0.11746</v>
      </c>
      <c r="R125" s="4" t="str">
        <f>HYPERLINK("http://141.218.60.56/~jnz1568/getInfo.php?workbook=07_01.xlsx&amp;sheet=A0&amp;row=125&amp;col=18&amp;number=&amp;sourceID=12","")</f>
        <v/>
      </c>
      <c r="S125" s="4" t="str">
        <f>HYPERLINK("http://141.218.60.56/~jnz1568/getInfo.php?workbook=07_01.xlsx&amp;sheet=A0&amp;row=125&amp;col=19&amp;number=&amp;sourceID=12","")</f>
        <v/>
      </c>
      <c r="T125" s="4" t="str">
        <f>HYPERLINK("http://141.218.60.56/~jnz1568/getInfo.php?workbook=07_01.xlsx&amp;sheet=A0&amp;row=125&amp;col=20&amp;number==&amp;sourceID=30","=")</f>
        <v>=</v>
      </c>
      <c r="U125" s="4" t="str">
        <f>HYPERLINK("http://141.218.60.56/~jnz1568/getInfo.php?workbook=07_01.xlsx&amp;sheet=A0&amp;row=125&amp;col=21&amp;number=&amp;sourceID=30","")</f>
        <v/>
      </c>
      <c r="V125" s="4" t="str">
        <f>HYPERLINK("http://141.218.60.56/~jnz1568/getInfo.php?workbook=07_01.xlsx&amp;sheet=A0&amp;row=125&amp;col=22&amp;number=168000&amp;sourceID=30","168000")</f>
        <v>168000</v>
      </c>
      <c r="W125" s="4" t="str">
        <f>HYPERLINK("http://141.218.60.56/~jnz1568/getInfo.php?workbook=07_01.xlsx&amp;sheet=A0&amp;row=125&amp;col=23&amp;number=0.1174&amp;sourceID=30","0.1174")</f>
        <v>0.1174</v>
      </c>
      <c r="X125" s="4" t="str">
        <f>HYPERLINK("http://141.218.60.56/~jnz1568/getInfo.php?workbook=07_01.xlsx&amp;sheet=A0&amp;row=125&amp;col=24&amp;number=&amp;sourceID=30","")</f>
        <v/>
      </c>
      <c r="Y125" s="4" t="str">
        <f>HYPERLINK("http://141.218.60.56/~jnz1568/getInfo.php?workbook=07_01.xlsx&amp;sheet=A0&amp;row=125&amp;col=25&amp;number=&amp;sourceID=13","")</f>
        <v/>
      </c>
      <c r="Z125" s="4" t="str">
        <f>HYPERLINK("http://141.218.60.56/~jnz1568/getInfo.php?workbook=07_01.xlsx&amp;sheet=A0&amp;row=125&amp;col=26&amp;number=&amp;sourceID=13","")</f>
        <v/>
      </c>
      <c r="AA125" s="4" t="str">
        <f>HYPERLINK("http://141.218.60.56/~jnz1568/getInfo.php?workbook=07_01.xlsx&amp;sheet=A0&amp;row=125&amp;col=27&amp;number=&amp;sourceID=13","")</f>
        <v/>
      </c>
      <c r="AB125" s="4" t="str">
        <f>HYPERLINK("http://141.218.60.56/~jnz1568/getInfo.php?workbook=07_01.xlsx&amp;sheet=A0&amp;row=125&amp;col=28&amp;number=&amp;sourceID=13","")</f>
        <v/>
      </c>
      <c r="AC125" s="4" t="str">
        <f>HYPERLINK("http://141.218.60.56/~jnz1568/getInfo.php?workbook=07_01.xlsx&amp;sheet=A0&amp;row=125&amp;col=29&amp;number=&amp;sourceID=13","")</f>
        <v/>
      </c>
      <c r="AD125" s="4" t="str">
        <f>HYPERLINK("http://141.218.60.56/~jnz1568/getInfo.php?workbook=07_01.xlsx&amp;sheet=A0&amp;row=125&amp;col=30&amp;number=&amp;sourceID=13","")</f>
        <v/>
      </c>
    </row>
    <row r="126" spans="1:30">
      <c r="A126" s="3">
        <v>7</v>
      </c>
      <c r="B126" s="3">
        <v>1</v>
      </c>
      <c r="C126" s="3">
        <v>17</v>
      </c>
      <c r="D126" s="3">
        <v>9</v>
      </c>
      <c r="E126" s="3">
        <f>((1/(INDEX(E0!J$4:J$28,C126,1)-INDEX(E0!J$4:J$28,D126,1))))*100000000</f>
        <v>0</v>
      </c>
      <c r="F126" s="4" t="str">
        <f>HYPERLINK("http://141.218.60.56/~jnz1568/getInfo.php?workbook=07_01.xlsx&amp;sheet=A0&amp;row=126&amp;col=6&amp;number==&amp;sourceID=11","=")</f>
        <v>=</v>
      </c>
      <c r="G126" s="4" t="str">
        <f>HYPERLINK("http://141.218.60.56/~jnz1568/getInfo.php?workbook=07_01.xlsx&amp;sheet=A0&amp;row=126&amp;col=7&amp;number=&amp;sourceID=11","")</f>
        <v/>
      </c>
      <c r="H126" s="4" t="str">
        <f>HYPERLINK("http://141.218.60.56/~jnz1568/getInfo.php?workbook=07_01.xlsx&amp;sheet=A0&amp;row=126&amp;col=8&amp;number=&amp;sourceID=11","")</f>
        <v/>
      </c>
      <c r="I126" s="4" t="str">
        <f>HYPERLINK("http://141.218.60.56/~jnz1568/getInfo.php?workbook=07_01.xlsx&amp;sheet=A0&amp;row=126&amp;col=9&amp;number=1.2999&amp;sourceID=11","1.2999")</f>
        <v>1.2999</v>
      </c>
      <c r="J126" s="4" t="str">
        <f>HYPERLINK("http://141.218.60.56/~jnz1568/getInfo.php?workbook=07_01.xlsx&amp;sheet=A0&amp;row=126&amp;col=10&amp;number=&amp;sourceID=11","")</f>
        <v/>
      </c>
      <c r="K126" s="4" t="str">
        <f>HYPERLINK("http://141.218.60.56/~jnz1568/getInfo.php?workbook=07_01.xlsx&amp;sheet=A0&amp;row=126&amp;col=11&amp;number=0.24986&amp;sourceID=11","0.24986")</f>
        <v>0.24986</v>
      </c>
      <c r="L126" s="4" t="str">
        <f>HYPERLINK("http://141.218.60.56/~jnz1568/getInfo.php?workbook=07_01.xlsx&amp;sheet=A0&amp;row=126&amp;col=12&amp;number=&amp;sourceID=11","")</f>
        <v/>
      </c>
      <c r="M126" s="4" t="str">
        <f>HYPERLINK("http://141.218.60.56/~jnz1568/getInfo.php?workbook=07_01.xlsx&amp;sheet=A0&amp;row=126&amp;col=13&amp;number=1.5499&amp;sourceID=12","1.5499")</f>
        <v>1.5499</v>
      </c>
      <c r="N126" s="4" t="str">
        <f>HYPERLINK("http://141.218.60.56/~jnz1568/getInfo.php?workbook=07_01.xlsx&amp;sheet=A0&amp;row=126&amp;col=14&amp;number=&amp;sourceID=12","")</f>
        <v/>
      </c>
      <c r="O126" s="4" t="str">
        <f>HYPERLINK("http://141.218.60.56/~jnz1568/getInfo.php?workbook=07_01.xlsx&amp;sheet=A0&amp;row=126&amp;col=15&amp;number=&amp;sourceID=12","")</f>
        <v/>
      </c>
      <c r="P126" s="4" t="str">
        <f>HYPERLINK("http://141.218.60.56/~jnz1568/getInfo.php?workbook=07_01.xlsx&amp;sheet=A0&amp;row=126&amp;col=16&amp;number=1.3&amp;sourceID=12","1.3")</f>
        <v>1.3</v>
      </c>
      <c r="Q126" s="4" t="str">
        <f>HYPERLINK("http://141.218.60.56/~jnz1568/getInfo.php?workbook=07_01.xlsx&amp;sheet=A0&amp;row=126&amp;col=17&amp;number=&amp;sourceID=12","")</f>
        <v/>
      </c>
      <c r="R126" s="4" t="str">
        <f>HYPERLINK("http://141.218.60.56/~jnz1568/getInfo.php?workbook=07_01.xlsx&amp;sheet=A0&amp;row=126&amp;col=18&amp;number=0.24987&amp;sourceID=12","0.24987")</f>
        <v>0.24987</v>
      </c>
      <c r="S126" s="4" t="str">
        <f>HYPERLINK("http://141.218.60.56/~jnz1568/getInfo.php?workbook=07_01.xlsx&amp;sheet=A0&amp;row=126&amp;col=19&amp;number=&amp;sourceID=12","")</f>
        <v/>
      </c>
      <c r="T126" s="4" t="str">
        <f>HYPERLINK("http://141.218.60.56/~jnz1568/getInfo.php?workbook=07_01.xlsx&amp;sheet=A0&amp;row=126&amp;col=20&amp;number==&amp;sourceID=30","=")</f>
        <v>=</v>
      </c>
      <c r="U126" s="4" t="str">
        <f>HYPERLINK("http://141.218.60.56/~jnz1568/getInfo.php?workbook=07_01.xlsx&amp;sheet=A0&amp;row=126&amp;col=21&amp;number=&amp;sourceID=30","")</f>
        <v/>
      </c>
      <c r="V126" s="4" t="str">
        <f>HYPERLINK("http://141.218.60.56/~jnz1568/getInfo.php?workbook=07_01.xlsx&amp;sheet=A0&amp;row=126&amp;col=22&amp;number=&amp;sourceID=30","")</f>
        <v/>
      </c>
      <c r="W126" s="4" t="str">
        <f>HYPERLINK("http://141.218.60.56/~jnz1568/getInfo.php?workbook=07_01.xlsx&amp;sheet=A0&amp;row=126&amp;col=23&amp;number=&amp;sourceID=30","")</f>
        <v/>
      </c>
      <c r="X126" s="4" t="str">
        <f>HYPERLINK("http://141.218.60.56/~jnz1568/getInfo.php?workbook=07_01.xlsx&amp;sheet=A0&amp;row=126&amp;col=24&amp;number=0.2499&amp;sourceID=30","0.2499")</f>
        <v>0.2499</v>
      </c>
      <c r="Y126" s="4" t="str">
        <f>HYPERLINK("http://141.218.60.56/~jnz1568/getInfo.php?workbook=07_01.xlsx&amp;sheet=A0&amp;row=126&amp;col=25&amp;number=&amp;sourceID=13","")</f>
        <v/>
      </c>
      <c r="Z126" s="4" t="str">
        <f>HYPERLINK("http://141.218.60.56/~jnz1568/getInfo.php?workbook=07_01.xlsx&amp;sheet=A0&amp;row=126&amp;col=26&amp;number=&amp;sourceID=13","")</f>
        <v/>
      </c>
      <c r="AA126" s="4" t="str">
        <f>HYPERLINK("http://141.218.60.56/~jnz1568/getInfo.php?workbook=07_01.xlsx&amp;sheet=A0&amp;row=126&amp;col=27&amp;number=&amp;sourceID=13","")</f>
        <v/>
      </c>
      <c r="AB126" s="4" t="str">
        <f>HYPERLINK("http://141.218.60.56/~jnz1568/getInfo.php?workbook=07_01.xlsx&amp;sheet=A0&amp;row=126&amp;col=28&amp;number=&amp;sourceID=13","")</f>
        <v/>
      </c>
      <c r="AC126" s="4" t="str">
        <f>HYPERLINK("http://141.218.60.56/~jnz1568/getInfo.php?workbook=07_01.xlsx&amp;sheet=A0&amp;row=126&amp;col=29&amp;number=&amp;sourceID=13","")</f>
        <v/>
      </c>
      <c r="AD126" s="4" t="str">
        <f>HYPERLINK("http://141.218.60.56/~jnz1568/getInfo.php?workbook=07_01.xlsx&amp;sheet=A0&amp;row=126&amp;col=30&amp;number=&amp;sourceID=13","")</f>
        <v/>
      </c>
    </row>
    <row r="127" spans="1:30">
      <c r="A127" s="3">
        <v>7</v>
      </c>
      <c r="B127" s="3">
        <v>1</v>
      </c>
      <c r="C127" s="3">
        <v>17</v>
      </c>
      <c r="D127" s="3">
        <v>10</v>
      </c>
      <c r="E127" s="3">
        <f>((1/(INDEX(E0!J$4:J$28,C127,1)-INDEX(E0!J$4:J$28,D127,1))))*100000000</f>
        <v>0</v>
      </c>
      <c r="F127" s="4" t="str">
        <f>HYPERLINK("http://141.218.60.56/~jnz1568/getInfo.php?workbook=07_01.xlsx&amp;sheet=A0&amp;row=127&amp;col=6&amp;number==&amp;sourceID=11","=")</f>
        <v>=</v>
      </c>
      <c r="G127" s="4" t="str">
        <f>HYPERLINK("http://141.218.60.56/~jnz1568/getInfo.php?workbook=07_01.xlsx&amp;sheet=A0&amp;row=127&amp;col=7&amp;number=&amp;sourceID=11","")</f>
        <v/>
      </c>
      <c r="H127" s="4" t="str">
        <f>HYPERLINK("http://141.218.60.56/~jnz1568/getInfo.php?workbook=07_01.xlsx&amp;sheet=A0&amp;row=127&amp;col=8&amp;number=&amp;sourceID=11","")</f>
        <v/>
      </c>
      <c r="I127" s="4" t="str">
        <f>HYPERLINK("http://141.218.60.56/~jnz1568/getInfo.php?workbook=07_01.xlsx&amp;sheet=A0&amp;row=127&amp;col=9&amp;number=&amp;sourceID=11","")</f>
        <v/>
      </c>
      <c r="J127" s="4" t="str">
        <f>HYPERLINK("http://141.218.60.56/~jnz1568/getInfo.php?workbook=07_01.xlsx&amp;sheet=A0&amp;row=127&amp;col=10&amp;number=6.9297e-05&amp;sourceID=11","6.9297e-05")</f>
        <v>6.9297e-05</v>
      </c>
      <c r="K127" s="4" t="str">
        <f>HYPERLINK("http://141.218.60.56/~jnz1568/getInfo.php?workbook=07_01.xlsx&amp;sheet=A0&amp;row=127&amp;col=11&amp;number=&amp;sourceID=11","")</f>
        <v/>
      </c>
      <c r="L127" s="4" t="str">
        <f>HYPERLINK("http://141.218.60.56/~jnz1568/getInfo.php?workbook=07_01.xlsx&amp;sheet=A0&amp;row=127&amp;col=12&amp;number=&amp;sourceID=11","")</f>
        <v/>
      </c>
      <c r="M127" s="4" t="str">
        <f>HYPERLINK("http://141.218.60.56/~jnz1568/getInfo.php?workbook=07_01.xlsx&amp;sheet=A0&amp;row=127&amp;col=13&amp;number=6.93e-05&amp;sourceID=12","6.93e-05")</f>
        <v>6.93e-05</v>
      </c>
      <c r="N127" s="4" t="str">
        <f>HYPERLINK("http://141.218.60.56/~jnz1568/getInfo.php?workbook=07_01.xlsx&amp;sheet=A0&amp;row=127&amp;col=14&amp;number=&amp;sourceID=12","")</f>
        <v/>
      </c>
      <c r="O127" s="4" t="str">
        <f>HYPERLINK("http://141.218.60.56/~jnz1568/getInfo.php?workbook=07_01.xlsx&amp;sheet=A0&amp;row=127&amp;col=15&amp;number=&amp;sourceID=12","")</f>
        <v/>
      </c>
      <c r="P127" s="4" t="str">
        <f>HYPERLINK("http://141.218.60.56/~jnz1568/getInfo.php?workbook=07_01.xlsx&amp;sheet=A0&amp;row=127&amp;col=16&amp;number=&amp;sourceID=12","")</f>
        <v/>
      </c>
      <c r="Q127" s="4" t="str">
        <f>HYPERLINK("http://141.218.60.56/~jnz1568/getInfo.php?workbook=07_01.xlsx&amp;sheet=A0&amp;row=127&amp;col=17&amp;number=6.93e-05&amp;sourceID=12","6.93e-05")</f>
        <v>6.93e-05</v>
      </c>
      <c r="R127" s="4" t="str">
        <f>HYPERLINK("http://141.218.60.56/~jnz1568/getInfo.php?workbook=07_01.xlsx&amp;sheet=A0&amp;row=127&amp;col=18&amp;number=&amp;sourceID=12","")</f>
        <v/>
      </c>
      <c r="S127" s="4" t="str">
        <f>HYPERLINK("http://141.218.60.56/~jnz1568/getInfo.php?workbook=07_01.xlsx&amp;sheet=A0&amp;row=127&amp;col=19&amp;number=&amp;sourceID=12","")</f>
        <v/>
      </c>
      <c r="T127" s="4" t="str">
        <f>HYPERLINK("http://141.218.60.56/~jnz1568/getInfo.php?workbook=07_01.xlsx&amp;sheet=A0&amp;row=127&amp;col=20&amp;number==&amp;sourceID=30","=")</f>
        <v>=</v>
      </c>
      <c r="U127" s="4" t="str">
        <f>HYPERLINK("http://141.218.60.56/~jnz1568/getInfo.php?workbook=07_01.xlsx&amp;sheet=A0&amp;row=127&amp;col=21&amp;number=&amp;sourceID=30","")</f>
        <v/>
      </c>
      <c r="V127" s="4" t="str">
        <f>HYPERLINK("http://141.218.60.56/~jnz1568/getInfo.php?workbook=07_01.xlsx&amp;sheet=A0&amp;row=127&amp;col=22&amp;number=&amp;sourceID=30","")</f>
        <v/>
      </c>
      <c r="W127" s="4" t="str">
        <f>HYPERLINK("http://141.218.60.56/~jnz1568/getInfo.php?workbook=07_01.xlsx&amp;sheet=A0&amp;row=127&amp;col=23&amp;number=6.993e-05&amp;sourceID=30","6.993e-05")</f>
        <v>6.993e-05</v>
      </c>
      <c r="X127" s="4" t="str">
        <f>HYPERLINK("http://141.218.60.56/~jnz1568/getInfo.php?workbook=07_01.xlsx&amp;sheet=A0&amp;row=127&amp;col=24&amp;number=&amp;sourceID=30","")</f>
        <v/>
      </c>
      <c r="Y127" s="4" t="str">
        <f>HYPERLINK("http://141.218.60.56/~jnz1568/getInfo.php?workbook=07_01.xlsx&amp;sheet=A0&amp;row=127&amp;col=25&amp;number=&amp;sourceID=13","")</f>
        <v/>
      </c>
      <c r="Z127" s="4" t="str">
        <f>HYPERLINK("http://141.218.60.56/~jnz1568/getInfo.php?workbook=07_01.xlsx&amp;sheet=A0&amp;row=127&amp;col=26&amp;number=&amp;sourceID=13","")</f>
        <v/>
      </c>
      <c r="AA127" s="4" t="str">
        <f>HYPERLINK("http://141.218.60.56/~jnz1568/getInfo.php?workbook=07_01.xlsx&amp;sheet=A0&amp;row=127&amp;col=27&amp;number=&amp;sourceID=13","")</f>
        <v/>
      </c>
      <c r="AB127" s="4" t="str">
        <f>HYPERLINK("http://141.218.60.56/~jnz1568/getInfo.php?workbook=07_01.xlsx&amp;sheet=A0&amp;row=127&amp;col=28&amp;number=&amp;sourceID=13","")</f>
        <v/>
      </c>
      <c r="AC127" s="4" t="str">
        <f>HYPERLINK("http://141.218.60.56/~jnz1568/getInfo.php?workbook=07_01.xlsx&amp;sheet=A0&amp;row=127&amp;col=29&amp;number=&amp;sourceID=13","")</f>
        <v/>
      </c>
      <c r="AD127" s="4" t="str">
        <f>HYPERLINK("http://141.218.60.56/~jnz1568/getInfo.php?workbook=07_01.xlsx&amp;sheet=A0&amp;row=127&amp;col=30&amp;number=&amp;sourceID=13","")</f>
        <v/>
      </c>
    </row>
    <row r="128" spans="1:30">
      <c r="A128" s="3">
        <v>7</v>
      </c>
      <c r="B128" s="3">
        <v>1</v>
      </c>
      <c r="C128" s="3">
        <v>17</v>
      </c>
      <c r="D128" s="3">
        <v>11</v>
      </c>
      <c r="E128" s="3">
        <f>((1/(INDEX(E0!J$4:J$28,C128,1)-INDEX(E0!J$4:J$28,D128,1))))*100000000</f>
        <v>0</v>
      </c>
      <c r="F128" s="4" t="str">
        <f>HYPERLINK("http://141.218.60.56/~jnz1568/getInfo.php?workbook=07_01.xlsx&amp;sheet=A0&amp;row=128&amp;col=6&amp;number==&amp;sourceID=11","=")</f>
        <v>=</v>
      </c>
      <c r="G128" s="4" t="str">
        <f>HYPERLINK("http://141.218.60.56/~jnz1568/getInfo.php?workbook=07_01.xlsx&amp;sheet=A0&amp;row=128&amp;col=7&amp;number=1773100000&amp;sourceID=11","1773100000")</f>
        <v>1773100000</v>
      </c>
      <c r="H128" s="4" t="str">
        <f>HYPERLINK("http://141.218.60.56/~jnz1568/getInfo.php?workbook=07_01.xlsx&amp;sheet=A0&amp;row=128&amp;col=8&amp;number=&amp;sourceID=11","")</f>
        <v/>
      </c>
      <c r="I128" s="4" t="str">
        <f>HYPERLINK("http://141.218.60.56/~jnz1568/getInfo.php?workbook=07_01.xlsx&amp;sheet=A0&amp;row=128&amp;col=9&amp;number=&amp;sourceID=11","")</f>
        <v/>
      </c>
      <c r="J128" s="4" t="str">
        <f>HYPERLINK("http://141.218.60.56/~jnz1568/getInfo.php?workbook=07_01.xlsx&amp;sheet=A0&amp;row=128&amp;col=10&amp;number=&amp;sourceID=11","")</f>
        <v/>
      </c>
      <c r="K128" s="4" t="str">
        <f>HYPERLINK("http://141.218.60.56/~jnz1568/getInfo.php?workbook=07_01.xlsx&amp;sheet=A0&amp;row=128&amp;col=11&amp;number=&amp;sourceID=11","")</f>
        <v/>
      </c>
      <c r="L128" s="4" t="str">
        <f>HYPERLINK("http://141.218.60.56/~jnz1568/getInfo.php?workbook=07_01.xlsx&amp;sheet=A0&amp;row=128&amp;col=12&amp;number=&amp;sourceID=11","")</f>
        <v/>
      </c>
      <c r="M128" s="4" t="str">
        <f>HYPERLINK("http://141.218.60.56/~jnz1568/getInfo.php?workbook=07_01.xlsx&amp;sheet=A0&amp;row=128&amp;col=13&amp;number=1773200000&amp;sourceID=12","1773200000")</f>
        <v>1773200000</v>
      </c>
      <c r="N128" s="4" t="str">
        <f>HYPERLINK("http://141.218.60.56/~jnz1568/getInfo.php?workbook=07_01.xlsx&amp;sheet=A0&amp;row=128&amp;col=14&amp;number=1773200000&amp;sourceID=12","1773200000")</f>
        <v>1773200000</v>
      </c>
      <c r="O128" s="4" t="str">
        <f>HYPERLINK("http://141.218.60.56/~jnz1568/getInfo.php?workbook=07_01.xlsx&amp;sheet=A0&amp;row=128&amp;col=15&amp;number=&amp;sourceID=12","")</f>
        <v/>
      </c>
      <c r="P128" s="4" t="str">
        <f>HYPERLINK("http://141.218.60.56/~jnz1568/getInfo.php?workbook=07_01.xlsx&amp;sheet=A0&amp;row=128&amp;col=16&amp;number=&amp;sourceID=12","")</f>
        <v/>
      </c>
      <c r="Q128" s="4" t="str">
        <f>HYPERLINK("http://141.218.60.56/~jnz1568/getInfo.php?workbook=07_01.xlsx&amp;sheet=A0&amp;row=128&amp;col=17&amp;number=&amp;sourceID=12","")</f>
        <v/>
      </c>
      <c r="R128" s="4" t="str">
        <f>HYPERLINK("http://141.218.60.56/~jnz1568/getInfo.php?workbook=07_01.xlsx&amp;sheet=A0&amp;row=128&amp;col=18&amp;number=&amp;sourceID=12","")</f>
        <v/>
      </c>
      <c r="S128" s="4" t="str">
        <f>HYPERLINK("http://141.218.60.56/~jnz1568/getInfo.php?workbook=07_01.xlsx&amp;sheet=A0&amp;row=128&amp;col=19&amp;number=&amp;sourceID=12","")</f>
        <v/>
      </c>
      <c r="T128" s="4" t="str">
        <f>HYPERLINK("http://141.218.60.56/~jnz1568/getInfo.php?workbook=07_01.xlsx&amp;sheet=A0&amp;row=128&amp;col=20&amp;number==&amp;sourceID=30","=")</f>
        <v>=</v>
      </c>
      <c r="U128" s="4" t="str">
        <f>HYPERLINK("http://141.218.60.56/~jnz1568/getInfo.php?workbook=07_01.xlsx&amp;sheet=A0&amp;row=128&amp;col=21&amp;number=1773000000&amp;sourceID=30","1773000000")</f>
        <v>1773000000</v>
      </c>
      <c r="V128" s="4" t="str">
        <f>HYPERLINK("http://141.218.60.56/~jnz1568/getInfo.php?workbook=07_01.xlsx&amp;sheet=A0&amp;row=128&amp;col=22&amp;number=&amp;sourceID=30","")</f>
        <v/>
      </c>
      <c r="W128" s="4" t="str">
        <f>HYPERLINK("http://141.218.60.56/~jnz1568/getInfo.php?workbook=07_01.xlsx&amp;sheet=A0&amp;row=128&amp;col=23&amp;number=&amp;sourceID=30","")</f>
        <v/>
      </c>
      <c r="X128" s="4" t="str">
        <f>HYPERLINK("http://141.218.60.56/~jnz1568/getInfo.php?workbook=07_01.xlsx&amp;sheet=A0&amp;row=128&amp;col=24&amp;number=&amp;sourceID=30","")</f>
        <v/>
      </c>
      <c r="Y128" s="4" t="str">
        <f>HYPERLINK("http://141.218.60.56/~jnz1568/getInfo.php?workbook=07_01.xlsx&amp;sheet=A0&amp;row=128&amp;col=25&amp;number=&amp;sourceID=13","")</f>
        <v/>
      </c>
      <c r="Z128" s="4" t="str">
        <f>HYPERLINK("http://141.218.60.56/~jnz1568/getInfo.php?workbook=07_01.xlsx&amp;sheet=A0&amp;row=128&amp;col=26&amp;number=&amp;sourceID=13","")</f>
        <v/>
      </c>
      <c r="AA128" s="4" t="str">
        <f>HYPERLINK("http://141.218.60.56/~jnz1568/getInfo.php?workbook=07_01.xlsx&amp;sheet=A0&amp;row=128&amp;col=27&amp;number=&amp;sourceID=13","")</f>
        <v/>
      </c>
      <c r="AB128" s="4" t="str">
        <f>HYPERLINK("http://141.218.60.56/~jnz1568/getInfo.php?workbook=07_01.xlsx&amp;sheet=A0&amp;row=128&amp;col=28&amp;number=&amp;sourceID=13","")</f>
        <v/>
      </c>
      <c r="AC128" s="4" t="str">
        <f>HYPERLINK("http://141.218.60.56/~jnz1568/getInfo.php?workbook=07_01.xlsx&amp;sheet=A0&amp;row=128&amp;col=29&amp;number=&amp;sourceID=13","")</f>
        <v/>
      </c>
      <c r="AD128" s="4" t="str">
        <f>HYPERLINK("http://141.218.60.56/~jnz1568/getInfo.php?workbook=07_01.xlsx&amp;sheet=A0&amp;row=128&amp;col=30&amp;number=&amp;sourceID=13","")</f>
        <v/>
      </c>
    </row>
    <row r="129" spans="1:30">
      <c r="A129" s="3">
        <v>7</v>
      </c>
      <c r="B129" s="3">
        <v>1</v>
      </c>
      <c r="C129" s="3">
        <v>17</v>
      </c>
      <c r="D129" s="3">
        <v>12</v>
      </c>
      <c r="E129" s="3">
        <f>((1/(INDEX(E0!J$4:J$28,C129,1)-INDEX(E0!J$4:J$28,D129,1))))*100000000</f>
        <v>0</v>
      </c>
      <c r="F129" s="4" t="str">
        <f>HYPERLINK("http://141.218.60.56/~jnz1568/getInfo.php?workbook=07_01.xlsx&amp;sheet=A0&amp;row=129&amp;col=6&amp;number==&amp;sourceID=11","=")</f>
        <v>=</v>
      </c>
      <c r="G129" s="4" t="str">
        <f>HYPERLINK("http://141.218.60.56/~jnz1568/getInfo.php?workbook=07_01.xlsx&amp;sheet=A0&amp;row=129&amp;col=7&amp;number=455910000&amp;sourceID=11","455910000")</f>
        <v>455910000</v>
      </c>
      <c r="H129" s="4" t="str">
        <f>HYPERLINK("http://141.218.60.56/~jnz1568/getInfo.php?workbook=07_01.xlsx&amp;sheet=A0&amp;row=129&amp;col=8&amp;number=&amp;sourceID=11","")</f>
        <v/>
      </c>
      <c r="I129" s="4" t="str">
        <f>HYPERLINK("http://141.218.60.56/~jnz1568/getInfo.php?workbook=07_01.xlsx&amp;sheet=A0&amp;row=129&amp;col=9&amp;number=&amp;sourceID=11","")</f>
        <v/>
      </c>
      <c r="J129" s="4" t="str">
        <f>HYPERLINK("http://141.218.60.56/~jnz1568/getInfo.php?workbook=07_01.xlsx&amp;sheet=A0&amp;row=129&amp;col=10&amp;number=&amp;sourceID=11","")</f>
        <v/>
      </c>
      <c r="K129" s="4" t="str">
        <f>HYPERLINK("http://141.218.60.56/~jnz1568/getInfo.php?workbook=07_01.xlsx&amp;sheet=A0&amp;row=129&amp;col=11&amp;number=0.0029456&amp;sourceID=11","0.0029456")</f>
        <v>0.0029456</v>
      </c>
      <c r="L129" s="4" t="str">
        <f>HYPERLINK("http://141.218.60.56/~jnz1568/getInfo.php?workbook=07_01.xlsx&amp;sheet=A0&amp;row=129&amp;col=12&amp;number=&amp;sourceID=11","")</f>
        <v/>
      </c>
      <c r="M129" s="4" t="str">
        <f>HYPERLINK("http://141.218.60.56/~jnz1568/getInfo.php?workbook=07_01.xlsx&amp;sheet=A0&amp;row=129&amp;col=13&amp;number=455930000&amp;sourceID=12","455930000")</f>
        <v>455930000</v>
      </c>
      <c r="N129" s="4" t="str">
        <f>HYPERLINK("http://141.218.60.56/~jnz1568/getInfo.php?workbook=07_01.xlsx&amp;sheet=A0&amp;row=129&amp;col=14&amp;number=455930000&amp;sourceID=12","455930000")</f>
        <v>455930000</v>
      </c>
      <c r="O129" s="4" t="str">
        <f>HYPERLINK("http://141.218.60.56/~jnz1568/getInfo.php?workbook=07_01.xlsx&amp;sheet=A0&amp;row=129&amp;col=15&amp;number=&amp;sourceID=12","")</f>
        <v/>
      </c>
      <c r="P129" s="4" t="str">
        <f>HYPERLINK("http://141.218.60.56/~jnz1568/getInfo.php?workbook=07_01.xlsx&amp;sheet=A0&amp;row=129&amp;col=16&amp;number=&amp;sourceID=12","")</f>
        <v/>
      </c>
      <c r="Q129" s="4" t="str">
        <f>HYPERLINK("http://141.218.60.56/~jnz1568/getInfo.php?workbook=07_01.xlsx&amp;sheet=A0&amp;row=129&amp;col=17&amp;number=&amp;sourceID=12","")</f>
        <v/>
      </c>
      <c r="R129" s="4" t="str">
        <f>HYPERLINK("http://141.218.60.56/~jnz1568/getInfo.php?workbook=07_01.xlsx&amp;sheet=A0&amp;row=129&amp;col=18&amp;number=0.0029457&amp;sourceID=12","0.0029457")</f>
        <v>0.0029457</v>
      </c>
      <c r="S129" s="4" t="str">
        <f>HYPERLINK("http://141.218.60.56/~jnz1568/getInfo.php?workbook=07_01.xlsx&amp;sheet=A0&amp;row=129&amp;col=19&amp;number=&amp;sourceID=12","")</f>
        <v/>
      </c>
      <c r="T129" s="4" t="str">
        <f>HYPERLINK("http://141.218.60.56/~jnz1568/getInfo.php?workbook=07_01.xlsx&amp;sheet=A0&amp;row=129&amp;col=20&amp;number==&amp;sourceID=30","=")</f>
        <v>=</v>
      </c>
      <c r="U129" s="4" t="str">
        <f>HYPERLINK("http://141.218.60.56/~jnz1568/getInfo.php?workbook=07_01.xlsx&amp;sheet=A0&amp;row=129&amp;col=21&amp;number=455900000&amp;sourceID=30","455900000")</f>
        <v>455900000</v>
      </c>
      <c r="V129" s="4" t="str">
        <f>HYPERLINK("http://141.218.60.56/~jnz1568/getInfo.php?workbook=07_01.xlsx&amp;sheet=A0&amp;row=129&amp;col=22&amp;number=&amp;sourceID=30","")</f>
        <v/>
      </c>
      <c r="W129" s="4" t="str">
        <f>HYPERLINK("http://141.218.60.56/~jnz1568/getInfo.php?workbook=07_01.xlsx&amp;sheet=A0&amp;row=129&amp;col=23&amp;number=&amp;sourceID=30","")</f>
        <v/>
      </c>
      <c r="X129" s="4" t="str">
        <f>HYPERLINK("http://141.218.60.56/~jnz1568/getInfo.php?workbook=07_01.xlsx&amp;sheet=A0&amp;row=129&amp;col=24&amp;number=0.002946&amp;sourceID=30","0.002946")</f>
        <v>0.002946</v>
      </c>
      <c r="Y129" s="4" t="str">
        <f>HYPERLINK("http://141.218.60.56/~jnz1568/getInfo.php?workbook=07_01.xlsx&amp;sheet=A0&amp;row=129&amp;col=25&amp;number=&amp;sourceID=13","")</f>
        <v/>
      </c>
      <c r="Z129" s="4" t="str">
        <f>HYPERLINK("http://141.218.60.56/~jnz1568/getInfo.php?workbook=07_01.xlsx&amp;sheet=A0&amp;row=129&amp;col=26&amp;number=&amp;sourceID=13","")</f>
        <v/>
      </c>
      <c r="AA129" s="4" t="str">
        <f>HYPERLINK("http://141.218.60.56/~jnz1568/getInfo.php?workbook=07_01.xlsx&amp;sheet=A0&amp;row=129&amp;col=27&amp;number=&amp;sourceID=13","")</f>
        <v/>
      </c>
      <c r="AB129" s="4" t="str">
        <f>HYPERLINK("http://141.218.60.56/~jnz1568/getInfo.php?workbook=07_01.xlsx&amp;sheet=A0&amp;row=129&amp;col=28&amp;number=&amp;sourceID=13","")</f>
        <v/>
      </c>
      <c r="AC129" s="4" t="str">
        <f>HYPERLINK("http://141.218.60.56/~jnz1568/getInfo.php?workbook=07_01.xlsx&amp;sheet=A0&amp;row=129&amp;col=29&amp;number=&amp;sourceID=13","")</f>
        <v/>
      </c>
      <c r="AD129" s="4" t="str">
        <f>HYPERLINK("http://141.218.60.56/~jnz1568/getInfo.php?workbook=07_01.xlsx&amp;sheet=A0&amp;row=129&amp;col=30&amp;number=&amp;sourceID=13","")</f>
        <v/>
      </c>
    </row>
    <row r="130" spans="1:30">
      <c r="A130" s="3">
        <v>7</v>
      </c>
      <c r="B130" s="3">
        <v>1</v>
      </c>
      <c r="C130" s="3">
        <v>17</v>
      </c>
      <c r="D130" s="3">
        <v>13</v>
      </c>
      <c r="E130" s="3">
        <f>((1/(INDEX(E0!J$4:J$28,C130,1)-INDEX(E0!J$4:J$28,D130,1))))*100000000</f>
        <v>0</v>
      </c>
      <c r="F130" s="4" t="str">
        <f>HYPERLINK("http://141.218.60.56/~jnz1568/getInfo.php?workbook=07_01.xlsx&amp;sheet=A0&amp;row=130&amp;col=6&amp;number==&amp;sourceID=11","=")</f>
        <v>=</v>
      </c>
      <c r="G130" s="4" t="str">
        <f>HYPERLINK("http://141.218.60.56/~jnz1568/getInfo.php?workbook=07_01.xlsx&amp;sheet=A0&amp;row=130&amp;col=7&amp;number=&amp;sourceID=11","")</f>
        <v/>
      </c>
      <c r="H130" s="4" t="str">
        <f>HYPERLINK("http://141.218.60.56/~jnz1568/getInfo.php?workbook=07_01.xlsx&amp;sheet=A0&amp;row=130&amp;col=8&amp;number=53497&amp;sourceID=11","53497")</f>
        <v>53497</v>
      </c>
      <c r="I130" s="4" t="str">
        <f>HYPERLINK("http://141.218.60.56/~jnz1568/getInfo.php?workbook=07_01.xlsx&amp;sheet=A0&amp;row=130&amp;col=9&amp;number=&amp;sourceID=11","")</f>
        <v/>
      </c>
      <c r="J130" s="4" t="str">
        <f>HYPERLINK("http://141.218.60.56/~jnz1568/getInfo.php?workbook=07_01.xlsx&amp;sheet=A0&amp;row=130&amp;col=10&amp;number=0.014604&amp;sourceID=11","0.014604")</f>
        <v>0.014604</v>
      </c>
      <c r="K130" s="4" t="str">
        <f>HYPERLINK("http://141.218.60.56/~jnz1568/getInfo.php?workbook=07_01.xlsx&amp;sheet=A0&amp;row=130&amp;col=11&amp;number=&amp;sourceID=11","")</f>
        <v/>
      </c>
      <c r="L130" s="4" t="str">
        <f>HYPERLINK("http://141.218.60.56/~jnz1568/getInfo.php?workbook=07_01.xlsx&amp;sheet=A0&amp;row=130&amp;col=12&amp;number=&amp;sourceID=11","")</f>
        <v/>
      </c>
      <c r="M130" s="4" t="str">
        <f>HYPERLINK("http://141.218.60.56/~jnz1568/getInfo.php?workbook=07_01.xlsx&amp;sheet=A0&amp;row=130&amp;col=13&amp;number=53499&amp;sourceID=12","53499")</f>
        <v>53499</v>
      </c>
      <c r="N130" s="4" t="str">
        <f>HYPERLINK("http://141.218.60.56/~jnz1568/getInfo.php?workbook=07_01.xlsx&amp;sheet=A0&amp;row=130&amp;col=14&amp;number=&amp;sourceID=12","")</f>
        <v/>
      </c>
      <c r="O130" s="4" t="str">
        <f>HYPERLINK("http://141.218.60.56/~jnz1568/getInfo.php?workbook=07_01.xlsx&amp;sheet=A0&amp;row=130&amp;col=15&amp;number=53499&amp;sourceID=12","53499")</f>
        <v>53499</v>
      </c>
      <c r="P130" s="4" t="str">
        <f>HYPERLINK("http://141.218.60.56/~jnz1568/getInfo.php?workbook=07_01.xlsx&amp;sheet=A0&amp;row=130&amp;col=16&amp;number=&amp;sourceID=12","")</f>
        <v/>
      </c>
      <c r="Q130" s="4" t="str">
        <f>HYPERLINK("http://141.218.60.56/~jnz1568/getInfo.php?workbook=07_01.xlsx&amp;sheet=A0&amp;row=130&amp;col=17&amp;number=0.014605&amp;sourceID=12","0.014605")</f>
        <v>0.014605</v>
      </c>
      <c r="R130" s="4" t="str">
        <f>HYPERLINK("http://141.218.60.56/~jnz1568/getInfo.php?workbook=07_01.xlsx&amp;sheet=A0&amp;row=130&amp;col=18&amp;number=&amp;sourceID=12","")</f>
        <v/>
      </c>
      <c r="S130" s="4" t="str">
        <f>HYPERLINK("http://141.218.60.56/~jnz1568/getInfo.php?workbook=07_01.xlsx&amp;sheet=A0&amp;row=130&amp;col=19&amp;number=&amp;sourceID=12","")</f>
        <v/>
      </c>
      <c r="T130" s="4" t="str">
        <f>HYPERLINK("http://141.218.60.56/~jnz1568/getInfo.php?workbook=07_01.xlsx&amp;sheet=A0&amp;row=130&amp;col=20&amp;number==&amp;sourceID=30","=")</f>
        <v>=</v>
      </c>
      <c r="U130" s="4" t="str">
        <f>HYPERLINK("http://141.218.60.56/~jnz1568/getInfo.php?workbook=07_01.xlsx&amp;sheet=A0&amp;row=130&amp;col=21&amp;number=&amp;sourceID=30","")</f>
        <v/>
      </c>
      <c r="V130" s="4" t="str">
        <f>HYPERLINK("http://141.218.60.56/~jnz1568/getInfo.php?workbook=07_01.xlsx&amp;sheet=A0&amp;row=130&amp;col=22&amp;number=53500&amp;sourceID=30","53500")</f>
        <v>53500</v>
      </c>
      <c r="W130" s="4" t="str">
        <f>HYPERLINK("http://141.218.60.56/~jnz1568/getInfo.php?workbook=07_01.xlsx&amp;sheet=A0&amp;row=130&amp;col=23&amp;number=0.0146&amp;sourceID=30","0.0146")</f>
        <v>0.0146</v>
      </c>
      <c r="X130" s="4" t="str">
        <f>HYPERLINK("http://141.218.60.56/~jnz1568/getInfo.php?workbook=07_01.xlsx&amp;sheet=A0&amp;row=130&amp;col=24&amp;number=&amp;sourceID=30","")</f>
        <v/>
      </c>
      <c r="Y130" s="4" t="str">
        <f>HYPERLINK("http://141.218.60.56/~jnz1568/getInfo.php?workbook=07_01.xlsx&amp;sheet=A0&amp;row=130&amp;col=25&amp;number=&amp;sourceID=13","")</f>
        <v/>
      </c>
      <c r="Z130" s="4" t="str">
        <f>HYPERLINK("http://141.218.60.56/~jnz1568/getInfo.php?workbook=07_01.xlsx&amp;sheet=A0&amp;row=130&amp;col=26&amp;number=&amp;sourceID=13","")</f>
        <v/>
      </c>
      <c r="AA130" s="4" t="str">
        <f>HYPERLINK("http://141.218.60.56/~jnz1568/getInfo.php?workbook=07_01.xlsx&amp;sheet=A0&amp;row=130&amp;col=27&amp;number=&amp;sourceID=13","")</f>
        <v/>
      </c>
      <c r="AB130" s="4" t="str">
        <f>HYPERLINK("http://141.218.60.56/~jnz1568/getInfo.php?workbook=07_01.xlsx&amp;sheet=A0&amp;row=130&amp;col=28&amp;number=&amp;sourceID=13","")</f>
        <v/>
      </c>
      <c r="AC130" s="4" t="str">
        <f>HYPERLINK("http://141.218.60.56/~jnz1568/getInfo.php?workbook=07_01.xlsx&amp;sheet=A0&amp;row=130&amp;col=29&amp;number=&amp;sourceID=13","")</f>
        <v/>
      </c>
      <c r="AD130" s="4" t="str">
        <f>HYPERLINK("http://141.218.60.56/~jnz1568/getInfo.php?workbook=07_01.xlsx&amp;sheet=A0&amp;row=130&amp;col=30&amp;number=&amp;sourceID=13","")</f>
        <v/>
      </c>
    </row>
    <row r="131" spans="1:30">
      <c r="A131" s="3">
        <v>7</v>
      </c>
      <c r="B131" s="3">
        <v>1</v>
      </c>
      <c r="C131" s="3">
        <v>17</v>
      </c>
      <c r="D131" s="3">
        <v>14</v>
      </c>
      <c r="E131" s="3">
        <f>((1/(INDEX(E0!J$4:J$28,C131,1)-INDEX(E0!J$4:J$28,D131,1))))*100000000</f>
        <v>0</v>
      </c>
      <c r="F131" s="4" t="str">
        <f>HYPERLINK("http://141.218.60.56/~jnz1568/getInfo.php?workbook=07_01.xlsx&amp;sheet=A0&amp;row=131&amp;col=6&amp;number==&amp;sourceID=11","=")</f>
        <v>=</v>
      </c>
      <c r="G131" s="4" t="str">
        <f>HYPERLINK("http://141.218.60.56/~jnz1568/getInfo.php?workbook=07_01.xlsx&amp;sheet=A0&amp;row=131&amp;col=7&amp;number=&amp;sourceID=11","")</f>
        <v/>
      </c>
      <c r="H131" s="4" t="str">
        <f>HYPERLINK("http://141.218.60.56/~jnz1568/getInfo.php?workbook=07_01.xlsx&amp;sheet=A0&amp;row=131&amp;col=8&amp;number=5559.9&amp;sourceID=11","5559.9")</f>
        <v>5559.9</v>
      </c>
      <c r="I131" s="4" t="str">
        <f>HYPERLINK("http://141.218.60.56/~jnz1568/getInfo.php?workbook=07_01.xlsx&amp;sheet=A0&amp;row=131&amp;col=9&amp;number=&amp;sourceID=11","")</f>
        <v/>
      </c>
      <c r="J131" s="4" t="str">
        <f>HYPERLINK("http://141.218.60.56/~jnz1568/getInfo.php?workbook=07_01.xlsx&amp;sheet=A0&amp;row=131&amp;col=10&amp;number=&amp;sourceID=11","")</f>
        <v/>
      </c>
      <c r="K131" s="4" t="str">
        <f>HYPERLINK("http://141.218.60.56/~jnz1568/getInfo.php?workbook=07_01.xlsx&amp;sheet=A0&amp;row=131&amp;col=11&amp;number=&amp;sourceID=11","")</f>
        <v/>
      </c>
      <c r="L131" s="4" t="str">
        <f>HYPERLINK("http://141.218.60.56/~jnz1568/getInfo.php?workbook=07_01.xlsx&amp;sheet=A0&amp;row=131&amp;col=12&amp;number=2.1705e-08&amp;sourceID=11","2.1705e-08")</f>
        <v>2.1705e-08</v>
      </c>
      <c r="M131" s="4" t="str">
        <f>HYPERLINK("http://141.218.60.56/~jnz1568/getInfo.php?workbook=07_01.xlsx&amp;sheet=A0&amp;row=131&amp;col=13&amp;number=5560.1&amp;sourceID=12","5560.1")</f>
        <v>5560.1</v>
      </c>
      <c r="N131" s="4" t="str">
        <f>HYPERLINK("http://141.218.60.56/~jnz1568/getInfo.php?workbook=07_01.xlsx&amp;sheet=A0&amp;row=131&amp;col=14&amp;number=&amp;sourceID=12","")</f>
        <v/>
      </c>
      <c r="O131" s="4" t="str">
        <f>HYPERLINK("http://141.218.60.56/~jnz1568/getInfo.php?workbook=07_01.xlsx&amp;sheet=A0&amp;row=131&amp;col=15&amp;number=5560.1&amp;sourceID=12","5560.1")</f>
        <v>5560.1</v>
      </c>
      <c r="P131" s="4" t="str">
        <f>HYPERLINK("http://141.218.60.56/~jnz1568/getInfo.php?workbook=07_01.xlsx&amp;sheet=A0&amp;row=131&amp;col=16&amp;number=&amp;sourceID=12","")</f>
        <v/>
      </c>
      <c r="Q131" s="4" t="str">
        <f>HYPERLINK("http://141.218.60.56/~jnz1568/getInfo.php?workbook=07_01.xlsx&amp;sheet=A0&amp;row=131&amp;col=17&amp;number=&amp;sourceID=12","")</f>
        <v/>
      </c>
      <c r="R131" s="4" t="str">
        <f>HYPERLINK("http://141.218.60.56/~jnz1568/getInfo.php?workbook=07_01.xlsx&amp;sheet=A0&amp;row=131&amp;col=18&amp;number=&amp;sourceID=12","")</f>
        <v/>
      </c>
      <c r="S131" s="4" t="str">
        <f>HYPERLINK("http://141.218.60.56/~jnz1568/getInfo.php?workbook=07_01.xlsx&amp;sheet=A0&amp;row=131&amp;col=19&amp;number=2.1706e-08&amp;sourceID=12","2.1706e-08")</f>
        <v>2.1706e-08</v>
      </c>
      <c r="T131" s="4" t="str">
        <f>HYPERLINK("http://141.218.60.56/~jnz1568/getInfo.php?workbook=07_01.xlsx&amp;sheet=A0&amp;row=131&amp;col=20&amp;number==&amp;sourceID=30","=")</f>
        <v>=</v>
      </c>
      <c r="U131" s="4" t="str">
        <f>HYPERLINK("http://141.218.60.56/~jnz1568/getInfo.php?workbook=07_01.xlsx&amp;sheet=A0&amp;row=131&amp;col=21&amp;number=&amp;sourceID=30","")</f>
        <v/>
      </c>
      <c r="V131" s="4" t="str">
        <f>HYPERLINK("http://141.218.60.56/~jnz1568/getInfo.php?workbook=07_01.xlsx&amp;sheet=A0&amp;row=131&amp;col=22&amp;number=5560&amp;sourceID=30","5560")</f>
        <v>5560</v>
      </c>
      <c r="W131" s="4" t="str">
        <f>HYPERLINK("http://141.218.60.56/~jnz1568/getInfo.php?workbook=07_01.xlsx&amp;sheet=A0&amp;row=131&amp;col=23&amp;number=&amp;sourceID=30","")</f>
        <v/>
      </c>
      <c r="X131" s="4" t="str">
        <f>HYPERLINK("http://141.218.60.56/~jnz1568/getInfo.php?workbook=07_01.xlsx&amp;sheet=A0&amp;row=131&amp;col=24&amp;number=&amp;sourceID=30","")</f>
        <v/>
      </c>
      <c r="Y131" s="4" t="str">
        <f>HYPERLINK("http://141.218.60.56/~jnz1568/getInfo.php?workbook=07_01.xlsx&amp;sheet=A0&amp;row=131&amp;col=25&amp;number=&amp;sourceID=13","")</f>
        <v/>
      </c>
      <c r="Z131" s="4" t="str">
        <f>HYPERLINK("http://141.218.60.56/~jnz1568/getInfo.php?workbook=07_01.xlsx&amp;sheet=A0&amp;row=131&amp;col=26&amp;number=&amp;sourceID=13","")</f>
        <v/>
      </c>
      <c r="AA131" s="4" t="str">
        <f>HYPERLINK("http://141.218.60.56/~jnz1568/getInfo.php?workbook=07_01.xlsx&amp;sheet=A0&amp;row=131&amp;col=27&amp;number=&amp;sourceID=13","")</f>
        <v/>
      </c>
      <c r="AB131" s="4" t="str">
        <f>HYPERLINK("http://141.218.60.56/~jnz1568/getInfo.php?workbook=07_01.xlsx&amp;sheet=A0&amp;row=131&amp;col=28&amp;number=&amp;sourceID=13","")</f>
        <v/>
      </c>
      <c r="AC131" s="4" t="str">
        <f>HYPERLINK("http://141.218.60.56/~jnz1568/getInfo.php?workbook=07_01.xlsx&amp;sheet=A0&amp;row=131&amp;col=29&amp;number=&amp;sourceID=13","")</f>
        <v/>
      </c>
      <c r="AD131" s="4" t="str">
        <f>HYPERLINK("http://141.218.60.56/~jnz1568/getInfo.php?workbook=07_01.xlsx&amp;sheet=A0&amp;row=131&amp;col=30&amp;number=&amp;sourceID=13","")</f>
        <v/>
      </c>
    </row>
    <row r="132" spans="1:30">
      <c r="A132" s="3">
        <v>7</v>
      </c>
      <c r="B132" s="3">
        <v>1</v>
      </c>
      <c r="C132" s="3">
        <v>17</v>
      </c>
      <c r="D132" s="3">
        <v>15</v>
      </c>
      <c r="E132" s="3">
        <f>((1/(INDEX(E0!J$4:J$28,C132,1)-INDEX(E0!J$4:J$28,D132,1))))*100000000</f>
        <v>0</v>
      </c>
      <c r="F132" s="4" t="str">
        <f>HYPERLINK("http://141.218.60.56/~jnz1568/getInfo.php?workbook=07_01.xlsx&amp;sheet=A0&amp;row=132&amp;col=6&amp;number==&amp;sourceID=11","=")</f>
        <v>=</v>
      </c>
      <c r="G132" s="4" t="str">
        <f>HYPERLINK("http://141.218.60.56/~jnz1568/getInfo.php?workbook=07_01.xlsx&amp;sheet=A0&amp;row=132&amp;col=7&amp;number=&amp;sourceID=11","")</f>
        <v/>
      </c>
      <c r="H132" s="4" t="str">
        <f>HYPERLINK("http://141.218.60.56/~jnz1568/getInfo.php?workbook=07_01.xlsx&amp;sheet=A0&amp;row=132&amp;col=8&amp;number=&amp;sourceID=11","")</f>
        <v/>
      </c>
      <c r="I132" s="4" t="str">
        <f>HYPERLINK("http://141.218.60.56/~jnz1568/getInfo.php?workbook=07_01.xlsx&amp;sheet=A0&amp;row=132&amp;col=9&amp;number=0.44311&amp;sourceID=11","0.44311")</f>
        <v>0.44311</v>
      </c>
      <c r="J132" s="4" t="str">
        <f>HYPERLINK("http://141.218.60.56/~jnz1568/getInfo.php?workbook=07_01.xlsx&amp;sheet=A0&amp;row=132&amp;col=10&amp;number=&amp;sourceID=11","")</f>
        <v/>
      </c>
      <c r="K132" s="4" t="str">
        <f>HYPERLINK("http://141.218.60.56/~jnz1568/getInfo.php?workbook=07_01.xlsx&amp;sheet=A0&amp;row=132&amp;col=11&amp;number=0.031463&amp;sourceID=11","0.031463")</f>
        <v>0.031463</v>
      </c>
      <c r="L132" s="4" t="str">
        <f>HYPERLINK("http://141.218.60.56/~jnz1568/getInfo.php?workbook=07_01.xlsx&amp;sheet=A0&amp;row=132&amp;col=12&amp;number=&amp;sourceID=11","")</f>
        <v/>
      </c>
      <c r="M132" s="4" t="str">
        <f>HYPERLINK("http://141.218.60.56/~jnz1568/getInfo.php?workbook=07_01.xlsx&amp;sheet=A0&amp;row=132&amp;col=13&amp;number=0.47459&amp;sourceID=12","0.47459")</f>
        <v>0.47459</v>
      </c>
      <c r="N132" s="4" t="str">
        <f>HYPERLINK("http://141.218.60.56/~jnz1568/getInfo.php?workbook=07_01.xlsx&amp;sheet=A0&amp;row=132&amp;col=14&amp;number=&amp;sourceID=12","")</f>
        <v/>
      </c>
      <c r="O132" s="4" t="str">
        <f>HYPERLINK("http://141.218.60.56/~jnz1568/getInfo.php?workbook=07_01.xlsx&amp;sheet=A0&amp;row=132&amp;col=15&amp;number=&amp;sourceID=12","")</f>
        <v/>
      </c>
      <c r="P132" s="4" t="str">
        <f>HYPERLINK("http://141.218.60.56/~jnz1568/getInfo.php?workbook=07_01.xlsx&amp;sheet=A0&amp;row=132&amp;col=16&amp;number=0.44313&amp;sourceID=12","0.44313")</f>
        <v>0.44313</v>
      </c>
      <c r="Q132" s="4" t="str">
        <f>HYPERLINK("http://141.218.60.56/~jnz1568/getInfo.php?workbook=07_01.xlsx&amp;sheet=A0&amp;row=132&amp;col=17&amp;number=&amp;sourceID=12","")</f>
        <v/>
      </c>
      <c r="R132" s="4" t="str">
        <f>HYPERLINK("http://141.218.60.56/~jnz1568/getInfo.php?workbook=07_01.xlsx&amp;sheet=A0&amp;row=132&amp;col=18&amp;number=0.031464&amp;sourceID=12","0.031464")</f>
        <v>0.031464</v>
      </c>
      <c r="S132" s="4" t="str">
        <f>HYPERLINK("http://141.218.60.56/~jnz1568/getInfo.php?workbook=07_01.xlsx&amp;sheet=A0&amp;row=132&amp;col=19&amp;number=&amp;sourceID=12","")</f>
        <v/>
      </c>
      <c r="T132" s="4" t="str">
        <f>HYPERLINK("http://141.218.60.56/~jnz1568/getInfo.php?workbook=07_01.xlsx&amp;sheet=A0&amp;row=132&amp;col=20&amp;number==&amp;sourceID=30","=")</f>
        <v>=</v>
      </c>
      <c r="U132" s="4" t="str">
        <f>HYPERLINK("http://141.218.60.56/~jnz1568/getInfo.php?workbook=07_01.xlsx&amp;sheet=A0&amp;row=132&amp;col=21&amp;number=&amp;sourceID=30","")</f>
        <v/>
      </c>
      <c r="V132" s="4" t="str">
        <f>HYPERLINK("http://141.218.60.56/~jnz1568/getInfo.php?workbook=07_01.xlsx&amp;sheet=A0&amp;row=132&amp;col=22&amp;number=&amp;sourceID=30","")</f>
        <v/>
      </c>
      <c r="W132" s="4" t="str">
        <f>HYPERLINK("http://141.218.60.56/~jnz1568/getInfo.php?workbook=07_01.xlsx&amp;sheet=A0&amp;row=132&amp;col=23&amp;number=&amp;sourceID=30","")</f>
        <v/>
      </c>
      <c r="X132" s="4" t="str">
        <f>HYPERLINK("http://141.218.60.56/~jnz1568/getInfo.php?workbook=07_01.xlsx&amp;sheet=A0&amp;row=132&amp;col=24&amp;number=0.03146&amp;sourceID=30","0.03146")</f>
        <v>0.03146</v>
      </c>
      <c r="Y132" s="4" t="str">
        <f>HYPERLINK("http://141.218.60.56/~jnz1568/getInfo.php?workbook=07_01.xlsx&amp;sheet=A0&amp;row=132&amp;col=25&amp;number=&amp;sourceID=13","")</f>
        <v/>
      </c>
      <c r="Z132" s="4" t="str">
        <f>HYPERLINK("http://141.218.60.56/~jnz1568/getInfo.php?workbook=07_01.xlsx&amp;sheet=A0&amp;row=132&amp;col=26&amp;number=&amp;sourceID=13","")</f>
        <v/>
      </c>
      <c r="AA132" s="4" t="str">
        <f>HYPERLINK("http://141.218.60.56/~jnz1568/getInfo.php?workbook=07_01.xlsx&amp;sheet=A0&amp;row=132&amp;col=27&amp;number=&amp;sourceID=13","")</f>
        <v/>
      </c>
      <c r="AB132" s="4" t="str">
        <f>HYPERLINK("http://141.218.60.56/~jnz1568/getInfo.php?workbook=07_01.xlsx&amp;sheet=A0&amp;row=132&amp;col=28&amp;number=&amp;sourceID=13","")</f>
        <v/>
      </c>
      <c r="AC132" s="4" t="str">
        <f>HYPERLINK("http://141.218.60.56/~jnz1568/getInfo.php?workbook=07_01.xlsx&amp;sheet=A0&amp;row=132&amp;col=29&amp;number=&amp;sourceID=13","")</f>
        <v/>
      </c>
      <c r="AD132" s="4" t="str">
        <f>HYPERLINK("http://141.218.60.56/~jnz1568/getInfo.php?workbook=07_01.xlsx&amp;sheet=A0&amp;row=132&amp;col=30&amp;number=&amp;sourceID=13","")</f>
        <v/>
      </c>
    </row>
    <row r="133" spans="1:30">
      <c r="A133" s="3">
        <v>7</v>
      </c>
      <c r="B133" s="3">
        <v>1</v>
      </c>
      <c r="C133" s="3">
        <v>17</v>
      </c>
      <c r="D133" s="3">
        <v>16</v>
      </c>
      <c r="E133" s="3">
        <f>((1/(INDEX(E0!J$4:J$28,C133,1)-INDEX(E0!J$4:J$28,D133,1))))*100000000</f>
        <v>0</v>
      </c>
      <c r="F133" s="4" t="str">
        <f>HYPERLINK("http://141.218.60.56/~jnz1568/getInfo.php?workbook=07_01.xlsx&amp;sheet=A0&amp;row=133&amp;col=6&amp;number==&amp;sourceID=11","=")</f>
        <v>=</v>
      </c>
      <c r="G133" s="4" t="str">
        <f>HYPERLINK("http://141.218.60.56/~jnz1568/getInfo.php?workbook=07_01.xlsx&amp;sheet=A0&amp;row=133&amp;col=7&amp;number=&amp;sourceID=11","")</f>
        <v/>
      </c>
      <c r="H133" s="4" t="str">
        <f>HYPERLINK("http://141.218.60.56/~jnz1568/getInfo.php?workbook=07_01.xlsx&amp;sheet=A0&amp;row=133&amp;col=8&amp;number=&amp;sourceID=11","")</f>
        <v/>
      </c>
      <c r="I133" s="4" t="str">
        <f>HYPERLINK("http://141.218.60.56/~jnz1568/getInfo.php?workbook=07_01.xlsx&amp;sheet=A0&amp;row=133&amp;col=9&amp;number=&amp;sourceID=11","")</f>
        <v/>
      </c>
      <c r="J133" s="4" t="str">
        <f>HYPERLINK("http://141.218.60.56/~jnz1568/getInfo.php?workbook=07_01.xlsx&amp;sheet=A0&amp;row=133&amp;col=10&amp;number=&amp;sourceID=11","")</f>
        <v/>
      </c>
      <c r="K133" s="4" t="str">
        <f>HYPERLINK("http://141.218.60.56/~jnz1568/getInfo.php?workbook=07_01.xlsx&amp;sheet=A0&amp;row=133&amp;col=11&amp;number=&amp;sourceID=11","")</f>
        <v/>
      </c>
      <c r="L133" s="4" t="str">
        <f>HYPERLINK("http://141.218.60.56/~jnz1568/getInfo.php?workbook=07_01.xlsx&amp;sheet=A0&amp;row=133&amp;col=12&amp;number=5.8604e-07&amp;sourceID=11","5.8604e-07")</f>
        <v>5.8604e-07</v>
      </c>
      <c r="M133" s="4" t="str">
        <f>HYPERLINK("http://141.218.60.56/~jnz1568/getInfo.php?workbook=07_01.xlsx&amp;sheet=A0&amp;row=133&amp;col=13&amp;number=5.8606e-07&amp;sourceID=12","5.8606e-07")</f>
        <v>5.8606e-07</v>
      </c>
      <c r="N133" s="4" t="str">
        <f>HYPERLINK("http://141.218.60.56/~jnz1568/getInfo.php?workbook=07_01.xlsx&amp;sheet=A0&amp;row=133&amp;col=14&amp;number=&amp;sourceID=12","")</f>
        <v/>
      </c>
      <c r="O133" s="4" t="str">
        <f>HYPERLINK("http://141.218.60.56/~jnz1568/getInfo.php?workbook=07_01.xlsx&amp;sheet=A0&amp;row=133&amp;col=15&amp;number=&amp;sourceID=12","")</f>
        <v/>
      </c>
      <c r="P133" s="4" t="str">
        <f>HYPERLINK("http://141.218.60.56/~jnz1568/getInfo.php?workbook=07_01.xlsx&amp;sheet=A0&amp;row=133&amp;col=16&amp;number=&amp;sourceID=12","")</f>
        <v/>
      </c>
      <c r="Q133" s="4" t="str">
        <f>HYPERLINK("http://141.218.60.56/~jnz1568/getInfo.php?workbook=07_01.xlsx&amp;sheet=A0&amp;row=133&amp;col=17&amp;number=&amp;sourceID=12","")</f>
        <v/>
      </c>
      <c r="R133" s="4" t="str">
        <f>HYPERLINK("http://141.218.60.56/~jnz1568/getInfo.php?workbook=07_01.xlsx&amp;sheet=A0&amp;row=133&amp;col=18&amp;number=&amp;sourceID=12","")</f>
        <v/>
      </c>
      <c r="S133" s="4" t="str">
        <f>HYPERLINK("http://141.218.60.56/~jnz1568/getInfo.php?workbook=07_01.xlsx&amp;sheet=A0&amp;row=133&amp;col=19&amp;number=5.8606e-07&amp;sourceID=12","5.8606e-07")</f>
        <v>5.8606e-07</v>
      </c>
      <c r="T133" s="4" t="str">
        <f>HYPERLINK("http://141.218.60.56/~jnz1568/getInfo.php?workbook=07_01.xlsx&amp;sheet=A0&amp;row=133&amp;col=20&amp;number=&amp;sourceID=30","")</f>
        <v/>
      </c>
      <c r="U133" s="4" t="str">
        <f>HYPERLINK("http://141.218.60.56/~jnz1568/getInfo.php?workbook=07_01.xlsx&amp;sheet=A0&amp;row=133&amp;col=21&amp;number=&amp;sourceID=30","")</f>
        <v/>
      </c>
      <c r="V133" s="4" t="str">
        <f>HYPERLINK("http://141.218.60.56/~jnz1568/getInfo.php?workbook=07_01.xlsx&amp;sheet=A0&amp;row=133&amp;col=22&amp;number=&amp;sourceID=30","")</f>
        <v/>
      </c>
      <c r="W133" s="4" t="str">
        <f>HYPERLINK("http://141.218.60.56/~jnz1568/getInfo.php?workbook=07_01.xlsx&amp;sheet=A0&amp;row=133&amp;col=23&amp;number=&amp;sourceID=30","")</f>
        <v/>
      </c>
      <c r="X133" s="4" t="str">
        <f>HYPERLINK("http://141.218.60.56/~jnz1568/getInfo.php?workbook=07_01.xlsx&amp;sheet=A0&amp;row=133&amp;col=24&amp;number=&amp;sourceID=30","")</f>
        <v/>
      </c>
      <c r="Y133" s="4" t="str">
        <f>HYPERLINK("http://141.218.60.56/~jnz1568/getInfo.php?workbook=07_01.xlsx&amp;sheet=A0&amp;row=133&amp;col=25&amp;number=&amp;sourceID=13","")</f>
        <v/>
      </c>
      <c r="Z133" s="4" t="str">
        <f>HYPERLINK("http://141.218.60.56/~jnz1568/getInfo.php?workbook=07_01.xlsx&amp;sheet=A0&amp;row=133&amp;col=26&amp;number=&amp;sourceID=13","")</f>
        <v/>
      </c>
      <c r="AA133" s="4" t="str">
        <f>HYPERLINK("http://141.218.60.56/~jnz1568/getInfo.php?workbook=07_01.xlsx&amp;sheet=A0&amp;row=133&amp;col=27&amp;number=&amp;sourceID=13","")</f>
        <v/>
      </c>
      <c r="AB133" s="4" t="str">
        <f>HYPERLINK("http://141.218.60.56/~jnz1568/getInfo.php?workbook=07_01.xlsx&amp;sheet=A0&amp;row=133&amp;col=28&amp;number=&amp;sourceID=13","")</f>
        <v/>
      </c>
      <c r="AC133" s="4" t="str">
        <f>HYPERLINK("http://141.218.60.56/~jnz1568/getInfo.php?workbook=07_01.xlsx&amp;sheet=A0&amp;row=133&amp;col=29&amp;number=&amp;sourceID=13","")</f>
        <v/>
      </c>
      <c r="AD133" s="4" t="str">
        <f>HYPERLINK("http://141.218.60.56/~jnz1568/getInfo.php?workbook=07_01.xlsx&amp;sheet=A0&amp;row=133&amp;col=30&amp;number=&amp;sourceID=13","")</f>
        <v/>
      </c>
    </row>
    <row r="134" spans="1:30">
      <c r="A134" s="3">
        <v>7</v>
      </c>
      <c r="B134" s="3">
        <v>1</v>
      </c>
      <c r="C134" s="3">
        <v>18</v>
      </c>
      <c r="D134" s="3">
        <v>1</v>
      </c>
      <c r="E134" s="3">
        <f>((1/(INDEX(E0!J$4:J$28,C134,1)-INDEX(E0!J$4:J$28,D134,1))))*100000000</f>
        <v>0</v>
      </c>
      <c r="F134" s="4" t="str">
        <f>HYPERLINK("http://141.218.60.56/~jnz1568/getInfo.php?workbook=07_01.xlsx&amp;sheet=A0&amp;row=134&amp;col=6&amp;number==SUM(G134:L134)&amp;sourceID=11","=SUM(G134:L134)")</f>
        <v>=SUM(G134:L134)</v>
      </c>
      <c r="G134" s="4" t="str">
        <f>HYPERLINK("http://141.218.60.56/~jnz1568/getInfo.php?workbook=07_01.xlsx&amp;sheet=A0&amp;row=134&amp;col=7&amp;number=&amp;sourceID=11","")</f>
        <v/>
      </c>
      <c r="H134" s="4" t="str">
        <f>HYPERLINK("http://141.218.60.56/~jnz1568/getInfo.php?workbook=07_01.xlsx&amp;sheet=A0&amp;row=134&amp;col=8&amp;number=&amp;sourceID=11","")</f>
        <v/>
      </c>
      <c r="I134" s="4" t="str">
        <f>HYPERLINK("http://141.218.60.56/~jnz1568/getInfo.php?workbook=07_01.xlsx&amp;sheet=A0&amp;row=134&amp;col=9&amp;number=&amp;sourceID=11","")</f>
        <v/>
      </c>
      <c r="J134" s="4" t="str">
        <f>HYPERLINK("http://141.218.60.56/~jnz1568/getInfo.php?workbook=07_01.xlsx&amp;sheet=A0&amp;row=134&amp;col=10&amp;number=81.294&amp;sourceID=11","81.294")</f>
        <v>81.294</v>
      </c>
      <c r="K134" s="4" t="str">
        <f>HYPERLINK("http://141.218.60.56/~jnz1568/getInfo.php?workbook=07_01.xlsx&amp;sheet=A0&amp;row=134&amp;col=11&amp;number=&amp;sourceID=11","")</f>
        <v/>
      </c>
      <c r="L134" s="4" t="str">
        <f>HYPERLINK("http://141.218.60.56/~jnz1568/getInfo.php?workbook=07_01.xlsx&amp;sheet=A0&amp;row=134&amp;col=12&amp;number=&amp;sourceID=11","")</f>
        <v/>
      </c>
      <c r="M134" s="4" t="str">
        <f>HYPERLINK("http://141.218.60.56/~jnz1568/getInfo.php?workbook=07_01.xlsx&amp;sheet=A0&amp;row=134&amp;col=13&amp;number=81.288&amp;sourceID=12","81.288")</f>
        <v>81.288</v>
      </c>
      <c r="N134" s="4" t="str">
        <f>HYPERLINK("http://141.218.60.56/~jnz1568/getInfo.php?workbook=07_01.xlsx&amp;sheet=A0&amp;row=134&amp;col=14&amp;number=&amp;sourceID=12","")</f>
        <v/>
      </c>
      <c r="O134" s="4" t="str">
        <f>HYPERLINK("http://141.218.60.56/~jnz1568/getInfo.php?workbook=07_01.xlsx&amp;sheet=A0&amp;row=134&amp;col=15&amp;number=&amp;sourceID=12","")</f>
        <v/>
      </c>
      <c r="P134" s="4" t="str">
        <f>HYPERLINK("http://141.218.60.56/~jnz1568/getInfo.php?workbook=07_01.xlsx&amp;sheet=A0&amp;row=134&amp;col=16&amp;number=&amp;sourceID=12","")</f>
        <v/>
      </c>
      <c r="Q134" s="4" t="str">
        <f>HYPERLINK("http://141.218.60.56/~jnz1568/getInfo.php?workbook=07_01.xlsx&amp;sheet=A0&amp;row=134&amp;col=17&amp;number=81.288&amp;sourceID=12","81.288")</f>
        <v>81.288</v>
      </c>
      <c r="R134" s="4" t="str">
        <f>HYPERLINK("http://141.218.60.56/~jnz1568/getInfo.php?workbook=07_01.xlsx&amp;sheet=A0&amp;row=134&amp;col=18&amp;number=&amp;sourceID=12","")</f>
        <v/>
      </c>
      <c r="S134" s="4" t="str">
        <f>HYPERLINK("http://141.218.60.56/~jnz1568/getInfo.php?workbook=07_01.xlsx&amp;sheet=A0&amp;row=134&amp;col=19&amp;number=&amp;sourceID=12","")</f>
        <v/>
      </c>
      <c r="T134" s="4" t="str">
        <f>HYPERLINK("http://141.218.60.56/~jnz1568/getInfo.php?workbook=07_01.xlsx&amp;sheet=A0&amp;row=134&amp;col=20&amp;number==SUM(U134:X134)&amp;sourceID=30","=SUM(U134:X134)")</f>
        <v>=SUM(U134:X134)</v>
      </c>
      <c r="U134" s="4" t="str">
        <f>HYPERLINK("http://141.218.60.56/~jnz1568/getInfo.php?workbook=07_01.xlsx&amp;sheet=A0&amp;row=134&amp;col=21&amp;number=&amp;sourceID=30","")</f>
        <v/>
      </c>
      <c r="V134" s="4" t="str">
        <f>HYPERLINK("http://141.218.60.56/~jnz1568/getInfo.php?workbook=07_01.xlsx&amp;sheet=A0&amp;row=134&amp;col=22&amp;number=&amp;sourceID=30","")</f>
        <v/>
      </c>
      <c r="W134" s="4" t="str">
        <f>HYPERLINK("http://141.218.60.56/~jnz1568/getInfo.php?workbook=07_01.xlsx&amp;sheet=A0&amp;row=134&amp;col=23&amp;number=81.29&amp;sourceID=30","81.29")</f>
        <v>81.29</v>
      </c>
      <c r="X134" s="4" t="str">
        <f>HYPERLINK("http://141.218.60.56/~jnz1568/getInfo.php?workbook=07_01.xlsx&amp;sheet=A0&amp;row=134&amp;col=24&amp;number=&amp;sourceID=30","")</f>
        <v/>
      </c>
      <c r="Y134" s="4" t="str">
        <f>HYPERLINK("http://141.218.60.56/~jnz1568/getInfo.php?workbook=07_01.xlsx&amp;sheet=A0&amp;row=134&amp;col=25&amp;number=&amp;sourceID=13","")</f>
        <v/>
      </c>
      <c r="Z134" s="4" t="str">
        <f>HYPERLINK("http://141.218.60.56/~jnz1568/getInfo.php?workbook=07_01.xlsx&amp;sheet=A0&amp;row=134&amp;col=26&amp;number=&amp;sourceID=13","")</f>
        <v/>
      </c>
      <c r="AA134" s="4" t="str">
        <f>HYPERLINK("http://141.218.60.56/~jnz1568/getInfo.php?workbook=07_01.xlsx&amp;sheet=A0&amp;row=134&amp;col=27&amp;number=&amp;sourceID=13","")</f>
        <v/>
      </c>
      <c r="AB134" s="4" t="str">
        <f>HYPERLINK("http://141.218.60.56/~jnz1568/getInfo.php?workbook=07_01.xlsx&amp;sheet=A0&amp;row=134&amp;col=28&amp;number=&amp;sourceID=13","")</f>
        <v/>
      </c>
      <c r="AC134" s="4" t="str">
        <f>HYPERLINK("http://141.218.60.56/~jnz1568/getInfo.php?workbook=07_01.xlsx&amp;sheet=A0&amp;row=134&amp;col=29&amp;number=&amp;sourceID=13","")</f>
        <v/>
      </c>
      <c r="AD134" s="4" t="str">
        <f>HYPERLINK("http://141.218.60.56/~jnz1568/getInfo.php?workbook=07_01.xlsx&amp;sheet=A0&amp;row=134&amp;col=30&amp;number=&amp;sourceID=13","")</f>
        <v/>
      </c>
    </row>
    <row r="135" spans="1:30">
      <c r="A135" s="3">
        <v>7</v>
      </c>
      <c r="B135" s="3">
        <v>1</v>
      </c>
      <c r="C135" s="3">
        <v>18</v>
      </c>
      <c r="D135" s="3">
        <v>2</v>
      </c>
      <c r="E135" s="3">
        <f>((1/(INDEX(E0!J$4:J$28,C135,1)-INDEX(E0!J$4:J$28,D135,1))))*100000000</f>
        <v>0</v>
      </c>
      <c r="F135" s="4" t="str">
        <f>HYPERLINK("http://141.218.60.56/~jnz1568/getInfo.php?workbook=07_01.xlsx&amp;sheet=A0&amp;row=135&amp;col=6&amp;number==&amp;sourceID=11","=")</f>
        <v>=</v>
      </c>
      <c r="G135" s="4" t="str">
        <f>HYPERLINK("http://141.218.60.56/~jnz1568/getInfo.php?workbook=07_01.xlsx&amp;sheet=A0&amp;row=135&amp;col=7&amp;number=1033400000&amp;sourceID=11","1033400000")</f>
        <v>1033400000</v>
      </c>
      <c r="H135" s="4" t="str">
        <f>HYPERLINK("http://141.218.60.56/~jnz1568/getInfo.php?workbook=07_01.xlsx&amp;sheet=A0&amp;row=135&amp;col=8&amp;number=&amp;sourceID=11","")</f>
        <v/>
      </c>
      <c r="I135" s="4" t="str">
        <f>HYPERLINK("http://141.218.60.56/~jnz1568/getInfo.php?workbook=07_01.xlsx&amp;sheet=A0&amp;row=135&amp;col=9&amp;number=&amp;sourceID=11","")</f>
        <v/>
      </c>
      <c r="J135" s="4" t="str">
        <f>HYPERLINK("http://141.218.60.56/~jnz1568/getInfo.php?workbook=07_01.xlsx&amp;sheet=A0&amp;row=135&amp;col=10&amp;number=&amp;sourceID=11","")</f>
        <v/>
      </c>
      <c r="K135" s="4" t="str">
        <f>HYPERLINK("http://141.218.60.56/~jnz1568/getInfo.php?workbook=07_01.xlsx&amp;sheet=A0&amp;row=135&amp;col=11&amp;number=&amp;sourceID=11","")</f>
        <v/>
      </c>
      <c r="L135" s="4" t="str">
        <f>HYPERLINK("http://141.218.60.56/~jnz1568/getInfo.php?workbook=07_01.xlsx&amp;sheet=A0&amp;row=135&amp;col=12&amp;number=&amp;sourceID=11","")</f>
        <v/>
      </c>
      <c r="M135" s="4" t="str">
        <f>HYPERLINK("http://141.218.60.56/~jnz1568/getInfo.php?workbook=07_01.xlsx&amp;sheet=A0&amp;row=135&amp;col=13&amp;number=1033500000&amp;sourceID=12","1033500000")</f>
        <v>1033500000</v>
      </c>
      <c r="N135" s="4" t="str">
        <f>HYPERLINK("http://141.218.60.56/~jnz1568/getInfo.php?workbook=07_01.xlsx&amp;sheet=A0&amp;row=135&amp;col=14&amp;number=1033500000&amp;sourceID=12","1033500000")</f>
        <v>1033500000</v>
      </c>
      <c r="O135" s="4" t="str">
        <f>HYPERLINK("http://141.218.60.56/~jnz1568/getInfo.php?workbook=07_01.xlsx&amp;sheet=A0&amp;row=135&amp;col=15&amp;number=&amp;sourceID=12","")</f>
        <v/>
      </c>
      <c r="P135" s="4" t="str">
        <f>HYPERLINK("http://141.218.60.56/~jnz1568/getInfo.php?workbook=07_01.xlsx&amp;sheet=A0&amp;row=135&amp;col=16&amp;number=&amp;sourceID=12","")</f>
        <v/>
      </c>
      <c r="Q135" s="4" t="str">
        <f>HYPERLINK("http://141.218.60.56/~jnz1568/getInfo.php?workbook=07_01.xlsx&amp;sheet=A0&amp;row=135&amp;col=17&amp;number=&amp;sourceID=12","")</f>
        <v/>
      </c>
      <c r="R135" s="4" t="str">
        <f>HYPERLINK("http://141.218.60.56/~jnz1568/getInfo.php?workbook=07_01.xlsx&amp;sheet=A0&amp;row=135&amp;col=18&amp;number=&amp;sourceID=12","")</f>
        <v/>
      </c>
      <c r="S135" s="4" t="str">
        <f>HYPERLINK("http://141.218.60.56/~jnz1568/getInfo.php?workbook=07_01.xlsx&amp;sheet=A0&amp;row=135&amp;col=19&amp;number=&amp;sourceID=12","")</f>
        <v/>
      </c>
      <c r="T135" s="4" t="str">
        <f>HYPERLINK("http://141.218.60.56/~jnz1568/getInfo.php?workbook=07_01.xlsx&amp;sheet=A0&amp;row=135&amp;col=20&amp;number==&amp;sourceID=30","=")</f>
        <v>=</v>
      </c>
      <c r="U135" s="4" t="str">
        <f>HYPERLINK("http://141.218.60.56/~jnz1568/getInfo.php?workbook=07_01.xlsx&amp;sheet=A0&amp;row=135&amp;col=21&amp;number=1034000000&amp;sourceID=30","1034000000")</f>
        <v>1034000000</v>
      </c>
      <c r="V135" s="4" t="str">
        <f>HYPERLINK("http://141.218.60.56/~jnz1568/getInfo.php?workbook=07_01.xlsx&amp;sheet=A0&amp;row=135&amp;col=22&amp;number=&amp;sourceID=30","")</f>
        <v/>
      </c>
      <c r="W135" s="4" t="str">
        <f>HYPERLINK("http://141.218.60.56/~jnz1568/getInfo.php?workbook=07_01.xlsx&amp;sheet=A0&amp;row=135&amp;col=23&amp;number=&amp;sourceID=30","")</f>
        <v/>
      </c>
      <c r="X135" s="4" t="str">
        <f>HYPERLINK("http://141.218.60.56/~jnz1568/getInfo.php?workbook=07_01.xlsx&amp;sheet=A0&amp;row=135&amp;col=24&amp;number=&amp;sourceID=30","")</f>
        <v/>
      </c>
      <c r="Y135" s="4" t="str">
        <f>HYPERLINK("http://141.218.60.56/~jnz1568/getInfo.php?workbook=07_01.xlsx&amp;sheet=A0&amp;row=135&amp;col=25&amp;number=&amp;sourceID=13","")</f>
        <v/>
      </c>
      <c r="Z135" s="4" t="str">
        <f>HYPERLINK("http://141.218.60.56/~jnz1568/getInfo.php?workbook=07_01.xlsx&amp;sheet=A0&amp;row=135&amp;col=26&amp;number=&amp;sourceID=13","")</f>
        <v/>
      </c>
      <c r="AA135" s="4" t="str">
        <f>HYPERLINK("http://141.218.60.56/~jnz1568/getInfo.php?workbook=07_01.xlsx&amp;sheet=A0&amp;row=135&amp;col=27&amp;number=&amp;sourceID=13","")</f>
        <v/>
      </c>
      <c r="AB135" s="4" t="str">
        <f>HYPERLINK("http://141.218.60.56/~jnz1568/getInfo.php?workbook=07_01.xlsx&amp;sheet=A0&amp;row=135&amp;col=28&amp;number=&amp;sourceID=13","")</f>
        <v/>
      </c>
      <c r="AC135" s="4" t="str">
        <f>HYPERLINK("http://141.218.60.56/~jnz1568/getInfo.php?workbook=07_01.xlsx&amp;sheet=A0&amp;row=135&amp;col=29&amp;number=&amp;sourceID=13","")</f>
        <v/>
      </c>
      <c r="AD135" s="4" t="str">
        <f>HYPERLINK("http://141.218.60.56/~jnz1568/getInfo.php?workbook=07_01.xlsx&amp;sheet=A0&amp;row=135&amp;col=30&amp;number=&amp;sourceID=13","")</f>
        <v/>
      </c>
    </row>
    <row r="136" spans="1:30">
      <c r="A136" s="3">
        <v>7</v>
      </c>
      <c r="B136" s="3">
        <v>1</v>
      </c>
      <c r="C136" s="3">
        <v>18</v>
      </c>
      <c r="D136" s="3">
        <v>3</v>
      </c>
      <c r="E136" s="3">
        <f>((1/(INDEX(E0!J$4:J$28,C136,1)-INDEX(E0!J$4:J$28,D136,1))))*100000000</f>
        <v>0</v>
      </c>
      <c r="F136" s="4" t="str">
        <f>HYPERLINK("http://141.218.60.56/~jnz1568/getInfo.php?workbook=07_01.xlsx&amp;sheet=A0&amp;row=136&amp;col=6&amp;number==&amp;sourceID=11","=")</f>
        <v>=</v>
      </c>
      <c r="G136" s="4" t="str">
        <f>HYPERLINK("http://141.218.60.56/~jnz1568/getInfo.php?workbook=07_01.xlsx&amp;sheet=A0&amp;row=136&amp;col=7&amp;number=&amp;sourceID=11","")</f>
        <v/>
      </c>
      <c r="H136" s="4" t="str">
        <f>HYPERLINK("http://141.218.60.56/~jnz1568/getInfo.php?workbook=07_01.xlsx&amp;sheet=A0&amp;row=136&amp;col=8&amp;number=&amp;sourceID=11","")</f>
        <v/>
      </c>
      <c r="I136" s="4" t="str">
        <f>HYPERLINK("http://141.218.60.56/~jnz1568/getInfo.php?workbook=07_01.xlsx&amp;sheet=A0&amp;row=136&amp;col=9&amp;number=&amp;sourceID=11","")</f>
        <v/>
      </c>
      <c r="J136" s="4" t="str">
        <f>HYPERLINK("http://141.218.60.56/~jnz1568/getInfo.php?workbook=07_01.xlsx&amp;sheet=A0&amp;row=136&amp;col=10&amp;number=0.30674&amp;sourceID=11","0.30674")</f>
        <v>0.30674</v>
      </c>
      <c r="K136" s="4" t="str">
        <f>HYPERLINK("http://141.218.60.56/~jnz1568/getInfo.php?workbook=07_01.xlsx&amp;sheet=A0&amp;row=136&amp;col=11&amp;number=&amp;sourceID=11","")</f>
        <v/>
      </c>
      <c r="L136" s="4" t="str">
        <f>HYPERLINK("http://141.218.60.56/~jnz1568/getInfo.php?workbook=07_01.xlsx&amp;sheet=A0&amp;row=136&amp;col=12&amp;number=&amp;sourceID=11","")</f>
        <v/>
      </c>
      <c r="M136" s="4" t="str">
        <f>HYPERLINK("http://141.218.60.56/~jnz1568/getInfo.php?workbook=07_01.xlsx&amp;sheet=A0&amp;row=136&amp;col=13&amp;number=0.30653&amp;sourceID=12","0.30653")</f>
        <v>0.30653</v>
      </c>
      <c r="N136" s="4" t="str">
        <f>HYPERLINK("http://141.218.60.56/~jnz1568/getInfo.php?workbook=07_01.xlsx&amp;sheet=A0&amp;row=136&amp;col=14&amp;number=&amp;sourceID=12","")</f>
        <v/>
      </c>
      <c r="O136" s="4" t="str">
        <f>HYPERLINK("http://141.218.60.56/~jnz1568/getInfo.php?workbook=07_01.xlsx&amp;sheet=A0&amp;row=136&amp;col=15&amp;number=&amp;sourceID=12","")</f>
        <v/>
      </c>
      <c r="P136" s="4" t="str">
        <f>HYPERLINK("http://141.218.60.56/~jnz1568/getInfo.php?workbook=07_01.xlsx&amp;sheet=A0&amp;row=136&amp;col=16&amp;number=&amp;sourceID=12","")</f>
        <v/>
      </c>
      <c r="Q136" s="4" t="str">
        <f>HYPERLINK("http://141.218.60.56/~jnz1568/getInfo.php?workbook=07_01.xlsx&amp;sheet=A0&amp;row=136&amp;col=17&amp;number=0.30653&amp;sourceID=12","0.30653")</f>
        <v>0.30653</v>
      </c>
      <c r="R136" s="4" t="str">
        <f>HYPERLINK("http://141.218.60.56/~jnz1568/getInfo.php?workbook=07_01.xlsx&amp;sheet=A0&amp;row=136&amp;col=18&amp;number=&amp;sourceID=12","")</f>
        <v/>
      </c>
      <c r="S136" s="4" t="str">
        <f>HYPERLINK("http://141.218.60.56/~jnz1568/getInfo.php?workbook=07_01.xlsx&amp;sheet=A0&amp;row=136&amp;col=19&amp;number=&amp;sourceID=12","")</f>
        <v/>
      </c>
      <c r="T136" s="4" t="str">
        <f>HYPERLINK("http://141.218.60.56/~jnz1568/getInfo.php?workbook=07_01.xlsx&amp;sheet=A0&amp;row=136&amp;col=20&amp;number==&amp;sourceID=30","=")</f>
        <v>=</v>
      </c>
      <c r="U136" s="4" t="str">
        <f>HYPERLINK("http://141.218.60.56/~jnz1568/getInfo.php?workbook=07_01.xlsx&amp;sheet=A0&amp;row=136&amp;col=21&amp;number=&amp;sourceID=30","")</f>
        <v/>
      </c>
      <c r="V136" s="4" t="str">
        <f>HYPERLINK("http://141.218.60.56/~jnz1568/getInfo.php?workbook=07_01.xlsx&amp;sheet=A0&amp;row=136&amp;col=22&amp;number=&amp;sourceID=30","")</f>
        <v/>
      </c>
      <c r="W136" s="4" t="str">
        <f>HYPERLINK("http://141.218.60.56/~jnz1568/getInfo.php?workbook=07_01.xlsx&amp;sheet=A0&amp;row=136&amp;col=23&amp;number=0.3067&amp;sourceID=30","0.3067")</f>
        <v>0.3067</v>
      </c>
      <c r="X136" s="4" t="str">
        <f>HYPERLINK("http://141.218.60.56/~jnz1568/getInfo.php?workbook=07_01.xlsx&amp;sheet=A0&amp;row=136&amp;col=24&amp;number=&amp;sourceID=30","")</f>
        <v/>
      </c>
      <c r="Y136" s="4" t="str">
        <f>HYPERLINK("http://141.218.60.56/~jnz1568/getInfo.php?workbook=07_01.xlsx&amp;sheet=A0&amp;row=136&amp;col=25&amp;number=&amp;sourceID=13","")</f>
        <v/>
      </c>
      <c r="Z136" s="4" t="str">
        <f>HYPERLINK("http://141.218.60.56/~jnz1568/getInfo.php?workbook=07_01.xlsx&amp;sheet=A0&amp;row=136&amp;col=26&amp;number=&amp;sourceID=13","")</f>
        <v/>
      </c>
      <c r="AA136" s="4" t="str">
        <f>HYPERLINK("http://141.218.60.56/~jnz1568/getInfo.php?workbook=07_01.xlsx&amp;sheet=A0&amp;row=136&amp;col=27&amp;number=&amp;sourceID=13","")</f>
        <v/>
      </c>
      <c r="AB136" s="4" t="str">
        <f>HYPERLINK("http://141.218.60.56/~jnz1568/getInfo.php?workbook=07_01.xlsx&amp;sheet=A0&amp;row=136&amp;col=28&amp;number=&amp;sourceID=13","")</f>
        <v/>
      </c>
      <c r="AC136" s="4" t="str">
        <f>HYPERLINK("http://141.218.60.56/~jnz1568/getInfo.php?workbook=07_01.xlsx&amp;sheet=A0&amp;row=136&amp;col=29&amp;number=&amp;sourceID=13","")</f>
        <v/>
      </c>
      <c r="AD136" s="4" t="str">
        <f>HYPERLINK("http://141.218.60.56/~jnz1568/getInfo.php?workbook=07_01.xlsx&amp;sheet=A0&amp;row=136&amp;col=30&amp;number=&amp;sourceID=13","")</f>
        <v/>
      </c>
    </row>
    <row r="137" spans="1:30">
      <c r="A137" s="3">
        <v>7</v>
      </c>
      <c r="B137" s="3">
        <v>1</v>
      </c>
      <c r="C137" s="3">
        <v>18</v>
      </c>
      <c r="D137" s="3">
        <v>4</v>
      </c>
      <c r="E137" s="3">
        <f>((1/(INDEX(E0!J$4:J$28,C137,1)-INDEX(E0!J$4:J$28,D137,1))))*100000000</f>
        <v>0</v>
      </c>
      <c r="F137" s="4" t="str">
        <f>HYPERLINK("http://141.218.60.56/~jnz1568/getInfo.php?workbook=07_01.xlsx&amp;sheet=A0&amp;row=137&amp;col=6&amp;number==&amp;sourceID=11","=")</f>
        <v>=</v>
      </c>
      <c r="G137" s="4" t="str">
        <f>HYPERLINK("http://141.218.60.56/~jnz1568/getInfo.php?workbook=07_01.xlsx&amp;sheet=A0&amp;row=137&amp;col=7&amp;number=2077200000&amp;sourceID=11","2077200000")</f>
        <v>2077200000</v>
      </c>
      <c r="H137" s="4" t="str">
        <f>HYPERLINK("http://141.218.60.56/~jnz1568/getInfo.php?workbook=07_01.xlsx&amp;sheet=A0&amp;row=137&amp;col=8&amp;number=&amp;sourceID=11","")</f>
        <v/>
      </c>
      <c r="I137" s="4" t="str">
        <f>HYPERLINK("http://141.218.60.56/~jnz1568/getInfo.php?workbook=07_01.xlsx&amp;sheet=A0&amp;row=137&amp;col=9&amp;number=&amp;sourceID=11","")</f>
        <v/>
      </c>
      <c r="J137" s="4" t="str">
        <f>HYPERLINK("http://141.218.60.56/~jnz1568/getInfo.php?workbook=07_01.xlsx&amp;sheet=A0&amp;row=137&amp;col=10&amp;number=&amp;sourceID=11","")</f>
        <v/>
      </c>
      <c r="K137" s="4" t="str">
        <f>HYPERLINK("http://141.218.60.56/~jnz1568/getInfo.php?workbook=07_01.xlsx&amp;sheet=A0&amp;row=137&amp;col=11&amp;number=29.259&amp;sourceID=11","29.259")</f>
        <v>29.259</v>
      </c>
      <c r="L137" s="4" t="str">
        <f>HYPERLINK("http://141.218.60.56/~jnz1568/getInfo.php?workbook=07_01.xlsx&amp;sheet=A0&amp;row=137&amp;col=12&amp;number=&amp;sourceID=11","")</f>
        <v/>
      </c>
      <c r="M137" s="4" t="str">
        <f>HYPERLINK("http://141.218.60.56/~jnz1568/getInfo.php?workbook=07_01.xlsx&amp;sheet=A0&amp;row=137&amp;col=13&amp;number=2077300000&amp;sourceID=12","2077300000")</f>
        <v>2077300000</v>
      </c>
      <c r="N137" s="4" t="str">
        <f>HYPERLINK("http://141.218.60.56/~jnz1568/getInfo.php?workbook=07_01.xlsx&amp;sheet=A0&amp;row=137&amp;col=14&amp;number=2077300000&amp;sourceID=12","2077300000")</f>
        <v>2077300000</v>
      </c>
      <c r="O137" s="4" t="str">
        <f>HYPERLINK("http://141.218.60.56/~jnz1568/getInfo.php?workbook=07_01.xlsx&amp;sheet=A0&amp;row=137&amp;col=15&amp;number=&amp;sourceID=12","")</f>
        <v/>
      </c>
      <c r="P137" s="4" t="str">
        <f>HYPERLINK("http://141.218.60.56/~jnz1568/getInfo.php?workbook=07_01.xlsx&amp;sheet=A0&amp;row=137&amp;col=16&amp;number=&amp;sourceID=12","")</f>
        <v/>
      </c>
      <c r="Q137" s="4" t="str">
        <f>HYPERLINK("http://141.218.60.56/~jnz1568/getInfo.php?workbook=07_01.xlsx&amp;sheet=A0&amp;row=137&amp;col=17&amp;number=&amp;sourceID=12","")</f>
        <v/>
      </c>
      <c r="R137" s="4" t="str">
        <f>HYPERLINK("http://141.218.60.56/~jnz1568/getInfo.php?workbook=07_01.xlsx&amp;sheet=A0&amp;row=137&amp;col=18&amp;number=29.26&amp;sourceID=12","29.26")</f>
        <v>29.26</v>
      </c>
      <c r="S137" s="4" t="str">
        <f>HYPERLINK("http://141.218.60.56/~jnz1568/getInfo.php?workbook=07_01.xlsx&amp;sheet=A0&amp;row=137&amp;col=19&amp;number=&amp;sourceID=12","")</f>
        <v/>
      </c>
      <c r="T137" s="4" t="str">
        <f>HYPERLINK("http://141.218.60.56/~jnz1568/getInfo.php?workbook=07_01.xlsx&amp;sheet=A0&amp;row=137&amp;col=20&amp;number==&amp;sourceID=30","=")</f>
        <v>=</v>
      </c>
      <c r="U137" s="4" t="str">
        <f>HYPERLINK("http://141.218.60.56/~jnz1568/getInfo.php?workbook=07_01.xlsx&amp;sheet=A0&amp;row=137&amp;col=21&amp;number=2077000000&amp;sourceID=30","2077000000")</f>
        <v>2077000000</v>
      </c>
      <c r="V137" s="4" t="str">
        <f>HYPERLINK("http://141.218.60.56/~jnz1568/getInfo.php?workbook=07_01.xlsx&amp;sheet=A0&amp;row=137&amp;col=22&amp;number=&amp;sourceID=30","")</f>
        <v/>
      </c>
      <c r="W137" s="4" t="str">
        <f>HYPERLINK("http://141.218.60.56/~jnz1568/getInfo.php?workbook=07_01.xlsx&amp;sheet=A0&amp;row=137&amp;col=23&amp;number=&amp;sourceID=30","")</f>
        <v/>
      </c>
      <c r="X137" s="4" t="str">
        <f>HYPERLINK("http://141.218.60.56/~jnz1568/getInfo.php?workbook=07_01.xlsx&amp;sheet=A0&amp;row=137&amp;col=24&amp;number=29.26&amp;sourceID=30","29.26")</f>
        <v>29.26</v>
      </c>
      <c r="Y137" s="4" t="str">
        <f>HYPERLINK("http://141.218.60.56/~jnz1568/getInfo.php?workbook=07_01.xlsx&amp;sheet=A0&amp;row=137&amp;col=25&amp;number=&amp;sourceID=13","")</f>
        <v/>
      </c>
      <c r="Z137" s="4" t="str">
        <f>HYPERLINK("http://141.218.60.56/~jnz1568/getInfo.php?workbook=07_01.xlsx&amp;sheet=A0&amp;row=137&amp;col=26&amp;number=&amp;sourceID=13","")</f>
        <v/>
      </c>
      <c r="AA137" s="4" t="str">
        <f>HYPERLINK("http://141.218.60.56/~jnz1568/getInfo.php?workbook=07_01.xlsx&amp;sheet=A0&amp;row=137&amp;col=27&amp;number=&amp;sourceID=13","")</f>
        <v/>
      </c>
      <c r="AB137" s="4" t="str">
        <f>HYPERLINK("http://141.218.60.56/~jnz1568/getInfo.php?workbook=07_01.xlsx&amp;sheet=A0&amp;row=137&amp;col=28&amp;number=&amp;sourceID=13","")</f>
        <v/>
      </c>
      <c r="AC137" s="4" t="str">
        <f>HYPERLINK("http://141.218.60.56/~jnz1568/getInfo.php?workbook=07_01.xlsx&amp;sheet=A0&amp;row=137&amp;col=29&amp;number=&amp;sourceID=13","")</f>
        <v/>
      </c>
      <c r="AD137" s="4" t="str">
        <f>HYPERLINK("http://141.218.60.56/~jnz1568/getInfo.php?workbook=07_01.xlsx&amp;sheet=A0&amp;row=137&amp;col=30&amp;number=&amp;sourceID=13","")</f>
        <v/>
      </c>
    </row>
    <row r="138" spans="1:30">
      <c r="A138" s="3">
        <v>7</v>
      </c>
      <c r="B138" s="3">
        <v>1</v>
      </c>
      <c r="C138" s="3">
        <v>18</v>
      </c>
      <c r="D138" s="3">
        <v>5</v>
      </c>
      <c r="E138" s="3">
        <f>((1/(INDEX(E0!J$4:J$28,C138,1)-INDEX(E0!J$4:J$28,D138,1))))*100000000</f>
        <v>0</v>
      </c>
      <c r="F138" s="4" t="str">
        <f>HYPERLINK("http://141.218.60.56/~jnz1568/getInfo.php?workbook=07_01.xlsx&amp;sheet=A0&amp;row=138&amp;col=6&amp;number==&amp;sourceID=11","=")</f>
        <v>=</v>
      </c>
      <c r="G138" s="4" t="str">
        <f>HYPERLINK("http://141.218.60.56/~jnz1568/getInfo.php?workbook=07_01.xlsx&amp;sheet=A0&amp;row=138&amp;col=7&amp;number=725330000&amp;sourceID=11","725330000")</f>
        <v>725330000</v>
      </c>
      <c r="H138" s="4" t="str">
        <f>HYPERLINK("http://141.218.60.56/~jnz1568/getInfo.php?workbook=07_01.xlsx&amp;sheet=A0&amp;row=138&amp;col=8&amp;number=&amp;sourceID=11","")</f>
        <v/>
      </c>
      <c r="I138" s="4" t="str">
        <f>HYPERLINK("http://141.218.60.56/~jnz1568/getInfo.php?workbook=07_01.xlsx&amp;sheet=A0&amp;row=138&amp;col=9&amp;number=&amp;sourceID=11","")</f>
        <v/>
      </c>
      <c r="J138" s="4" t="str">
        <f>HYPERLINK("http://141.218.60.56/~jnz1568/getInfo.php?workbook=07_01.xlsx&amp;sheet=A0&amp;row=138&amp;col=10&amp;number=&amp;sourceID=11","")</f>
        <v/>
      </c>
      <c r="K138" s="4" t="str">
        <f>HYPERLINK("http://141.218.60.56/~jnz1568/getInfo.php?workbook=07_01.xlsx&amp;sheet=A0&amp;row=138&amp;col=11&amp;number=&amp;sourceID=11","")</f>
        <v/>
      </c>
      <c r="L138" s="4" t="str">
        <f>HYPERLINK("http://141.218.60.56/~jnz1568/getInfo.php?workbook=07_01.xlsx&amp;sheet=A0&amp;row=138&amp;col=12&amp;number=&amp;sourceID=11","")</f>
        <v/>
      </c>
      <c r="M138" s="4" t="str">
        <f>HYPERLINK("http://141.218.60.56/~jnz1568/getInfo.php?workbook=07_01.xlsx&amp;sheet=A0&amp;row=138&amp;col=13&amp;number=725360000&amp;sourceID=12","725360000")</f>
        <v>725360000</v>
      </c>
      <c r="N138" s="4" t="str">
        <f>HYPERLINK("http://141.218.60.56/~jnz1568/getInfo.php?workbook=07_01.xlsx&amp;sheet=A0&amp;row=138&amp;col=14&amp;number=725360000&amp;sourceID=12","725360000")</f>
        <v>725360000</v>
      </c>
      <c r="O138" s="4" t="str">
        <f>HYPERLINK("http://141.218.60.56/~jnz1568/getInfo.php?workbook=07_01.xlsx&amp;sheet=A0&amp;row=138&amp;col=15&amp;number=&amp;sourceID=12","")</f>
        <v/>
      </c>
      <c r="P138" s="4" t="str">
        <f>HYPERLINK("http://141.218.60.56/~jnz1568/getInfo.php?workbook=07_01.xlsx&amp;sheet=A0&amp;row=138&amp;col=16&amp;number=&amp;sourceID=12","")</f>
        <v/>
      </c>
      <c r="Q138" s="4" t="str">
        <f>HYPERLINK("http://141.218.60.56/~jnz1568/getInfo.php?workbook=07_01.xlsx&amp;sheet=A0&amp;row=138&amp;col=17&amp;number=&amp;sourceID=12","")</f>
        <v/>
      </c>
      <c r="R138" s="4" t="str">
        <f>HYPERLINK("http://141.218.60.56/~jnz1568/getInfo.php?workbook=07_01.xlsx&amp;sheet=A0&amp;row=138&amp;col=18&amp;number=&amp;sourceID=12","")</f>
        <v/>
      </c>
      <c r="S138" s="4" t="str">
        <f>HYPERLINK("http://141.218.60.56/~jnz1568/getInfo.php?workbook=07_01.xlsx&amp;sheet=A0&amp;row=138&amp;col=19&amp;number=&amp;sourceID=12","")</f>
        <v/>
      </c>
      <c r="T138" s="4" t="str">
        <f>HYPERLINK("http://141.218.60.56/~jnz1568/getInfo.php?workbook=07_01.xlsx&amp;sheet=A0&amp;row=138&amp;col=20&amp;number==&amp;sourceID=30","=")</f>
        <v>=</v>
      </c>
      <c r="U138" s="4" t="str">
        <f>HYPERLINK("http://141.218.60.56/~jnz1568/getInfo.php?workbook=07_01.xlsx&amp;sheet=A0&amp;row=138&amp;col=21&amp;number=725400000&amp;sourceID=30","725400000")</f>
        <v>725400000</v>
      </c>
      <c r="V138" s="4" t="str">
        <f>HYPERLINK("http://141.218.60.56/~jnz1568/getInfo.php?workbook=07_01.xlsx&amp;sheet=A0&amp;row=138&amp;col=22&amp;number=&amp;sourceID=30","")</f>
        <v/>
      </c>
      <c r="W138" s="4" t="str">
        <f>HYPERLINK("http://141.218.60.56/~jnz1568/getInfo.php?workbook=07_01.xlsx&amp;sheet=A0&amp;row=138&amp;col=23&amp;number=&amp;sourceID=30","")</f>
        <v/>
      </c>
      <c r="X138" s="4" t="str">
        <f>HYPERLINK("http://141.218.60.56/~jnz1568/getInfo.php?workbook=07_01.xlsx&amp;sheet=A0&amp;row=138&amp;col=24&amp;number=&amp;sourceID=30","")</f>
        <v/>
      </c>
      <c r="Y138" s="4" t="str">
        <f>HYPERLINK("http://141.218.60.56/~jnz1568/getInfo.php?workbook=07_01.xlsx&amp;sheet=A0&amp;row=138&amp;col=25&amp;number=&amp;sourceID=13","")</f>
        <v/>
      </c>
      <c r="Z138" s="4" t="str">
        <f>HYPERLINK("http://141.218.60.56/~jnz1568/getInfo.php?workbook=07_01.xlsx&amp;sheet=A0&amp;row=138&amp;col=26&amp;number=&amp;sourceID=13","")</f>
        <v/>
      </c>
      <c r="AA138" s="4" t="str">
        <f>HYPERLINK("http://141.218.60.56/~jnz1568/getInfo.php?workbook=07_01.xlsx&amp;sheet=A0&amp;row=138&amp;col=27&amp;number=&amp;sourceID=13","")</f>
        <v/>
      </c>
      <c r="AB138" s="4" t="str">
        <f>HYPERLINK("http://141.218.60.56/~jnz1568/getInfo.php?workbook=07_01.xlsx&amp;sheet=A0&amp;row=138&amp;col=28&amp;number=&amp;sourceID=13","")</f>
        <v/>
      </c>
      <c r="AC138" s="4" t="str">
        <f>HYPERLINK("http://141.218.60.56/~jnz1568/getInfo.php?workbook=07_01.xlsx&amp;sheet=A0&amp;row=138&amp;col=29&amp;number=&amp;sourceID=13","")</f>
        <v/>
      </c>
      <c r="AD138" s="4" t="str">
        <f>HYPERLINK("http://141.218.60.56/~jnz1568/getInfo.php?workbook=07_01.xlsx&amp;sheet=A0&amp;row=138&amp;col=30&amp;number=&amp;sourceID=13","")</f>
        <v/>
      </c>
    </row>
    <row r="139" spans="1:30">
      <c r="A139" s="3">
        <v>7</v>
      </c>
      <c r="B139" s="3">
        <v>1</v>
      </c>
      <c r="C139" s="3">
        <v>18</v>
      </c>
      <c r="D139" s="3">
        <v>6</v>
      </c>
      <c r="E139" s="3">
        <f>((1/(INDEX(E0!J$4:J$28,C139,1)-INDEX(E0!J$4:J$28,D139,1))))*100000000</f>
        <v>0</v>
      </c>
      <c r="F139" s="4" t="str">
        <f>HYPERLINK("http://141.218.60.56/~jnz1568/getInfo.php?workbook=07_01.xlsx&amp;sheet=A0&amp;row=139&amp;col=6&amp;number==&amp;sourceID=11","=")</f>
        <v>=</v>
      </c>
      <c r="G139" s="4" t="str">
        <f>HYPERLINK("http://141.218.60.56/~jnz1568/getInfo.php?workbook=07_01.xlsx&amp;sheet=A0&amp;row=139&amp;col=7&amp;number=&amp;sourceID=11","")</f>
        <v/>
      </c>
      <c r="H139" s="4" t="str">
        <f>HYPERLINK("http://141.218.60.56/~jnz1568/getInfo.php?workbook=07_01.xlsx&amp;sheet=A0&amp;row=139&amp;col=8&amp;number=&amp;sourceID=11","")</f>
        <v/>
      </c>
      <c r="I139" s="4" t="str">
        <f>HYPERLINK("http://141.218.60.56/~jnz1568/getInfo.php?workbook=07_01.xlsx&amp;sheet=A0&amp;row=139&amp;col=9&amp;number=&amp;sourceID=11","")</f>
        <v/>
      </c>
      <c r="J139" s="4" t="str">
        <f>HYPERLINK("http://141.218.60.56/~jnz1568/getInfo.php?workbook=07_01.xlsx&amp;sheet=A0&amp;row=139&amp;col=10&amp;number=0.0073329&amp;sourceID=11","0.0073329")</f>
        <v>0.0073329</v>
      </c>
      <c r="K139" s="4" t="str">
        <f>HYPERLINK("http://141.218.60.56/~jnz1568/getInfo.php?workbook=07_01.xlsx&amp;sheet=A0&amp;row=139&amp;col=11&amp;number=&amp;sourceID=11","")</f>
        <v/>
      </c>
      <c r="L139" s="4" t="str">
        <f>HYPERLINK("http://141.218.60.56/~jnz1568/getInfo.php?workbook=07_01.xlsx&amp;sheet=A0&amp;row=139&amp;col=12&amp;number=&amp;sourceID=11","")</f>
        <v/>
      </c>
      <c r="M139" s="4" t="str">
        <f>HYPERLINK("http://141.218.60.56/~jnz1568/getInfo.php?workbook=07_01.xlsx&amp;sheet=A0&amp;row=139&amp;col=13&amp;number=0.0073337&amp;sourceID=12","0.0073337")</f>
        <v>0.0073337</v>
      </c>
      <c r="N139" s="4" t="str">
        <f>HYPERLINK("http://141.218.60.56/~jnz1568/getInfo.php?workbook=07_01.xlsx&amp;sheet=A0&amp;row=139&amp;col=14&amp;number=&amp;sourceID=12","")</f>
        <v/>
      </c>
      <c r="O139" s="4" t="str">
        <f>HYPERLINK("http://141.218.60.56/~jnz1568/getInfo.php?workbook=07_01.xlsx&amp;sheet=A0&amp;row=139&amp;col=15&amp;number=&amp;sourceID=12","")</f>
        <v/>
      </c>
      <c r="P139" s="4" t="str">
        <f>HYPERLINK("http://141.218.60.56/~jnz1568/getInfo.php?workbook=07_01.xlsx&amp;sheet=A0&amp;row=139&amp;col=16&amp;number=&amp;sourceID=12","")</f>
        <v/>
      </c>
      <c r="Q139" s="4" t="str">
        <f>HYPERLINK("http://141.218.60.56/~jnz1568/getInfo.php?workbook=07_01.xlsx&amp;sheet=A0&amp;row=139&amp;col=17&amp;number=0.0073337&amp;sourceID=12","0.0073337")</f>
        <v>0.0073337</v>
      </c>
      <c r="R139" s="4" t="str">
        <f>HYPERLINK("http://141.218.60.56/~jnz1568/getInfo.php?workbook=07_01.xlsx&amp;sheet=A0&amp;row=139&amp;col=18&amp;number=&amp;sourceID=12","")</f>
        <v/>
      </c>
      <c r="S139" s="4" t="str">
        <f>HYPERLINK("http://141.218.60.56/~jnz1568/getInfo.php?workbook=07_01.xlsx&amp;sheet=A0&amp;row=139&amp;col=19&amp;number=&amp;sourceID=12","")</f>
        <v/>
      </c>
      <c r="T139" s="4" t="str">
        <f>HYPERLINK("http://141.218.60.56/~jnz1568/getInfo.php?workbook=07_01.xlsx&amp;sheet=A0&amp;row=139&amp;col=20&amp;number==&amp;sourceID=30","=")</f>
        <v>=</v>
      </c>
      <c r="U139" s="4" t="str">
        <f>HYPERLINK("http://141.218.60.56/~jnz1568/getInfo.php?workbook=07_01.xlsx&amp;sheet=A0&amp;row=139&amp;col=21&amp;number=&amp;sourceID=30","")</f>
        <v/>
      </c>
      <c r="V139" s="4" t="str">
        <f>HYPERLINK("http://141.218.60.56/~jnz1568/getInfo.php?workbook=07_01.xlsx&amp;sheet=A0&amp;row=139&amp;col=22&amp;number=&amp;sourceID=30","")</f>
        <v/>
      </c>
      <c r="W139" s="4" t="str">
        <f>HYPERLINK("http://141.218.60.56/~jnz1568/getInfo.php?workbook=07_01.xlsx&amp;sheet=A0&amp;row=139&amp;col=23&amp;number=0.007321&amp;sourceID=30","0.007321")</f>
        <v>0.007321</v>
      </c>
      <c r="X139" s="4" t="str">
        <f>HYPERLINK("http://141.218.60.56/~jnz1568/getInfo.php?workbook=07_01.xlsx&amp;sheet=A0&amp;row=139&amp;col=24&amp;number=&amp;sourceID=30","")</f>
        <v/>
      </c>
      <c r="Y139" s="4" t="str">
        <f>HYPERLINK("http://141.218.60.56/~jnz1568/getInfo.php?workbook=07_01.xlsx&amp;sheet=A0&amp;row=139&amp;col=25&amp;number=&amp;sourceID=13","")</f>
        <v/>
      </c>
      <c r="Z139" s="4" t="str">
        <f>HYPERLINK("http://141.218.60.56/~jnz1568/getInfo.php?workbook=07_01.xlsx&amp;sheet=A0&amp;row=139&amp;col=26&amp;number=&amp;sourceID=13","")</f>
        <v/>
      </c>
      <c r="AA139" s="4" t="str">
        <f>HYPERLINK("http://141.218.60.56/~jnz1568/getInfo.php?workbook=07_01.xlsx&amp;sheet=A0&amp;row=139&amp;col=27&amp;number=&amp;sourceID=13","")</f>
        <v/>
      </c>
      <c r="AB139" s="4" t="str">
        <f>HYPERLINK("http://141.218.60.56/~jnz1568/getInfo.php?workbook=07_01.xlsx&amp;sheet=A0&amp;row=139&amp;col=28&amp;number=&amp;sourceID=13","")</f>
        <v/>
      </c>
      <c r="AC139" s="4" t="str">
        <f>HYPERLINK("http://141.218.60.56/~jnz1568/getInfo.php?workbook=07_01.xlsx&amp;sheet=A0&amp;row=139&amp;col=29&amp;number=&amp;sourceID=13","")</f>
        <v/>
      </c>
      <c r="AD139" s="4" t="str">
        <f>HYPERLINK("http://141.218.60.56/~jnz1568/getInfo.php?workbook=07_01.xlsx&amp;sheet=A0&amp;row=139&amp;col=30&amp;number=&amp;sourceID=13","")</f>
        <v/>
      </c>
    </row>
    <row r="140" spans="1:30">
      <c r="A140" s="3">
        <v>7</v>
      </c>
      <c r="B140" s="3">
        <v>1</v>
      </c>
      <c r="C140" s="3">
        <v>18</v>
      </c>
      <c r="D140" s="3">
        <v>7</v>
      </c>
      <c r="E140" s="3">
        <f>((1/(INDEX(E0!J$4:J$28,C140,1)-INDEX(E0!J$4:J$28,D140,1))))*100000000</f>
        <v>0</v>
      </c>
      <c r="F140" s="4" t="str">
        <f>HYPERLINK("http://141.218.60.56/~jnz1568/getInfo.php?workbook=07_01.xlsx&amp;sheet=A0&amp;row=140&amp;col=6&amp;number==&amp;sourceID=11","=")</f>
        <v>=</v>
      </c>
      <c r="G140" s="4" t="str">
        <f>HYPERLINK("http://141.218.60.56/~jnz1568/getInfo.php?workbook=07_01.xlsx&amp;sheet=A0&amp;row=140&amp;col=7&amp;number=&amp;sourceID=11","")</f>
        <v/>
      </c>
      <c r="H140" s="4" t="str">
        <f>HYPERLINK("http://141.218.60.56/~jnz1568/getInfo.php?workbook=07_01.xlsx&amp;sheet=A0&amp;row=140&amp;col=8&amp;number=30132&amp;sourceID=11","30132")</f>
        <v>30132</v>
      </c>
      <c r="I140" s="4" t="str">
        <f>HYPERLINK("http://141.218.60.56/~jnz1568/getInfo.php?workbook=07_01.xlsx&amp;sheet=A0&amp;row=140&amp;col=9&amp;number=&amp;sourceID=11","")</f>
        <v/>
      </c>
      <c r="J140" s="4" t="str">
        <f>HYPERLINK("http://141.218.60.56/~jnz1568/getInfo.php?workbook=07_01.xlsx&amp;sheet=A0&amp;row=140&amp;col=10&amp;number=9.6298e-07&amp;sourceID=11","9.6298e-07")</f>
        <v>9.6298e-07</v>
      </c>
      <c r="K140" s="4" t="str">
        <f>HYPERLINK("http://141.218.60.56/~jnz1568/getInfo.php?workbook=07_01.xlsx&amp;sheet=A0&amp;row=140&amp;col=11&amp;number=&amp;sourceID=11","")</f>
        <v/>
      </c>
      <c r="L140" s="4" t="str">
        <f>HYPERLINK("http://141.218.60.56/~jnz1568/getInfo.php?workbook=07_01.xlsx&amp;sheet=A0&amp;row=140&amp;col=12&amp;number=&amp;sourceID=11","")</f>
        <v/>
      </c>
      <c r="M140" s="4" t="str">
        <f>HYPERLINK("http://141.218.60.56/~jnz1568/getInfo.php?workbook=07_01.xlsx&amp;sheet=A0&amp;row=140&amp;col=13&amp;number=30133&amp;sourceID=12","30133")</f>
        <v>30133</v>
      </c>
      <c r="N140" s="4" t="str">
        <f>HYPERLINK("http://141.218.60.56/~jnz1568/getInfo.php?workbook=07_01.xlsx&amp;sheet=A0&amp;row=140&amp;col=14&amp;number=&amp;sourceID=12","")</f>
        <v/>
      </c>
      <c r="O140" s="4" t="str">
        <f>HYPERLINK("http://141.218.60.56/~jnz1568/getInfo.php?workbook=07_01.xlsx&amp;sheet=A0&amp;row=140&amp;col=15&amp;number=30133&amp;sourceID=12","30133")</f>
        <v>30133</v>
      </c>
      <c r="P140" s="4" t="str">
        <f>HYPERLINK("http://141.218.60.56/~jnz1568/getInfo.php?workbook=07_01.xlsx&amp;sheet=A0&amp;row=140&amp;col=16&amp;number=&amp;sourceID=12","")</f>
        <v/>
      </c>
      <c r="Q140" s="4" t="str">
        <f>HYPERLINK("http://141.218.60.56/~jnz1568/getInfo.php?workbook=07_01.xlsx&amp;sheet=A0&amp;row=140&amp;col=17&amp;number=9.6117e-07&amp;sourceID=12","9.6117e-07")</f>
        <v>9.6117e-07</v>
      </c>
      <c r="R140" s="4" t="str">
        <f>HYPERLINK("http://141.218.60.56/~jnz1568/getInfo.php?workbook=07_01.xlsx&amp;sheet=A0&amp;row=140&amp;col=18&amp;number=&amp;sourceID=12","")</f>
        <v/>
      </c>
      <c r="S140" s="4" t="str">
        <f>HYPERLINK("http://141.218.60.56/~jnz1568/getInfo.php?workbook=07_01.xlsx&amp;sheet=A0&amp;row=140&amp;col=19&amp;number=&amp;sourceID=12","")</f>
        <v/>
      </c>
      <c r="T140" s="4" t="str">
        <f>HYPERLINK("http://141.218.60.56/~jnz1568/getInfo.php?workbook=07_01.xlsx&amp;sheet=A0&amp;row=140&amp;col=20&amp;number==&amp;sourceID=30","=")</f>
        <v>=</v>
      </c>
      <c r="U140" s="4" t="str">
        <f>HYPERLINK("http://141.218.60.56/~jnz1568/getInfo.php?workbook=07_01.xlsx&amp;sheet=A0&amp;row=140&amp;col=21&amp;number=&amp;sourceID=30","")</f>
        <v/>
      </c>
      <c r="V140" s="4" t="str">
        <f>HYPERLINK("http://141.218.60.56/~jnz1568/getInfo.php?workbook=07_01.xlsx&amp;sheet=A0&amp;row=140&amp;col=22&amp;number=30130&amp;sourceID=30","30130")</f>
        <v>30130</v>
      </c>
      <c r="W140" s="4" t="str">
        <f>HYPERLINK("http://141.218.60.56/~jnz1568/getInfo.php?workbook=07_01.xlsx&amp;sheet=A0&amp;row=140&amp;col=23&amp;number=1.023e-06&amp;sourceID=30","1.023e-06")</f>
        <v>1.023e-06</v>
      </c>
      <c r="X140" s="4" t="str">
        <f>HYPERLINK("http://141.218.60.56/~jnz1568/getInfo.php?workbook=07_01.xlsx&amp;sheet=A0&amp;row=140&amp;col=24&amp;number=&amp;sourceID=30","")</f>
        <v/>
      </c>
      <c r="Y140" s="4" t="str">
        <f>HYPERLINK("http://141.218.60.56/~jnz1568/getInfo.php?workbook=07_01.xlsx&amp;sheet=A0&amp;row=140&amp;col=25&amp;number=&amp;sourceID=13","")</f>
        <v/>
      </c>
      <c r="Z140" s="4" t="str">
        <f>HYPERLINK("http://141.218.60.56/~jnz1568/getInfo.php?workbook=07_01.xlsx&amp;sheet=A0&amp;row=140&amp;col=26&amp;number=&amp;sourceID=13","")</f>
        <v/>
      </c>
      <c r="AA140" s="4" t="str">
        <f>HYPERLINK("http://141.218.60.56/~jnz1568/getInfo.php?workbook=07_01.xlsx&amp;sheet=A0&amp;row=140&amp;col=27&amp;number=&amp;sourceID=13","")</f>
        <v/>
      </c>
      <c r="AB140" s="4" t="str">
        <f>HYPERLINK("http://141.218.60.56/~jnz1568/getInfo.php?workbook=07_01.xlsx&amp;sheet=A0&amp;row=140&amp;col=28&amp;number=&amp;sourceID=13","")</f>
        <v/>
      </c>
      <c r="AC140" s="4" t="str">
        <f>HYPERLINK("http://141.218.60.56/~jnz1568/getInfo.php?workbook=07_01.xlsx&amp;sheet=A0&amp;row=140&amp;col=29&amp;number=&amp;sourceID=13","")</f>
        <v/>
      </c>
      <c r="AD140" s="4" t="str">
        <f>HYPERLINK("http://141.218.60.56/~jnz1568/getInfo.php?workbook=07_01.xlsx&amp;sheet=A0&amp;row=140&amp;col=30&amp;number=&amp;sourceID=13","")</f>
        <v/>
      </c>
    </row>
    <row r="141" spans="1:30">
      <c r="A141" s="3">
        <v>7</v>
      </c>
      <c r="B141" s="3">
        <v>1</v>
      </c>
      <c r="C141" s="3">
        <v>18</v>
      </c>
      <c r="D141" s="3">
        <v>8</v>
      </c>
      <c r="E141" s="3">
        <f>((1/(INDEX(E0!J$4:J$28,C141,1)-INDEX(E0!J$4:J$28,D141,1))))*100000000</f>
        <v>0</v>
      </c>
      <c r="F141" s="4" t="str">
        <f>HYPERLINK("http://141.218.60.56/~jnz1568/getInfo.php?workbook=07_01.xlsx&amp;sheet=A0&amp;row=141&amp;col=6&amp;number==&amp;sourceID=11","=")</f>
        <v>=</v>
      </c>
      <c r="G141" s="4" t="str">
        <f>HYPERLINK("http://141.218.60.56/~jnz1568/getInfo.php?workbook=07_01.xlsx&amp;sheet=A0&amp;row=141&amp;col=7&amp;number=1457300000&amp;sourceID=11","1457300000")</f>
        <v>1457300000</v>
      </c>
      <c r="H141" s="4" t="str">
        <f>HYPERLINK("http://141.218.60.56/~jnz1568/getInfo.php?workbook=07_01.xlsx&amp;sheet=A0&amp;row=141&amp;col=8&amp;number=&amp;sourceID=11","")</f>
        <v/>
      </c>
      <c r="I141" s="4" t="str">
        <f>HYPERLINK("http://141.218.60.56/~jnz1568/getInfo.php?workbook=07_01.xlsx&amp;sheet=A0&amp;row=141&amp;col=9&amp;number=&amp;sourceID=11","")</f>
        <v/>
      </c>
      <c r="J141" s="4" t="str">
        <f>HYPERLINK("http://141.218.60.56/~jnz1568/getInfo.php?workbook=07_01.xlsx&amp;sheet=A0&amp;row=141&amp;col=10&amp;number=&amp;sourceID=11","")</f>
        <v/>
      </c>
      <c r="K141" s="4" t="str">
        <f>HYPERLINK("http://141.218.60.56/~jnz1568/getInfo.php?workbook=07_01.xlsx&amp;sheet=A0&amp;row=141&amp;col=11&amp;number=2.3528&amp;sourceID=11","2.3528")</f>
        <v>2.3528</v>
      </c>
      <c r="L141" s="4" t="str">
        <f>HYPERLINK("http://141.218.60.56/~jnz1568/getInfo.php?workbook=07_01.xlsx&amp;sheet=A0&amp;row=141&amp;col=12&amp;number=&amp;sourceID=11","")</f>
        <v/>
      </c>
      <c r="M141" s="4" t="str">
        <f>HYPERLINK("http://141.218.60.56/~jnz1568/getInfo.php?workbook=07_01.xlsx&amp;sheet=A0&amp;row=141&amp;col=13&amp;number=1457300000&amp;sourceID=12","1457300000")</f>
        <v>1457300000</v>
      </c>
      <c r="N141" s="4" t="str">
        <f>HYPERLINK("http://141.218.60.56/~jnz1568/getInfo.php?workbook=07_01.xlsx&amp;sheet=A0&amp;row=141&amp;col=14&amp;number=1457300000&amp;sourceID=12","1457300000")</f>
        <v>1457300000</v>
      </c>
      <c r="O141" s="4" t="str">
        <f>HYPERLINK("http://141.218.60.56/~jnz1568/getInfo.php?workbook=07_01.xlsx&amp;sheet=A0&amp;row=141&amp;col=15&amp;number=&amp;sourceID=12","")</f>
        <v/>
      </c>
      <c r="P141" s="4" t="str">
        <f>HYPERLINK("http://141.218.60.56/~jnz1568/getInfo.php?workbook=07_01.xlsx&amp;sheet=A0&amp;row=141&amp;col=16&amp;number=&amp;sourceID=12","")</f>
        <v/>
      </c>
      <c r="Q141" s="4" t="str">
        <f>HYPERLINK("http://141.218.60.56/~jnz1568/getInfo.php?workbook=07_01.xlsx&amp;sheet=A0&amp;row=141&amp;col=17&amp;number=&amp;sourceID=12","")</f>
        <v/>
      </c>
      <c r="R141" s="4" t="str">
        <f>HYPERLINK("http://141.218.60.56/~jnz1568/getInfo.php?workbook=07_01.xlsx&amp;sheet=A0&amp;row=141&amp;col=18&amp;number=2.3529&amp;sourceID=12","2.3529")</f>
        <v>2.3529</v>
      </c>
      <c r="S141" s="4" t="str">
        <f>HYPERLINK("http://141.218.60.56/~jnz1568/getInfo.php?workbook=07_01.xlsx&amp;sheet=A0&amp;row=141&amp;col=19&amp;number=&amp;sourceID=12","")</f>
        <v/>
      </c>
      <c r="T141" s="4" t="str">
        <f>HYPERLINK("http://141.218.60.56/~jnz1568/getInfo.php?workbook=07_01.xlsx&amp;sheet=A0&amp;row=141&amp;col=20&amp;number==&amp;sourceID=30","=")</f>
        <v>=</v>
      </c>
      <c r="U141" s="4" t="str">
        <f>HYPERLINK("http://141.218.60.56/~jnz1568/getInfo.php?workbook=07_01.xlsx&amp;sheet=A0&amp;row=141&amp;col=21&amp;number=1457000000&amp;sourceID=30","1457000000")</f>
        <v>1457000000</v>
      </c>
      <c r="V141" s="4" t="str">
        <f>HYPERLINK("http://141.218.60.56/~jnz1568/getInfo.php?workbook=07_01.xlsx&amp;sheet=A0&amp;row=141&amp;col=22&amp;number=&amp;sourceID=30","")</f>
        <v/>
      </c>
      <c r="W141" s="4" t="str">
        <f>HYPERLINK("http://141.218.60.56/~jnz1568/getInfo.php?workbook=07_01.xlsx&amp;sheet=A0&amp;row=141&amp;col=23&amp;number=&amp;sourceID=30","")</f>
        <v/>
      </c>
      <c r="X141" s="4" t="str">
        <f>HYPERLINK("http://141.218.60.56/~jnz1568/getInfo.php?workbook=07_01.xlsx&amp;sheet=A0&amp;row=141&amp;col=24&amp;number=2.353&amp;sourceID=30","2.353")</f>
        <v>2.353</v>
      </c>
      <c r="Y141" s="4" t="str">
        <f>HYPERLINK("http://141.218.60.56/~jnz1568/getInfo.php?workbook=07_01.xlsx&amp;sheet=A0&amp;row=141&amp;col=25&amp;number=&amp;sourceID=13","")</f>
        <v/>
      </c>
      <c r="Z141" s="4" t="str">
        <f>HYPERLINK("http://141.218.60.56/~jnz1568/getInfo.php?workbook=07_01.xlsx&amp;sheet=A0&amp;row=141&amp;col=26&amp;number=&amp;sourceID=13","")</f>
        <v/>
      </c>
      <c r="AA141" s="4" t="str">
        <f>HYPERLINK("http://141.218.60.56/~jnz1568/getInfo.php?workbook=07_01.xlsx&amp;sheet=A0&amp;row=141&amp;col=27&amp;number=&amp;sourceID=13","")</f>
        <v/>
      </c>
      <c r="AB141" s="4" t="str">
        <f>HYPERLINK("http://141.218.60.56/~jnz1568/getInfo.php?workbook=07_01.xlsx&amp;sheet=A0&amp;row=141&amp;col=28&amp;number=&amp;sourceID=13","")</f>
        <v/>
      </c>
      <c r="AC141" s="4" t="str">
        <f>HYPERLINK("http://141.218.60.56/~jnz1568/getInfo.php?workbook=07_01.xlsx&amp;sheet=A0&amp;row=141&amp;col=29&amp;number=&amp;sourceID=13","")</f>
        <v/>
      </c>
      <c r="AD141" s="4" t="str">
        <f>HYPERLINK("http://141.218.60.56/~jnz1568/getInfo.php?workbook=07_01.xlsx&amp;sheet=A0&amp;row=141&amp;col=30&amp;number=&amp;sourceID=13","")</f>
        <v/>
      </c>
    </row>
    <row r="142" spans="1:30">
      <c r="A142" s="3">
        <v>7</v>
      </c>
      <c r="B142" s="3">
        <v>1</v>
      </c>
      <c r="C142" s="3">
        <v>18</v>
      </c>
      <c r="D142" s="3">
        <v>9</v>
      </c>
      <c r="E142" s="3">
        <f>((1/(INDEX(E0!J$4:J$28,C142,1)-INDEX(E0!J$4:J$28,D142,1))))*100000000</f>
        <v>0</v>
      </c>
      <c r="F142" s="4" t="str">
        <f>HYPERLINK("http://141.218.60.56/~jnz1568/getInfo.php?workbook=07_01.xlsx&amp;sheet=A0&amp;row=142&amp;col=6&amp;number==&amp;sourceID=11","=")</f>
        <v>=</v>
      </c>
      <c r="G142" s="4" t="str">
        <f>HYPERLINK("http://141.218.60.56/~jnz1568/getInfo.php?workbook=07_01.xlsx&amp;sheet=A0&amp;row=142&amp;col=7&amp;number=&amp;sourceID=11","")</f>
        <v/>
      </c>
      <c r="H142" s="4" t="str">
        <f>HYPERLINK("http://141.218.60.56/~jnz1568/getInfo.php?workbook=07_01.xlsx&amp;sheet=A0&amp;row=142&amp;col=8&amp;number=45207&amp;sourceID=11","45207")</f>
        <v>45207</v>
      </c>
      <c r="I142" s="4" t="str">
        <f>HYPERLINK("http://141.218.60.56/~jnz1568/getInfo.php?workbook=07_01.xlsx&amp;sheet=A0&amp;row=142&amp;col=9&amp;number=&amp;sourceID=11","")</f>
        <v/>
      </c>
      <c r="J142" s="4" t="str">
        <f>HYPERLINK("http://141.218.60.56/~jnz1568/getInfo.php?workbook=07_01.xlsx&amp;sheet=A0&amp;row=142&amp;col=10&amp;number=&amp;sourceID=11","")</f>
        <v/>
      </c>
      <c r="K142" s="4" t="str">
        <f>HYPERLINK("http://141.218.60.56/~jnz1568/getInfo.php?workbook=07_01.xlsx&amp;sheet=A0&amp;row=142&amp;col=11&amp;number=&amp;sourceID=11","")</f>
        <v/>
      </c>
      <c r="L142" s="4" t="str">
        <f>HYPERLINK("http://141.218.60.56/~jnz1568/getInfo.php?workbook=07_01.xlsx&amp;sheet=A0&amp;row=142&amp;col=12&amp;number=8.645e-05&amp;sourceID=11","8.645e-05")</f>
        <v>8.645e-05</v>
      </c>
      <c r="M142" s="4" t="str">
        <f>HYPERLINK("http://141.218.60.56/~jnz1568/getInfo.php?workbook=07_01.xlsx&amp;sheet=A0&amp;row=142&amp;col=13&amp;number=45209&amp;sourceID=12","45209")</f>
        <v>45209</v>
      </c>
      <c r="N142" s="4" t="str">
        <f>HYPERLINK("http://141.218.60.56/~jnz1568/getInfo.php?workbook=07_01.xlsx&amp;sheet=A0&amp;row=142&amp;col=14&amp;number=&amp;sourceID=12","")</f>
        <v/>
      </c>
      <c r="O142" s="4" t="str">
        <f>HYPERLINK("http://141.218.60.56/~jnz1568/getInfo.php?workbook=07_01.xlsx&amp;sheet=A0&amp;row=142&amp;col=15&amp;number=45209&amp;sourceID=12","45209")</f>
        <v>45209</v>
      </c>
      <c r="P142" s="4" t="str">
        <f>HYPERLINK("http://141.218.60.56/~jnz1568/getInfo.php?workbook=07_01.xlsx&amp;sheet=A0&amp;row=142&amp;col=16&amp;number=&amp;sourceID=12","")</f>
        <v/>
      </c>
      <c r="Q142" s="4" t="str">
        <f>HYPERLINK("http://141.218.60.56/~jnz1568/getInfo.php?workbook=07_01.xlsx&amp;sheet=A0&amp;row=142&amp;col=17&amp;number=&amp;sourceID=12","")</f>
        <v/>
      </c>
      <c r="R142" s="4" t="str">
        <f>HYPERLINK("http://141.218.60.56/~jnz1568/getInfo.php?workbook=07_01.xlsx&amp;sheet=A0&amp;row=142&amp;col=18&amp;number=&amp;sourceID=12","")</f>
        <v/>
      </c>
      <c r="S142" s="4" t="str">
        <f>HYPERLINK("http://141.218.60.56/~jnz1568/getInfo.php?workbook=07_01.xlsx&amp;sheet=A0&amp;row=142&amp;col=19&amp;number=8.6454e-05&amp;sourceID=12","8.6454e-05")</f>
        <v>8.6454e-05</v>
      </c>
      <c r="T142" s="4" t="str">
        <f>HYPERLINK("http://141.218.60.56/~jnz1568/getInfo.php?workbook=07_01.xlsx&amp;sheet=A0&amp;row=142&amp;col=20&amp;number==&amp;sourceID=30","=")</f>
        <v>=</v>
      </c>
      <c r="U142" s="4" t="str">
        <f>HYPERLINK("http://141.218.60.56/~jnz1568/getInfo.php?workbook=07_01.xlsx&amp;sheet=A0&amp;row=142&amp;col=21&amp;number=&amp;sourceID=30","")</f>
        <v/>
      </c>
      <c r="V142" s="4" t="str">
        <f>HYPERLINK("http://141.218.60.56/~jnz1568/getInfo.php?workbook=07_01.xlsx&amp;sheet=A0&amp;row=142&amp;col=22&amp;number=45210&amp;sourceID=30","45210")</f>
        <v>45210</v>
      </c>
      <c r="W142" s="4" t="str">
        <f>HYPERLINK("http://141.218.60.56/~jnz1568/getInfo.php?workbook=07_01.xlsx&amp;sheet=A0&amp;row=142&amp;col=23&amp;number=&amp;sourceID=30","")</f>
        <v/>
      </c>
      <c r="X142" s="4" t="str">
        <f>HYPERLINK("http://141.218.60.56/~jnz1568/getInfo.php?workbook=07_01.xlsx&amp;sheet=A0&amp;row=142&amp;col=24&amp;number=&amp;sourceID=30","")</f>
        <v/>
      </c>
      <c r="Y142" s="4" t="str">
        <f>HYPERLINK("http://141.218.60.56/~jnz1568/getInfo.php?workbook=07_01.xlsx&amp;sheet=A0&amp;row=142&amp;col=25&amp;number=&amp;sourceID=13","")</f>
        <v/>
      </c>
      <c r="Z142" s="4" t="str">
        <f>HYPERLINK("http://141.218.60.56/~jnz1568/getInfo.php?workbook=07_01.xlsx&amp;sheet=A0&amp;row=142&amp;col=26&amp;number=&amp;sourceID=13","")</f>
        <v/>
      </c>
      <c r="AA142" s="4" t="str">
        <f>HYPERLINK("http://141.218.60.56/~jnz1568/getInfo.php?workbook=07_01.xlsx&amp;sheet=A0&amp;row=142&amp;col=27&amp;number=&amp;sourceID=13","")</f>
        <v/>
      </c>
      <c r="AB142" s="4" t="str">
        <f>HYPERLINK("http://141.218.60.56/~jnz1568/getInfo.php?workbook=07_01.xlsx&amp;sheet=A0&amp;row=142&amp;col=28&amp;number=&amp;sourceID=13","")</f>
        <v/>
      </c>
      <c r="AC142" s="4" t="str">
        <f>HYPERLINK("http://141.218.60.56/~jnz1568/getInfo.php?workbook=07_01.xlsx&amp;sheet=A0&amp;row=142&amp;col=29&amp;number=&amp;sourceID=13","")</f>
        <v/>
      </c>
      <c r="AD142" s="4" t="str">
        <f>HYPERLINK("http://141.218.60.56/~jnz1568/getInfo.php?workbook=07_01.xlsx&amp;sheet=A0&amp;row=142&amp;col=30&amp;number=&amp;sourceID=13","")</f>
        <v/>
      </c>
    </row>
    <row r="143" spans="1:30">
      <c r="A143" s="3">
        <v>7</v>
      </c>
      <c r="B143" s="3">
        <v>1</v>
      </c>
      <c r="C143" s="3">
        <v>18</v>
      </c>
      <c r="D143" s="3">
        <v>10</v>
      </c>
      <c r="E143" s="3">
        <f>((1/(INDEX(E0!J$4:J$28,C143,1)-INDEX(E0!J$4:J$28,D143,1))))*100000000</f>
        <v>0</v>
      </c>
      <c r="F143" s="4" t="str">
        <f>HYPERLINK("http://141.218.60.56/~jnz1568/getInfo.php?workbook=07_01.xlsx&amp;sheet=A0&amp;row=143&amp;col=6&amp;number==&amp;sourceID=11","=")</f>
        <v>=</v>
      </c>
      <c r="G143" s="4" t="str">
        <f>HYPERLINK("http://141.218.60.56/~jnz1568/getInfo.php?workbook=07_01.xlsx&amp;sheet=A0&amp;row=143&amp;col=7&amp;number=517100000&amp;sourceID=11","517100000")</f>
        <v>517100000</v>
      </c>
      <c r="H143" s="4" t="str">
        <f>HYPERLINK("http://141.218.60.56/~jnz1568/getInfo.php?workbook=07_01.xlsx&amp;sheet=A0&amp;row=143&amp;col=8&amp;number=&amp;sourceID=11","")</f>
        <v/>
      </c>
      <c r="I143" s="4" t="str">
        <f>HYPERLINK("http://141.218.60.56/~jnz1568/getInfo.php?workbook=07_01.xlsx&amp;sheet=A0&amp;row=143&amp;col=9&amp;number=&amp;sourceID=11","")</f>
        <v/>
      </c>
      <c r="J143" s="4" t="str">
        <f>HYPERLINK("http://141.218.60.56/~jnz1568/getInfo.php?workbook=07_01.xlsx&amp;sheet=A0&amp;row=143&amp;col=10&amp;number=&amp;sourceID=11","")</f>
        <v/>
      </c>
      <c r="K143" s="4" t="str">
        <f>HYPERLINK("http://141.218.60.56/~jnz1568/getInfo.php?workbook=07_01.xlsx&amp;sheet=A0&amp;row=143&amp;col=11&amp;number=&amp;sourceID=11","")</f>
        <v/>
      </c>
      <c r="L143" s="4" t="str">
        <f>HYPERLINK("http://141.218.60.56/~jnz1568/getInfo.php?workbook=07_01.xlsx&amp;sheet=A0&amp;row=143&amp;col=12&amp;number=&amp;sourceID=11","")</f>
        <v/>
      </c>
      <c r="M143" s="4" t="str">
        <f>HYPERLINK("http://141.218.60.56/~jnz1568/getInfo.php?workbook=07_01.xlsx&amp;sheet=A0&amp;row=143&amp;col=13&amp;number=517130000&amp;sourceID=12","517130000")</f>
        <v>517130000</v>
      </c>
      <c r="N143" s="4" t="str">
        <f>HYPERLINK("http://141.218.60.56/~jnz1568/getInfo.php?workbook=07_01.xlsx&amp;sheet=A0&amp;row=143&amp;col=14&amp;number=517130000&amp;sourceID=12","517130000")</f>
        <v>517130000</v>
      </c>
      <c r="O143" s="4" t="str">
        <f>HYPERLINK("http://141.218.60.56/~jnz1568/getInfo.php?workbook=07_01.xlsx&amp;sheet=A0&amp;row=143&amp;col=15&amp;number=&amp;sourceID=12","")</f>
        <v/>
      </c>
      <c r="P143" s="4" t="str">
        <f>HYPERLINK("http://141.218.60.56/~jnz1568/getInfo.php?workbook=07_01.xlsx&amp;sheet=A0&amp;row=143&amp;col=16&amp;number=&amp;sourceID=12","")</f>
        <v/>
      </c>
      <c r="Q143" s="4" t="str">
        <f>HYPERLINK("http://141.218.60.56/~jnz1568/getInfo.php?workbook=07_01.xlsx&amp;sheet=A0&amp;row=143&amp;col=17&amp;number=&amp;sourceID=12","")</f>
        <v/>
      </c>
      <c r="R143" s="4" t="str">
        <f>HYPERLINK("http://141.218.60.56/~jnz1568/getInfo.php?workbook=07_01.xlsx&amp;sheet=A0&amp;row=143&amp;col=18&amp;number=&amp;sourceID=12","")</f>
        <v/>
      </c>
      <c r="S143" s="4" t="str">
        <f>HYPERLINK("http://141.218.60.56/~jnz1568/getInfo.php?workbook=07_01.xlsx&amp;sheet=A0&amp;row=143&amp;col=19&amp;number=&amp;sourceID=12","")</f>
        <v/>
      </c>
      <c r="T143" s="4" t="str">
        <f>HYPERLINK("http://141.218.60.56/~jnz1568/getInfo.php?workbook=07_01.xlsx&amp;sheet=A0&amp;row=143&amp;col=20&amp;number==&amp;sourceID=30","=")</f>
        <v>=</v>
      </c>
      <c r="U143" s="4" t="str">
        <f>HYPERLINK("http://141.218.60.56/~jnz1568/getInfo.php?workbook=07_01.xlsx&amp;sheet=A0&amp;row=143&amp;col=21&amp;number=517100000&amp;sourceID=30","517100000")</f>
        <v>517100000</v>
      </c>
      <c r="V143" s="4" t="str">
        <f>HYPERLINK("http://141.218.60.56/~jnz1568/getInfo.php?workbook=07_01.xlsx&amp;sheet=A0&amp;row=143&amp;col=22&amp;number=&amp;sourceID=30","")</f>
        <v/>
      </c>
      <c r="W143" s="4" t="str">
        <f>HYPERLINK("http://141.218.60.56/~jnz1568/getInfo.php?workbook=07_01.xlsx&amp;sheet=A0&amp;row=143&amp;col=23&amp;number=&amp;sourceID=30","")</f>
        <v/>
      </c>
      <c r="X143" s="4" t="str">
        <f>HYPERLINK("http://141.218.60.56/~jnz1568/getInfo.php?workbook=07_01.xlsx&amp;sheet=A0&amp;row=143&amp;col=24&amp;number=&amp;sourceID=30","")</f>
        <v/>
      </c>
      <c r="Y143" s="4" t="str">
        <f>HYPERLINK("http://141.218.60.56/~jnz1568/getInfo.php?workbook=07_01.xlsx&amp;sheet=A0&amp;row=143&amp;col=25&amp;number=&amp;sourceID=13","")</f>
        <v/>
      </c>
      <c r="Z143" s="4" t="str">
        <f>HYPERLINK("http://141.218.60.56/~jnz1568/getInfo.php?workbook=07_01.xlsx&amp;sheet=A0&amp;row=143&amp;col=26&amp;number=&amp;sourceID=13","")</f>
        <v/>
      </c>
      <c r="AA143" s="4" t="str">
        <f>HYPERLINK("http://141.218.60.56/~jnz1568/getInfo.php?workbook=07_01.xlsx&amp;sheet=A0&amp;row=143&amp;col=27&amp;number=&amp;sourceID=13","")</f>
        <v/>
      </c>
      <c r="AB143" s="4" t="str">
        <f>HYPERLINK("http://141.218.60.56/~jnz1568/getInfo.php?workbook=07_01.xlsx&amp;sheet=A0&amp;row=143&amp;col=28&amp;number=&amp;sourceID=13","")</f>
        <v/>
      </c>
      <c r="AC143" s="4" t="str">
        <f>HYPERLINK("http://141.218.60.56/~jnz1568/getInfo.php?workbook=07_01.xlsx&amp;sheet=A0&amp;row=143&amp;col=29&amp;number=&amp;sourceID=13","")</f>
        <v/>
      </c>
      <c r="AD143" s="4" t="str">
        <f>HYPERLINK("http://141.218.60.56/~jnz1568/getInfo.php?workbook=07_01.xlsx&amp;sheet=A0&amp;row=143&amp;col=30&amp;number=&amp;sourceID=13","")</f>
        <v/>
      </c>
    </row>
    <row r="144" spans="1:30">
      <c r="A144" s="3">
        <v>7</v>
      </c>
      <c r="B144" s="3">
        <v>1</v>
      </c>
      <c r="C144" s="3">
        <v>18</v>
      </c>
      <c r="D144" s="3">
        <v>11</v>
      </c>
      <c r="E144" s="3">
        <f>((1/(INDEX(E0!J$4:J$28,C144,1)-INDEX(E0!J$4:J$28,D144,1))))*100000000</f>
        <v>0</v>
      </c>
      <c r="F144" s="4" t="str">
        <f>HYPERLINK("http://141.218.60.56/~jnz1568/getInfo.php?workbook=07_01.xlsx&amp;sheet=A0&amp;row=144&amp;col=6&amp;number==&amp;sourceID=11","=")</f>
        <v>=</v>
      </c>
      <c r="G144" s="4" t="str">
        <f>HYPERLINK("http://141.218.60.56/~jnz1568/getInfo.php?workbook=07_01.xlsx&amp;sheet=A0&amp;row=144&amp;col=7&amp;number=&amp;sourceID=11","")</f>
        <v/>
      </c>
      <c r="H144" s="4" t="str">
        <f>HYPERLINK("http://141.218.60.56/~jnz1568/getInfo.php?workbook=07_01.xlsx&amp;sheet=A0&amp;row=144&amp;col=8&amp;number=&amp;sourceID=11","")</f>
        <v/>
      </c>
      <c r="I144" s="4" t="str">
        <f>HYPERLINK("http://141.218.60.56/~jnz1568/getInfo.php?workbook=07_01.xlsx&amp;sheet=A0&amp;row=144&amp;col=9&amp;number=&amp;sourceID=11","")</f>
        <v/>
      </c>
      <c r="J144" s="4" t="str">
        <f>HYPERLINK("http://141.218.60.56/~jnz1568/getInfo.php?workbook=07_01.xlsx&amp;sheet=A0&amp;row=144&amp;col=10&amp;number=0.0002084&amp;sourceID=11","0.0002084")</f>
        <v>0.0002084</v>
      </c>
      <c r="K144" s="4" t="str">
        <f>HYPERLINK("http://141.218.60.56/~jnz1568/getInfo.php?workbook=07_01.xlsx&amp;sheet=A0&amp;row=144&amp;col=11&amp;number=&amp;sourceID=11","")</f>
        <v/>
      </c>
      <c r="L144" s="4" t="str">
        <f>HYPERLINK("http://141.218.60.56/~jnz1568/getInfo.php?workbook=07_01.xlsx&amp;sheet=A0&amp;row=144&amp;col=12&amp;number=&amp;sourceID=11","")</f>
        <v/>
      </c>
      <c r="M144" s="4" t="str">
        <f>HYPERLINK("http://141.218.60.56/~jnz1568/getInfo.php?workbook=07_01.xlsx&amp;sheet=A0&amp;row=144&amp;col=13&amp;number=0.00020841&amp;sourceID=12","0.00020841")</f>
        <v>0.00020841</v>
      </c>
      <c r="N144" s="4" t="str">
        <f>HYPERLINK("http://141.218.60.56/~jnz1568/getInfo.php?workbook=07_01.xlsx&amp;sheet=A0&amp;row=144&amp;col=14&amp;number=&amp;sourceID=12","")</f>
        <v/>
      </c>
      <c r="O144" s="4" t="str">
        <f>HYPERLINK("http://141.218.60.56/~jnz1568/getInfo.php?workbook=07_01.xlsx&amp;sheet=A0&amp;row=144&amp;col=15&amp;number=&amp;sourceID=12","")</f>
        <v/>
      </c>
      <c r="P144" s="4" t="str">
        <f>HYPERLINK("http://141.218.60.56/~jnz1568/getInfo.php?workbook=07_01.xlsx&amp;sheet=A0&amp;row=144&amp;col=16&amp;number=&amp;sourceID=12","")</f>
        <v/>
      </c>
      <c r="Q144" s="4" t="str">
        <f>HYPERLINK("http://141.218.60.56/~jnz1568/getInfo.php?workbook=07_01.xlsx&amp;sheet=A0&amp;row=144&amp;col=17&amp;number=0.00020841&amp;sourceID=12","0.00020841")</f>
        <v>0.00020841</v>
      </c>
      <c r="R144" s="4" t="str">
        <f>HYPERLINK("http://141.218.60.56/~jnz1568/getInfo.php?workbook=07_01.xlsx&amp;sheet=A0&amp;row=144&amp;col=18&amp;number=&amp;sourceID=12","")</f>
        <v/>
      </c>
      <c r="S144" s="4" t="str">
        <f>HYPERLINK("http://141.218.60.56/~jnz1568/getInfo.php?workbook=07_01.xlsx&amp;sheet=A0&amp;row=144&amp;col=19&amp;number=&amp;sourceID=12","")</f>
        <v/>
      </c>
      <c r="T144" s="4" t="str">
        <f>HYPERLINK("http://141.218.60.56/~jnz1568/getInfo.php?workbook=07_01.xlsx&amp;sheet=A0&amp;row=144&amp;col=20&amp;number==&amp;sourceID=30","=")</f>
        <v>=</v>
      </c>
      <c r="U144" s="4" t="str">
        <f>HYPERLINK("http://141.218.60.56/~jnz1568/getInfo.php?workbook=07_01.xlsx&amp;sheet=A0&amp;row=144&amp;col=21&amp;number=&amp;sourceID=30","")</f>
        <v/>
      </c>
      <c r="V144" s="4" t="str">
        <f>HYPERLINK("http://141.218.60.56/~jnz1568/getInfo.php?workbook=07_01.xlsx&amp;sheet=A0&amp;row=144&amp;col=22&amp;number=&amp;sourceID=30","")</f>
        <v/>
      </c>
      <c r="W144" s="4" t="str">
        <f>HYPERLINK("http://141.218.60.56/~jnz1568/getInfo.php?workbook=07_01.xlsx&amp;sheet=A0&amp;row=144&amp;col=23&amp;number=0.000207&amp;sourceID=30","0.000207")</f>
        <v>0.000207</v>
      </c>
      <c r="X144" s="4" t="str">
        <f>HYPERLINK("http://141.218.60.56/~jnz1568/getInfo.php?workbook=07_01.xlsx&amp;sheet=A0&amp;row=144&amp;col=24&amp;number=&amp;sourceID=30","")</f>
        <v/>
      </c>
      <c r="Y144" s="4" t="str">
        <f>HYPERLINK("http://141.218.60.56/~jnz1568/getInfo.php?workbook=07_01.xlsx&amp;sheet=A0&amp;row=144&amp;col=25&amp;number=&amp;sourceID=13","")</f>
        <v/>
      </c>
      <c r="Z144" s="4" t="str">
        <f>HYPERLINK("http://141.218.60.56/~jnz1568/getInfo.php?workbook=07_01.xlsx&amp;sheet=A0&amp;row=144&amp;col=26&amp;number=&amp;sourceID=13","")</f>
        <v/>
      </c>
      <c r="AA144" s="4" t="str">
        <f>HYPERLINK("http://141.218.60.56/~jnz1568/getInfo.php?workbook=07_01.xlsx&amp;sheet=A0&amp;row=144&amp;col=27&amp;number=&amp;sourceID=13","")</f>
        <v/>
      </c>
      <c r="AB144" s="4" t="str">
        <f>HYPERLINK("http://141.218.60.56/~jnz1568/getInfo.php?workbook=07_01.xlsx&amp;sheet=A0&amp;row=144&amp;col=28&amp;number=&amp;sourceID=13","")</f>
        <v/>
      </c>
      <c r="AC144" s="4" t="str">
        <f>HYPERLINK("http://141.218.60.56/~jnz1568/getInfo.php?workbook=07_01.xlsx&amp;sheet=A0&amp;row=144&amp;col=29&amp;number=&amp;sourceID=13","")</f>
        <v/>
      </c>
      <c r="AD144" s="4" t="str">
        <f>HYPERLINK("http://141.218.60.56/~jnz1568/getInfo.php?workbook=07_01.xlsx&amp;sheet=A0&amp;row=144&amp;col=30&amp;number=&amp;sourceID=13","")</f>
        <v/>
      </c>
    </row>
    <row r="145" spans="1:30">
      <c r="A145" s="3">
        <v>7</v>
      </c>
      <c r="B145" s="3">
        <v>1</v>
      </c>
      <c r="C145" s="3">
        <v>18</v>
      </c>
      <c r="D145" s="3">
        <v>12</v>
      </c>
      <c r="E145" s="3">
        <f>((1/(INDEX(E0!J$4:J$28,C145,1)-INDEX(E0!J$4:J$28,D145,1))))*100000000</f>
        <v>0</v>
      </c>
      <c r="F145" s="4" t="str">
        <f>HYPERLINK("http://141.218.60.56/~jnz1568/getInfo.php?workbook=07_01.xlsx&amp;sheet=A0&amp;row=145&amp;col=6&amp;number==&amp;sourceID=11","=")</f>
        <v>=</v>
      </c>
      <c r="G145" s="4" t="str">
        <f>HYPERLINK("http://141.218.60.56/~jnz1568/getInfo.php?workbook=07_01.xlsx&amp;sheet=A0&amp;row=145&amp;col=7&amp;number=&amp;sourceID=11","")</f>
        <v/>
      </c>
      <c r="H145" s="4" t="str">
        <f>HYPERLINK("http://141.218.60.56/~jnz1568/getInfo.php?workbook=07_01.xlsx&amp;sheet=A0&amp;row=145&amp;col=8&amp;number=15320&amp;sourceID=11","15320")</f>
        <v>15320</v>
      </c>
      <c r="I145" s="4" t="str">
        <f>HYPERLINK("http://141.218.60.56/~jnz1568/getInfo.php?workbook=07_01.xlsx&amp;sheet=A0&amp;row=145&amp;col=9&amp;number=&amp;sourceID=11","")</f>
        <v/>
      </c>
      <c r="J145" s="4" t="str">
        <f>HYPERLINK("http://141.218.60.56/~jnz1568/getInfo.php?workbook=07_01.xlsx&amp;sheet=A0&amp;row=145&amp;col=10&amp;number=2.2464e-07&amp;sourceID=11","2.2464e-07")</f>
        <v>2.2464e-07</v>
      </c>
      <c r="K145" s="4" t="str">
        <f>HYPERLINK("http://141.218.60.56/~jnz1568/getInfo.php?workbook=07_01.xlsx&amp;sheet=A0&amp;row=145&amp;col=11&amp;number=&amp;sourceID=11","")</f>
        <v/>
      </c>
      <c r="L145" s="4" t="str">
        <f>HYPERLINK("http://141.218.60.56/~jnz1568/getInfo.php?workbook=07_01.xlsx&amp;sheet=A0&amp;row=145&amp;col=12&amp;number=&amp;sourceID=11","")</f>
        <v/>
      </c>
      <c r="M145" s="4" t="str">
        <f>HYPERLINK("http://141.218.60.56/~jnz1568/getInfo.php?workbook=07_01.xlsx&amp;sheet=A0&amp;row=145&amp;col=13&amp;number=15320&amp;sourceID=12","15320")</f>
        <v>15320</v>
      </c>
      <c r="N145" s="4" t="str">
        <f>HYPERLINK("http://141.218.60.56/~jnz1568/getInfo.php?workbook=07_01.xlsx&amp;sheet=A0&amp;row=145&amp;col=14&amp;number=&amp;sourceID=12","")</f>
        <v/>
      </c>
      <c r="O145" s="4" t="str">
        <f>HYPERLINK("http://141.218.60.56/~jnz1568/getInfo.php?workbook=07_01.xlsx&amp;sheet=A0&amp;row=145&amp;col=15&amp;number=15320&amp;sourceID=12","15320")</f>
        <v>15320</v>
      </c>
      <c r="P145" s="4" t="str">
        <f>HYPERLINK("http://141.218.60.56/~jnz1568/getInfo.php?workbook=07_01.xlsx&amp;sheet=A0&amp;row=145&amp;col=16&amp;number=&amp;sourceID=12","")</f>
        <v/>
      </c>
      <c r="Q145" s="4" t="str">
        <f>HYPERLINK("http://141.218.60.56/~jnz1568/getInfo.php?workbook=07_01.xlsx&amp;sheet=A0&amp;row=145&amp;col=17&amp;number=2.2465e-07&amp;sourceID=12","2.2465e-07")</f>
        <v>2.2465e-07</v>
      </c>
      <c r="R145" s="4" t="str">
        <f>HYPERLINK("http://141.218.60.56/~jnz1568/getInfo.php?workbook=07_01.xlsx&amp;sheet=A0&amp;row=145&amp;col=18&amp;number=&amp;sourceID=12","")</f>
        <v/>
      </c>
      <c r="S145" s="4" t="str">
        <f>HYPERLINK("http://141.218.60.56/~jnz1568/getInfo.php?workbook=07_01.xlsx&amp;sheet=A0&amp;row=145&amp;col=19&amp;number=&amp;sourceID=12","")</f>
        <v/>
      </c>
      <c r="T145" s="4" t="str">
        <f>HYPERLINK("http://141.218.60.56/~jnz1568/getInfo.php?workbook=07_01.xlsx&amp;sheet=A0&amp;row=145&amp;col=20&amp;number==&amp;sourceID=30","=")</f>
        <v>=</v>
      </c>
      <c r="U145" s="4" t="str">
        <f>HYPERLINK("http://141.218.60.56/~jnz1568/getInfo.php?workbook=07_01.xlsx&amp;sheet=A0&amp;row=145&amp;col=21&amp;number=&amp;sourceID=30","")</f>
        <v/>
      </c>
      <c r="V145" s="4" t="str">
        <f>HYPERLINK("http://141.218.60.56/~jnz1568/getInfo.php?workbook=07_01.xlsx&amp;sheet=A0&amp;row=145&amp;col=22&amp;number=15320&amp;sourceID=30","15320")</f>
        <v>15320</v>
      </c>
      <c r="W145" s="4" t="str">
        <f>HYPERLINK("http://141.218.60.56/~jnz1568/getInfo.php?workbook=07_01.xlsx&amp;sheet=A0&amp;row=145&amp;col=23&amp;number=2.476e-07&amp;sourceID=30","2.476e-07")</f>
        <v>2.476e-07</v>
      </c>
      <c r="X145" s="4" t="str">
        <f>HYPERLINK("http://141.218.60.56/~jnz1568/getInfo.php?workbook=07_01.xlsx&amp;sheet=A0&amp;row=145&amp;col=24&amp;number=&amp;sourceID=30","")</f>
        <v/>
      </c>
      <c r="Y145" s="4" t="str">
        <f>HYPERLINK("http://141.218.60.56/~jnz1568/getInfo.php?workbook=07_01.xlsx&amp;sheet=A0&amp;row=145&amp;col=25&amp;number=&amp;sourceID=13","")</f>
        <v/>
      </c>
      <c r="Z145" s="4" t="str">
        <f>HYPERLINK("http://141.218.60.56/~jnz1568/getInfo.php?workbook=07_01.xlsx&amp;sheet=A0&amp;row=145&amp;col=26&amp;number=&amp;sourceID=13","")</f>
        <v/>
      </c>
      <c r="AA145" s="4" t="str">
        <f>HYPERLINK("http://141.218.60.56/~jnz1568/getInfo.php?workbook=07_01.xlsx&amp;sheet=A0&amp;row=145&amp;col=27&amp;number=&amp;sourceID=13","")</f>
        <v/>
      </c>
      <c r="AB145" s="4" t="str">
        <f>HYPERLINK("http://141.218.60.56/~jnz1568/getInfo.php?workbook=07_01.xlsx&amp;sheet=A0&amp;row=145&amp;col=28&amp;number=&amp;sourceID=13","")</f>
        <v/>
      </c>
      <c r="AC145" s="4" t="str">
        <f>HYPERLINK("http://141.218.60.56/~jnz1568/getInfo.php?workbook=07_01.xlsx&amp;sheet=A0&amp;row=145&amp;col=29&amp;number=&amp;sourceID=13","")</f>
        <v/>
      </c>
      <c r="AD145" s="4" t="str">
        <f>HYPERLINK("http://141.218.60.56/~jnz1568/getInfo.php?workbook=07_01.xlsx&amp;sheet=A0&amp;row=145&amp;col=30&amp;number=&amp;sourceID=13","")</f>
        <v/>
      </c>
    </row>
    <row r="146" spans="1:30">
      <c r="A146" s="3">
        <v>7</v>
      </c>
      <c r="B146" s="3">
        <v>1</v>
      </c>
      <c r="C146" s="3">
        <v>18</v>
      </c>
      <c r="D146" s="3">
        <v>13</v>
      </c>
      <c r="E146" s="3">
        <f>((1/(INDEX(E0!J$4:J$28,C146,1)-INDEX(E0!J$4:J$28,D146,1))))*100000000</f>
        <v>0</v>
      </c>
      <c r="F146" s="4" t="str">
        <f>HYPERLINK("http://141.218.60.56/~jnz1568/getInfo.php?workbook=07_01.xlsx&amp;sheet=A0&amp;row=146&amp;col=6&amp;number==&amp;sourceID=11","=")</f>
        <v>=</v>
      </c>
      <c r="G146" s="4" t="str">
        <f>HYPERLINK("http://141.218.60.56/~jnz1568/getInfo.php?workbook=07_01.xlsx&amp;sheet=A0&amp;row=146&amp;col=7&amp;number=1039000000&amp;sourceID=11","1039000000")</f>
        <v>1039000000</v>
      </c>
      <c r="H146" s="4" t="str">
        <f>HYPERLINK("http://141.218.60.56/~jnz1568/getInfo.php?workbook=07_01.xlsx&amp;sheet=A0&amp;row=146&amp;col=8&amp;number=&amp;sourceID=11","")</f>
        <v/>
      </c>
      <c r="I146" s="4" t="str">
        <f>HYPERLINK("http://141.218.60.56/~jnz1568/getInfo.php?workbook=07_01.xlsx&amp;sheet=A0&amp;row=146&amp;col=9&amp;number=&amp;sourceID=11","")</f>
        <v/>
      </c>
      <c r="J146" s="4" t="str">
        <f>HYPERLINK("http://141.218.60.56/~jnz1568/getInfo.php?workbook=07_01.xlsx&amp;sheet=A0&amp;row=146&amp;col=10&amp;number=&amp;sourceID=11","")</f>
        <v/>
      </c>
      <c r="K146" s="4" t="str">
        <f>HYPERLINK("http://141.218.60.56/~jnz1568/getInfo.php?workbook=07_01.xlsx&amp;sheet=A0&amp;row=146&amp;col=11&amp;number=0.16782&amp;sourceID=11","0.16782")</f>
        <v>0.16782</v>
      </c>
      <c r="L146" s="4" t="str">
        <f>HYPERLINK("http://141.218.60.56/~jnz1568/getInfo.php?workbook=07_01.xlsx&amp;sheet=A0&amp;row=146&amp;col=12&amp;number=&amp;sourceID=11","")</f>
        <v/>
      </c>
      <c r="M146" s="4" t="str">
        <f>HYPERLINK("http://141.218.60.56/~jnz1568/getInfo.php?workbook=07_01.xlsx&amp;sheet=A0&amp;row=146&amp;col=13&amp;number=1039100000&amp;sourceID=12","1039100000")</f>
        <v>1039100000</v>
      </c>
      <c r="N146" s="4" t="str">
        <f>HYPERLINK("http://141.218.60.56/~jnz1568/getInfo.php?workbook=07_01.xlsx&amp;sheet=A0&amp;row=146&amp;col=14&amp;number=1039100000&amp;sourceID=12","1039100000")</f>
        <v>1039100000</v>
      </c>
      <c r="O146" s="4" t="str">
        <f>HYPERLINK("http://141.218.60.56/~jnz1568/getInfo.php?workbook=07_01.xlsx&amp;sheet=A0&amp;row=146&amp;col=15&amp;number=&amp;sourceID=12","")</f>
        <v/>
      </c>
      <c r="P146" s="4" t="str">
        <f>HYPERLINK("http://141.218.60.56/~jnz1568/getInfo.php?workbook=07_01.xlsx&amp;sheet=A0&amp;row=146&amp;col=16&amp;number=&amp;sourceID=12","")</f>
        <v/>
      </c>
      <c r="Q146" s="4" t="str">
        <f>HYPERLINK("http://141.218.60.56/~jnz1568/getInfo.php?workbook=07_01.xlsx&amp;sheet=A0&amp;row=146&amp;col=17&amp;number=&amp;sourceID=12","")</f>
        <v/>
      </c>
      <c r="R146" s="4" t="str">
        <f>HYPERLINK("http://141.218.60.56/~jnz1568/getInfo.php?workbook=07_01.xlsx&amp;sheet=A0&amp;row=146&amp;col=18&amp;number=0.16783&amp;sourceID=12","0.16783")</f>
        <v>0.16783</v>
      </c>
      <c r="S146" s="4" t="str">
        <f>HYPERLINK("http://141.218.60.56/~jnz1568/getInfo.php?workbook=07_01.xlsx&amp;sheet=A0&amp;row=146&amp;col=19&amp;number=&amp;sourceID=12","")</f>
        <v/>
      </c>
      <c r="T146" s="4" t="str">
        <f>HYPERLINK("http://141.218.60.56/~jnz1568/getInfo.php?workbook=07_01.xlsx&amp;sheet=A0&amp;row=146&amp;col=20&amp;number==&amp;sourceID=30","=")</f>
        <v>=</v>
      </c>
      <c r="U146" s="4" t="str">
        <f>HYPERLINK("http://141.218.60.56/~jnz1568/getInfo.php?workbook=07_01.xlsx&amp;sheet=A0&amp;row=146&amp;col=21&amp;number=1039000000&amp;sourceID=30","1039000000")</f>
        <v>1039000000</v>
      </c>
      <c r="V146" s="4" t="str">
        <f>HYPERLINK("http://141.218.60.56/~jnz1568/getInfo.php?workbook=07_01.xlsx&amp;sheet=A0&amp;row=146&amp;col=22&amp;number=&amp;sourceID=30","")</f>
        <v/>
      </c>
      <c r="W146" s="4" t="str">
        <f>HYPERLINK("http://141.218.60.56/~jnz1568/getInfo.php?workbook=07_01.xlsx&amp;sheet=A0&amp;row=146&amp;col=23&amp;number=&amp;sourceID=30","")</f>
        <v/>
      </c>
      <c r="X146" s="4" t="str">
        <f>HYPERLINK("http://141.218.60.56/~jnz1568/getInfo.php?workbook=07_01.xlsx&amp;sheet=A0&amp;row=146&amp;col=24&amp;number=0.1678&amp;sourceID=30","0.1678")</f>
        <v>0.1678</v>
      </c>
      <c r="Y146" s="4" t="str">
        <f>HYPERLINK("http://141.218.60.56/~jnz1568/getInfo.php?workbook=07_01.xlsx&amp;sheet=A0&amp;row=146&amp;col=25&amp;number=&amp;sourceID=13","")</f>
        <v/>
      </c>
      <c r="Z146" s="4" t="str">
        <f>HYPERLINK("http://141.218.60.56/~jnz1568/getInfo.php?workbook=07_01.xlsx&amp;sheet=A0&amp;row=146&amp;col=26&amp;number=&amp;sourceID=13","")</f>
        <v/>
      </c>
      <c r="AA146" s="4" t="str">
        <f>HYPERLINK("http://141.218.60.56/~jnz1568/getInfo.php?workbook=07_01.xlsx&amp;sheet=A0&amp;row=146&amp;col=27&amp;number=&amp;sourceID=13","")</f>
        <v/>
      </c>
      <c r="AB146" s="4" t="str">
        <f>HYPERLINK("http://141.218.60.56/~jnz1568/getInfo.php?workbook=07_01.xlsx&amp;sheet=A0&amp;row=146&amp;col=28&amp;number=&amp;sourceID=13","")</f>
        <v/>
      </c>
      <c r="AC146" s="4" t="str">
        <f>HYPERLINK("http://141.218.60.56/~jnz1568/getInfo.php?workbook=07_01.xlsx&amp;sheet=A0&amp;row=146&amp;col=29&amp;number=&amp;sourceID=13","")</f>
        <v/>
      </c>
      <c r="AD146" s="4" t="str">
        <f>HYPERLINK("http://141.218.60.56/~jnz1568/getInfo.php?workbook=07_01.xlsx&amp;sheet=A0&amp;row=146&amp;col=30&amp;number=&amp;sourceID=13","")</f>
        <v/>
      </c>
    </row>
    <row r="147" spans="1:30">
      <c r="A147" s="3">
        <v>7</v>
      </c>
      <c r="B147" s="3">
        <v>1</v>
      </c>
      <c r="C147" s="3">
        <v>18</v>
      </c>
      <c r="D147" s="3">
        <v>14</v>
      </c>
      <c r="E147" s="3">
        <f>((1/(INDEX(E0!J$4:J$28,C147,1)-INDEX(E0!J$4:J$28,D147,1))))*100000000</f>
        <v>0</v>
      </c>
      <c r="F147" s="4" t="str">
        <f>HYPERLINK("http://141.218.60.56/~jnz1568/getInfo.php?workbook=07_01.xlsx&amp;sheet=A0&amp;row=147&amp;col=6&amp;number==&amp;sourceID=11","=")</f>
        <v>=</v>
      </c>
      <c r="G147" s="4" t="str">
        <f>HYPERLINK("http://141.218.60.56/~jnz1568/getInfo.php?workbook=07_01.xlsx&amp;sheet=A0&amp;row=147&amp;col=7&amp;number=&amp;sourceID=11","")</f>
        <v/>
      </c>
      <c r="H147" s="4" t="str">
        <f>HYPERLINK("http://141.218.60.56/~jnz1568/getInfo.php?workbook=07_01.xlsx&amp;sheet=A0&amp;row=147&amp;col=8&amp;number=&amp;sourceID=11","")</f>
        <v/>
      </c>
      <c r="I147" s="4" t="str">
        <f>HYPERLINK("http://141.218.60.56/~jnz1568/getInfo.php?workbook=07_01.xlsx&amp;sheet=A0&amp;row=147&amp;col=9&amp;number=0.078896&amp;sourceID=11","0.078896")</f>
        <v>0.078896</v>
      </c>
      <c r="J147" s="4" t="str">
        <f>HYPERLINK("http://141.218.60.56/~jnz1568/getInfo.php?workbook=07_01.xlsx&amp;sheet=A0&amp;row=147&amp;col=10&amp;number=&amp;sourceID=11","")</f>
        <v/>
      </c>
      <c r="K147" s="4" t="str">
        <f>HYPERLINK("http://141.218.60.56/~jnz1568/getInfo.php?workbook=07_01.xlsx&amp;sheet=A0&amp;row=147&amp;col=11&amp;number=1.38e-13&amp;sourceID=11","1.38e-13")</f>
        <v>1.38e-13</v>
      </c>
      <c r="L147" s="4" t="str">
        <f>HYPERLINK("http://141.218.60.56/~jnz1568/getInfo.php?workbook=07_01.xlsx&amp;sheet=A0&amp;row=147&amp;col=12&amp;number=&amp;sourceID=11","")</f>
        <v/>
      </c>
      <c r="M147" s="4" t="str">
        <f>HYPERLINK("http://141.218.60.56/~jnz1568/getInfo.php?workbook=07_01.xlsx&amp;sheet=A0&amp;row=147&amp;col=13&amp;number=0.078899&amp;sourceID=12","0.078899")</f>
        <v>0.078899</v>
      </c>
      <c r="N147" s="4" t="str">
        <f>HYPERLINK("http://141.218.60.56/~jnz1568/getInfo.php?workbook=07_01.xlsx&amp;sheet=A0&amp;row=147&amp;col=14&amp;number=&amp;sourceID=12","")</f>
        <v/>
      </c>
      <c r="O147" s="4" t="str">
        <f>HYPERLINK("http://141.218.60.56/~jnz1568/getInfo.php?workbook=07_01.xlsx&amp;sheet=A0&amp;row=147&amp;col=15&amp;number=&amp;sourceID=12","")</f>
        <v/>
      </c>
      <c r="P147" s="4" t="str">
        <f>HYPERLINK("http://141.218.60.56/~jnz1568/getInfo.php?workbook=07_01.xlsx&amp;sheet=A0&amp;row=147&amp;col=16&amp;number=0.078899&amp;sourceID=12","0.078899")</f>
        <v>0.078899</v>
      </c>
      <c r="Q147" s="4" t="str">
        <f>HYPERLINK("http://141.218.60.56/~jnz1568/getInfo.php?workbook=07_01.xlsx&amp;sheet=A0&amp;row=147&amp;col=17&amp;number=&amp;sourceID=12","")</f>
        <v/>
      </c>
      <c r="R147" s="4" t="str">
        <f>HYPERLINK("http://141.218.60.56/~jnz1568/getInfo.php?workbook=07_01.xlsx&amp;sheet=A0&amp;row=147&amp;col=18&amp;number=1.38e-13&amp;sourceID=12","1.38e-13")</f>
        <v>1.38e-13</v>
      </c>
      <c r="S147" s="4" t="str">
        <f>HYPERLINK("http://141.218.60.56/~jnz1568/getInfo.php?workbook=07_01.xlsx&amp;sheet=A0&amp;row=147&amp;col=19&amp;number=&amp;sourceID=12","")</f>
        <v/>
      </c>
      <c r="T147" s="4" t="str">
        <f>HYPERLINK("http://141.218.60.56/~jnz1568/getInfo.php?workbook=07_01.xlsx&amp;sheet=A0&amp;row=147&amp;col=20&amp;number==&amp;sourceID=30","=")</f>
        <v>=</v>
      </c>
      <c r="U147" s="4" t="str">
        <f>HYPERLINK("http://141.218.60.56/~jnz1568/getInfo.php?workbook=07_01.xlsx&amp;sheet=A0&amp;row=147&amp;col=21&amp;number=&amp;sourceID=30","")</f>
        <v/>
      </c>
      <c r="V147" s="4" t="str">
        <f>HYPERLINK("http://141.218.60.56/~jnz1568/getInfo.php?workbook=07_01.xlsx&amp;sheet=A0&amp;row=147&amp;col=22&amp;number=&amp;sourceID=30","")</f>
        <v/>
      </c>
      <c r="W147" s="4" t="str">
        <f>HYPERLINK("http://141.218.60.56/~jnz1568/getInfo.php?workbook=07_01.xlsx&amp;sheet=A0&amp;row=147&amp;col=23&amp;number=&amp;sourceID=30","")</f>
        <v/>
      </c>
      <c r="X147" s="4" t="str">
        <f>HYPERLINK("http://141.218.60.56/~jnz1568/getInfo.php?workbook=07_01.xlsx&amp;sheet=A0&amp;row=147&amp;col=24&amp;number=2.06e-13&amp;sourceID=30","2.06e-13")</f>
        <v>2.06e-13</v>
      </c>
      <c r="Y147" s="4" t="str">
        <f>HYPERLINK("http://141.218.60.56/~jnz1568/getInfo.php?workbook=07_01.xlsx&amp;sheet=A0&amp;row=147&amp;col=25&amp;number=&amp;sourceID=13","")</f>
        <v/>
      </c>
      <c r="Z147" s="4" t="str">
        <f>HYPERLINK("http://141.218.60.56/~jnz1568/getInfo.php?workbook=07_01.xlsx&amp;sheet=A0&amp;row=147&amp;col=26&amp;number=&amp;sourceID=13","")</f>
        <v/>
      </c>
      <c r="AA147" s="4" t="str">
        <f>HYPERLINK("http://141.218.60.56/~jnz1568/getInfo.php?workbook=07_01.xlsx&amp;sheet=A0&amp;row=147&amp;col=27&amp;number=&amp;sourceID=13","")</f>
        <v/>
      </c>
      <c r="AB147" s="4" t="str">
        <f>HYPERLINK("http://141.218.60.56/~jnz1568/getInfo.php?workbook=07_01.xlsx&amp;sheet=A0&amp;row=147&amp;col=28&amp;number=&amp;sourceID=13","")</f>
        <v/>
      </c>
      <c r="AC147" s="4" t="str">
        <f>HYPERLINK("http://141.218.60.56/~jnz1568/getInfo.php?workbook=07_01.xlsx&amp;sheet=A0&amp;row=147&amp;col=29&amp;number=&amp;sourceID=13","")</f>
        <v/>
      </c>
      <c r="AD147" s="4" t="str">
        <f>HYPERLINK("http://141.218.60.56/~jnz1568/getInfo.php?workbook=07_01.xlsx&amp;sheet=A0&amp;row=147&amp;col=30&amp;number=&amp;sourceID=13","")</f>
        <v/>
      </c>
    </row>
    <row r="148" spans="1:30">
      <c r="A148" s="3">
        <v>7</v>
      </c>
      <c r="B148" s="3">
        <v>1</v>
      </c>
      <c r="C148" s="3">
        <v>18</v>
      </c>
      <c r="D148" s="3">
        <v>15</v>
      </c>
      <c r="E148" s="3">
        <f>((1/(INDEX(E0!J$4:J$28,C148,1)-INDEX(E0!J$4:J$28,D148,1))))*100000000</f>
        <v>0</v>
      </c>
      <c r="F148" s="4" t="str">
        <f>HYPERLINK("http://141.218.60.56/~jnz1568/getInfo.php?workbook=07_01.xlsx&amp;sheet=A0&amp;row=148&amp;col=6&amp;number==&amp;sourceID=11","=")</f>
        <v>=</v>
      </c>
      <c r="G148" s="4" t="str">
        <f>HYPERLINK("http://141.218.60.56/~jnz1568/getInfo.php?workbook=07_01.xlsx&amp;sheet=A0&amp;row=148&amp;col=7&amp;number=&amp;sourceID=11","")</f>
        <v/>
      </c>
      <c r="H148" s="4" t="str">
        <f>HYPERLINK("http://141.218.60.56/~jnz1568/getInfo.php?workbook=07_01.xlsx&amp;sheet=A0&amp;row=148&amp;col=8&amp;number=22984&amp;sourceID=11","22984")</f>
        <v>22984</v>
      </c>
      <c r="I148" s="4" t="str">
        <f>HYPERLINK("http://141.218.60.56/~jnz1568/getInfo.php?workbook=07_01.xlsx&amp;sheet=A0&amp;row=148&amp;col=9&amp;number=&amp;sourceID=11","")</f>
        <v/>
      </c>
      <c r="J148" s="4" t="str">
        <f>HYPERLINK("http://141.218.60.56/~jnz1568/getInfo.php?workbook=07_01.xlsx&amp;sheet=A0&amp;row=148&amp;col=10&amp;number=&amp;sourceID=11","")</f>
        <v/>
      </c>
      <c r="K148" s="4" t="str">
        <f>HYPERLINK("http://141.218.60.56/~jnz1568/getInfo.php?workbook=07_01.xlsx&amp;sheet=A0&amp;row=148&amp;col=11&amp;number=&amp;sourceID=11","")</f>
        <v/>
      </c>
      <c r="L148" s="4" t="str">
        <f>HYPERLINK("http://141.218.60.56/~jnz1568/getInfo.php?workbook=07_01.xlsx&amp;sheet=A0&amp;row=148&amp;col=12&amp;number=4.3968e-06&amp;sourceID=11","4.3968e-06")</f>
        <v>4.3968e-06</v>
      </c>
      <c r="M148" s="4" t="str">
        <f>HYPERLINK("http://141.218.60.56/~jnz1568/getInfo.php?workbook=07_01.xlsx&amp;sheet=A0&amp;row=148&amp;col=13&amp;number=22985&amp;sourceID=12","22985")</f>
        <v>22985</v>
      </c>
      <c r="N148" s="4" t="str">
        <f>HYPERLINK("http://141.218.60.56/~jnz1568/getInfo.php?workbook=07_01.xlsx&amp;sheet=A0&amp;row=148&amp;col=14&amp;number=&amp;sourceID=12","")</f>
        <v/>
      </c>
      <c r="O148" s="4" t="str">
        <f>HYPERLINK("http://141.218.60.56/~jnz1568/getInfo.php?workbook=07_01.xlsx&amp;sheet=A0&amp;row=148&amp;col=15&amp;number=22985&amp;sourceID=12","22985")</f>
        <v>22985</v>
      </c>
      <c r="P148" s="4" t="str">
        <f>HYPERLINK("http://141.218.60.56/~jnz1568/getInfo.php?workbook=07_01.xlsx&amp;sheet=A0&amp;row=148&amp;col=16&amp;number=&amp;sourceID=12","")</f>
        <v/>
      </c>
      <c r="Q148" s="4" t="str">
        <f>HYPERLINK("http://141.218.60.56/~jnz1568/getInfo.php?workbook=07_01.xlsx&amp;sheet=A0&amp;row=148&amp;col=17&amp;number=&amp;sourceID=12","")</f>
        <v/>
      </c>
      <c r="R148" s="4" t="str">
        <f>HYPERLINK("http://141.218.60.56/~jnz1568/getInfo.php?workbook=07_01.xlsx&amp;sheet=A0&amp;row=148&amp;col=18&amp;number=&amp;sourceID=12","")</f>
        <v/>
      </c>
      <c r="S148" s="4" t="str">
        <f>HYPERLINK("http://141.218.60.56/~jnz1568/getInfo.php?workbook=07_01.xlsx&amp;sheet=A0&amp;row=148&amp;col=19&amp;number=4.397e-06&amp;sourceID=12","4.397e-06")</f>
        <v>4.397e-06</v>
      </c>
      <c r="T148" s="4" t="str">
        <f>HYPERLINK("http://141.218.60.56/~jnz1568/getInfo.php?workbook=07_01.xlsx&amp;sheet=A0&amp;row=148&amp;col=20&amp;number==&amp;sourceID=30","=")</f>
        <v>=</v>
      </c>
      <c r="U148" s="4" t="str">
        <f>HYPERLINK("http://141.218.60.56/~jnz1568/getInfo.php?workbook=07_01.xlsx&amp;sheet=A0&amp;row=148&amp;col=21&amp;number=&amp;sourceID=30","")</f>
        <v/>
      </c>
      <c r="V148" s="4" t="str">
        <f>HYPERLINK("http://141.218.60.56/~jnz1568/getInfo.php?workbook=07_01.xlsx&amp;sheet=A0&amp;row=148&amp;col=22&amp;number=22980&amp;sourceID=30","22980")</f>
        <v>22980</v>
      </c>
      <c r="W148" s="4" t="str">
        <f>HYPERLINK("http://141.218.60.56/~jnz1568/getInfo.php?workbook=07_01.xlsx&amp;sheet=A0&amp;row=148&amp;col=23&amp;number=&amp;sourceID=30","")</f>
        <v/>
      </c>
      <c r="X148" s="4" t="str">
        <f>HYPERLINK("http://141.218.60.56/~jnz1568/getInfo.php?workbook=07_01.xlsx&amp;sheet=A0&amp;row=148&amp;col=24&amp;number=&amp;sourceID=30","")</f>
        <v/>
      </c>
      <c r="Y148" s="4" t="str">
        <f>HYPERLINK("http://141.218.60.56/~jnz1568/getInfo.php?workbook=07_01.xlsx&amp;sheet=A0&amp;row=148&amp;col=25&amp;number=&amp;sourceID=13","")</f>
        <v/>
      </c>
      <c r="Z148" s="4" t="str">
        <f>HYPERLINK("http://141.218.60.56/~jnz1568/getInfo.php?workbook=07_01.xlsx&amp;sheet=A0&amp;row=148&amp;col=26&amp;number=&amp;sourceID=13","")</f>
        <v/>
      </c>
      <c r="AA148" s="4" t="str">
        <f>HYPERLINK("http://141.218.60.56/~jnz1568/getInfo.php?workbook=07_01.xlsx&amp;sheet=A0&amp;row=148&amp;col=27&amp;number=&amp;sourceID=13","")</f>
        <v/>
      </c>
      <c r="AB148" s="4" t="str">
        <f>HYPERLINK("http://141.218.60.56/~jnz1568/getInfo.php?workbook=07_01.xlsx&amp;sheet=A0&amp;row=148&amp;col=28&amp;number=&amp;sourceID=13","")</f>
        <v/>
      </c>
      <c r="AC148" s="4" t="str">
        <f>HYPERLINK("http://141.218.60.56/~jnz1568/getInfo.php?workbook=07_01.xlsx&amp;sheet=A0&amp;row=148&amp;col=29&amp;number=&amp;sourceID=13","")</f>
        <v/>
      </c>
      <c r="AD148" s="4" t="str">
        <f>HYPERLINK("http://141.218.60.56/~jnz1568/getInfo.php?workbook=07_01.xlsx&amp;sheet=A0&amp;row=148&amp;col=30&amp;number=&amp;sourceID=13","")</f>
        <v/>
      </c>
    </row>
    <row r="149" spans="1:30">
      <c r="A149" s="3">
        <v>7</v>
      </c>
      <c r="B149" s="3">
        <v>1</v>
      </c>
      <c r="C149" s="3">
        <v>18</v>
      </c>
      <c r="D149" s="3">
        <v>16</v>
      </c>
      <c r="E149" s="3">
        <f>((1/(INDEX(E0!J$4:J$28,C149,1)-INDEX(E0!J$4:J$28,D149,1))))*100000000</f>
        <v>0</v>
      </c>
      <c r="F149" s="4" t="str">
        <f>HYPERLINK("http://141.218.60.56/~jnz1568/getInfo.php?workbook=07_01.xlsx&amp;sheet=A0&amp;row=149&amp;col=6&amp;number==&amp;sourceID=11","=")</f>
        <v>=</v>
      </c>
      <c r="G149" s="4" t="str">
        <f>HYPERLINK("http://141.218.60.56/~jnz1568/getInfo.php?workbook=07_01.xlsx&amp;sheet=A0&amp;row=149&amp;col=7&amp;number=&amp;sourceID=11","")</f>
        <v/>
      </c>
      <c r="H149" s="4" t="str">
        <f>HYPERLINK("http://141.218.60.56/~jnz1568/getInfo.php?workbook=07_01.xlsx&amp;sheet=A0&amp;row=149&amp;col=8&amp;number=&amp;sourceID=11","")</f>
        <v/>
      </c>
      <c r="I149" s="4" t="str">
        <f>HYPERLINK("http://141.218.60.56/~jnz1568/getInfo.php?workbook=07_01.xlsx&amp;sheet=A0&amp;row=149&amp;col=9&amp;number=0.10517&amp;sourceID=11","0.10517")</f>
        <v>0.10517</v>
      </c>
      <c r="J149" s="4" t="str">
        <f>HYPERLINK("http://141.218.60.56/~jnz1568/getInfo.php?workbook=07_01.xlsx&amp;sheet=A0&amp;row=149&amp;col=10&amp;number=&amp;sourceID=11","")</f>
        <v/>
      </c>
      <c r="K149" s="4" t="str">
        <f>HYPERLINK("http://141.218.60.56/~jnz1568/getInfo.php?workbook=07_01.xlsx&amp;sheet=A0&amp;row=149&amp;col=11&amp;number=&amp;sourceID=11","")</f>
        <v/>
      </c>
      <c r="L149" s="4" t="str">
        <f>HYPERLINK("http://141.218.60.56/~jnz1568/getInfo.php?workbook=07_01.xlsx&amp;sheet=A0&amp;row=149&amp;col=12&amp;number=&amp;sourceID=11","")</f>
        <v/>
      </c>
      <c r="M149" s="4" t="str">
        <f>HYPERLINK("http://141.218.60.56/~jnz1568/getInfo.php?workbook=07_01.xlsx&amp;sheet=A0&amp;row=149&amp;col=13&amp;number=0.10517&amp;sourceID=12","0.10517")</f>
        <v>0.10517</v>
      </c>
      <c r="N149" s="4" t="str">
        <f>HYPERLINK("http://141.218.60.56/~jnz1568/getInfo.php?workbook=07_01.xlsx&amp;sheet=A0&amp;row=149&amp;col=14&amp;number=&amp;sourceID=12","")</f>
        <v/>
      </c>
      <c r="O149" s="4" t="str">
        <f>HYPERLINK("http://141.218.60.56/~jnz1568/getInfo.php?workbook=07_01.xlsx&amp;sheet=A0&amp;row=149&amp;col=15&amp;number=&amp;sourceID=12","")</f>
        <v/>
      </c>
      <c r="P149" s="4" t="str">
        <f>HYPERLINK("http://141.218.60.56/~jnz1568/getInfo.php?workbook=07_01.xlsx&amp;sheet=A0&amp;row=149&amp;col=16&amp;number=0.10517&amp;sourceID=12","0.10517")</f>
        <v>0.10517</v>
      </c>
      <c r="Q149" s="4" t="str">
        <f>HYPERLINK("http://141.218.60.56/~jnz1568/getInfo.php?workbook=07_01.xlsx&amp;sheet=A0&amp;row=149&amp;col=17&amp;number=&amp;sourceID=12","")</f>
        <v/>
      </c>
      <c r="R149" s="4" t="str">
        <f>HYPERLINK("http://141.218.60.56/~jnz1568/getInfo.php?workbook=07_01.xlsx&amp;sheet=A0&amp;row=149&amp;col=18&amp;number=&amp;sourceID=12","")</f>
        <v/>
      </c>
      <c r="S149" s="4" t="str">
        <f>HYPERLINK("http://141.218.60.56/~jnz1568/getInfo.php?workbook=07_01.xlsx&amp;sheet=A0&amp;row=149&amp;col=19&amp;number=&amp;sourceID=12","")</f>
        <v/>
      </c>
      <c r="T149" s="4" t="str">
        <f>HYPERLINK("http://141.218.60.56/~jnz1568/getInfo.php?workbook=07_01.xlsx&amp;sheet=A0&amp;row=149&amp;col=20&amp;number=&amp;sourceID=30","")</f>
        <v/>
      </c>
      <c r="U149" s="4" t="str">
        <f>HYPERLINK("http://141.218.60.56/~jnz1568/getInfo.php?workbook=07_01.xlsx&amp;sheet=A0&amp;row=149&amp;col=21&amp;number=&amp;sourceID=30","")</f>
        <v/>
      </c>
      <c r="V149" s="4" t="str">
        <f>HYPERLINK("http://141.218.60.56/~jnz1568/getInfo.php?workbook=07_01.xlsx&amp;sheet=A0&amp;row=149&amp;col=22&amp;number=&amp;sourceID=30","")</f>
        <v/>
      </c>
      <c r="W149" s="4" t="str">
        <f>HYPERLINK("http://141.218.60.56/~jnz1568/getInfo.php?workbook=07_01.xlsx&amp;sheet=A0&amp;row=149&amp;col=23&amp;number=&amp;sourceID=30","")</f>
        <v/>
      </c>
      <c r="X149" s="4" t="str">
        <f>HYPERLINK("http://141.218.60.56/~jnz1568/getInfo.php?workbook=07_01.xlsx&amp;sheet=A0&amp;row=149&amp;col=24&amp;number=&amp;sourceID=30","")</f>
        <v/>
      </c>
      <c r="Y149" s="4" t="str">
        <f>HYPERLINK("http://141.218.60.56/~jnz1568/getInfo.php?workbook=07_01.xlsx&amp;sheet=A0&amp;row=149&amp;col=25&amp;number=&amp;sourceID=13","")</f>
        <v/>
      </c>
      <c r="Z149" s="4" t="str">
        <f>HYPERLINK("http://141.218.60.56/~jnz1568/getInfo.php?workbook=07_01.xlsx&amp;sheet=A0&amp;row=149&amp;col=26&amp;number=&amp;sourceID=13","")</f>
        <v/>
      </c>
      <c r="AA149" s="4" t="str">
        <f>HYPERLINK("http://141.218.60.56/~jnz1568/getInfo.php?workbook=07_01.xlsx&amp;sheet=A0&amp;row=149&amp;col=27&amp;number=&amp;sourceID=13","")</f>
        <v/>
      </c>
      <c r="AB149" s="4" t="str">
        <f>HYPERLINK("http://141.218.60.56/~jnz1568/getInfo.php?workbook=07_01.xlsx&amp;sheet=A0&amp;row=149&amp;col=28&amp;number=&amp;sourceID=13","")</f>
        <v/>
      </c>
      <c r="AC149" s="4" t="str">
        <f>HYPERLINK("http://141.218.60.56/~jnz1568/getInfo.php?workbook=07_01.xlsx&amp;sheet=A0&amp;row=149&amp;col=29&amp;number=&amp;sourceID=13","")</f>
        <v/>
      </c>
      <c r="AD149" s="4" t="str">
        <f>HYPERLINK("http://141.218.60.56/~jnz1568/getInfo.php?workbook=07_01.xlsx&amp;sheet=A0&amp;row=149&amp;col=30&amp;number=&amp;sourceID=13","")</f>
        <v/>
      </c>
    </row>
    <row r="150" spans="1:30">
      <c r="A150" s="3">
        <v>7</v>
      </c>
      <c r="B150" s="3">
        <v>1</v>
      </c>
      <c r="C150" s="3">
        <v>19</v>
      </c>
      <c r="D150" s="3">
        <v>1</v>
      </c>
      <c r="E150" s="3">
        <f>((1/(INDEX(E0!J$4:J$28,C150,1)-INDEX(E0!J$4:J$28,D150,1))))*100000000</f>
        <v>0</v>
      </c>
      <c r="F150" s="4" t="str">
        <f>HYPERLINK("http://141.218.60.56/~jnz1568/getInfo.php?workbook=07_01.xlsx&amp;sheet=A0&amp;row=150&amp;col=6&amp;number==&amp;sourceID=11","=")</f>
        <v>=</v>
      </c>
      <c r="G150" s="4" t="str">
        <f>HYPERLINK("http://141.218.60.56/~jnz1568/getInfo.php?workbook=07_01.xlsx&amp;sheet=A0&amp;row=150&amp;col=7&amp;number=&amp;sourceID=11","")</f>
        <v/>
      </c>
      <c r="H150" s="4" t="str">
        <f>HYPERLINK("http://141.218.60.56/~jnz1568/getInfo.php?workbook=07_01.xlsx&amp;sheet=A0&amp;row=150&amp;col=8&amp;number=21701000&amp;sourceID=11","21701000")</f>
        <v>21701000</v>
      </c>
      <c r="I150" s="4" t="str">
        <f>HYPERLINK("http://141.218.60.56/~jnz1568/getInfo.php?workbook=07_01.xlsx&amp;sheet=A0&amp;row=150&amp;col=9&amp;number=&amp;sourceID=11","")</f>
        <v/>
      </c>
      <c r="J150" s="4" t="str">
        <f>HYPERLINK("http://141.218.60.56/~jnz1568/getInfo.php?workbook=07_01.xlsx&amp;sheet=A0&amp;row=150&amp;col=10&amp;number=0.72939&amp;sourceID=11","0.72939")</f>
        <v>0.72939</v>
      </c>
      <c r="K150" s="4" t="str">
        <f>HYPERLINK("http://141.218.60.56/~jnz1568/getInfo.php?workbook=07_01.xlsx&amp;sheet=A0&amp;row=150&amp;col=11&amp;number=&amp;sourceID=11","")</f>
        <v/>
      </c>
      <c r="L150" s="4" t="str">
        <f>HYPERLINK("http://141.218.60.56/~jnz1568/getInfo.php?workbook=07_01.xlsx&amp;sheet=A0&amp;row=150&amp;col=12&amp;number=&amp;sourceID=11","")</f>
        <v/>
      </c>
      <c r="M150" s="4" t="str">
        <f>HYPERLINK("http://141.218.60.56/~jnz1568/getInfo.php?workbook=07_01.xlsx&amp;sheet=A0&amp;row=150&amp;col=13&amp;number=21702000&amp;sourceID=12","21702000")</f>
        <v>21702000</v>
      </c>
      <c r="N150" s="4" t="str">
        <f>HYPERLINK("http://141.218.60.56/~jnz1568/getInfo.php?workbook=07_01.xlsx&amp;sheet=A0&amp;row=150&amp;col=14&amp;number=&amp;sourceID=12","")</f>
        <v/>
      </c>
      <c r="O150" s="4" t="str">
        <f>HYPERLINK("http://141.218.60.56/~jnz1568/getInfo.php?workbook=07_01.xlsx&amp;sheet=A0&amp;row=150&amp;col=15&amp;number=21702000&amp;sourceID=12","21702000")</f>
        <v>21702000</v>
      </c>
      <c r="P150" s="4" t="str">
        <f>HYPERLINK("http://141.218.60.56/~jnz1568/getInfo.php?workbook=07_01.xlsx&amp;sheet=A0&amp;row=150&amp;col=16&amp;number=&amp;sourceID=12","")</f>
        <v/>
      </c>
      <c r="Q150" s="4" t="str">
        <f>HYPERLINK("http://141.218.60.56/~jnz1568/getInfo.php?workbook=07_01.xlsx&amp;sheet=A0&amp;row=150&amp;col=17&amp;number=0.72954&amp;sourceID=12","0.72954")</f>
        <v>0.72954</v>
      </c>
      <c r="R150" s="4" t="str">
        <f>HYPERLINK("http://141.218.60.56/~jnz1568/getInfo.php?workbook=07_01.xlsx&amp;sheet=A0&amp;row=150&amp;col=18&amp;number=&amp;sourceID=12","")</f>
        <v/>
      </c>
      <c r="S150" s="4" t="str">
        <f>HYPERLINK("http://141.218.60.56/~jnz1568/getInfo.php?workbook=07_01.xlsx&amp;sheet=A0&amp;row=150&amp;col=19&amp;number=&amp;sourceID=12","")</f>
        <v/>
      </c>
      <c r="T150" s="4" t="str">
        <f>HYPERLINK("http://141.218.60.56/~jnz1568/getInfo.php?workbook=07_01.xlsx&amp;sheet=A0&amp;row=150&amp;col=20&amp;number==SUM(U150:X150)&amp;sourceID=30","=SUM(U150:X150)")</f>
        <v>=SUM(U150:X150)</v>
      </c>
      <c r="U150" s="4" t="str">
        <f>HYPERLINK("http://141.218.60.56/~jnz1568/getInfo.php?workbook=07_01.xlsx&amp;sheet=A0&amp;row=150&amp;col=21&amp;number=&amp;sourceID=30","")</f>
        <v/>
      </c>
      <c r="V150" s="4" t="str">
        <f>HYPERLINK("http://141.218.60.56/~jnz1568/getInfo.php?workbook=07_01.xlsx&amp;sheet=A0&amp;row=150&amp;col=22&amp;number=21700000&amp;sourceID=30","21700000")</f>
        <v>21700000</v>
      </c>
      <c r="W150" s="4" t="str">
        <f>HYPERLINK("http://141.218.60.56/~jnz1568/getInfo.php?workbook=07_01.xlsx&amp;sheet=A0&amp;row=150&amp;col=23&amp;number=0.7294&amp;sourceID=30","0.7294")</f>
        <v>0.7294</v>
      </c>
      <c r="X150" s="4" t="str">
        <f>HYPERLINK("http://141.218.60.56/~jnz1568/getInfo.php?workbook=07_01.xlsx&amp;sheet=A0&amp;row=150&amp;col=24&amp;number=&amp;sourceID=30","")</f>
        <v/>
      </c>
      <c r="Y150" s="4" t="str">
        <f>HYPERLINK("http://141.218.60.56/~jnz1568/getInfo.php?workbook=07_01.xlsx&amp;sheet=A0&amp;row=150&amp;col=25&amp;number=&amp;sourceID=13","")</f>
        <v/>
      </c>
      <c r="Z150" s="4" t="str">
        <f>HYPERLINK("http://141.218.60.56/~jnz1568/getInfo.php?workbook=07_01.xlsx&amp;sheet=A0&amp;row=150&amp;col=26&amp;number=&amp;sourceID=13","")</f>
        <v/>
      </c>
      <c r="AA150" s="4" t="str">
        <f>HYPERLINK("http://141.218.60.56/~jnz1568/getInfo.php?workbook=07_01.xlsx&amp;sheet=A0&amp;row=150&amp;col=27&amp;number=&amp;sourceID=13","")</f>
        <v/>
      </c>
      <c r="AB150" s="4" t="str">
        <f>HYPERLINK("http://141.218.60.56/~jnz1568/getInfo.php?workbook=07_01.xlsx&amp;sheet=A0&amp;row=150&amp;col=28&amp;number=&amp;sourceID=13","")</f>
        <v/>
      </c>
      <c r="AC150" s="4" t="str">
        <f>HYPERLINK("http://141.218.60.56/~jnz1568/getInfo.php?workbook=07_01.xlsx&amp;sheet=A0&amp;row=150&amp;col=29&amp;number=&amp;sourceID=13","")</f>
        <v/>
      </c>
      <c r="AD150" s="4" t="str">
        <f>HYPERLINK("http://141.218.60.56/~jnz1568/getInfo.php?workbook=07_01.xlsx&amp;sheet=A0&amp;row=150&amp;col=30&amp;number=&amp;sourceID=13","")</f>
        <v/>
      </c>
    </row>
    <row r="151" spans="1:30">
      <c r="A151" s="3">
        <v>7</v>
      </c>
      <c r="B151" s="3">
        <v>1</v>
      </c>
      <c r="C151" s="3">
        <v>19</v>
      </c>
      <c r="D151" s="3">
        <v>2</v>
      </c>
      <c r="E151" s="3">
        <f>((1/(INDEX(E0!J$4:J$28,C151,1)-INDEX(E0!J$4:J$28,D151,1))))*100000000</f>
        <v>0</v>
      </c>
      <c r="F151" s="4" t="str">
        <f>HYPERLINK("http://141.218.60.56/~jnz1568/getInfo.php?workbook=07_01.xlsx&amp;sheet=A0&amp;row=151&amp;col=6&amp;number==&amp;sourceID=11","=")</f>
        <v>=</v>
      </c>
      <c r="G151" s="4" t="str">
        <f>HYPERLINK("http://141.218.60.56/~jnz1568/getInfo.php?workbook=07_01.xlsx&amp;sheet=A0&amp;row=151&amp;col=7&amp;number=18905000000&amp;sourceID=11","18905000000")</f>
        <v>18905000000</v>
      </c>
      <c r="H151" s="4" t="str">
        <f>HYPERLINK("http://141.218.60.56/~jnz1568/getInfo.php?workbook=07_01.xlsx&amp;sheet=A0&amp;row=151&amp;col=8&amp;number=&amp;sourceID=11","")</f>
        <v/>
      </c>
      <c r="I151" s="4" t="str">
        <f>HYPERLINK("http://141.218.60.56/~jnz1568/getInfo.php?workbook=07_01.xlsx&amp;sheet=A0&amp;row=151&amp;col=9&amp;number=&amp;sourceID=11","")</f>
        <v/>
      </c>
      <c r="J151" s="4" t="str">
        <f>HYPERLINK("http://141.218.60.56/~jnz1568/getInfo.php?workbook=07_01.xlsx&amp;sheet=A0&amp;row=151&amp;col=10&amp;number=&amp;sourceID=11","")</f>
        <v/>
      </c>
      <c r="K151" s="4" t="str">
        <f>HYPERLINK("http://141.218.60.56/~jnz1568/getInfo.php?workbook=07_01.xlsx&amp;sheet=A0&amp;row=151&amp;col=11&amp;number=10.653&amp;sourceID=11","10.653")</f>
        <v>10.653</v>
      </c>
      <c r="L151" s="4" t="str">
        <f>HYPERLINK("http://141.218.60.56/~jnz1568/getInfo.php?workbook=07_01.xlsx&amp;sheet=A0&amp;row=151&amp;col=12&amp;number=&amp;sourceID=11","")</f>
        <v/>
      </c>
      <c r="M151" s="4" t="str">
        <f>HYPERLINK("http://141.218.60.56/~jnz1568/getInfo.php?workbook=07_01.xlsx&amp;sheet=A0&amp;row=151&amp;col=13&amp;number=18906000000&amp;sourceID=12","18906000000")</f>
        <v>18906000000</v>
      </c>
      <c r="N151" s="4" t="str">
        <f>HYPERLINK("http://141.218.60.56/~jnz1568/getInfo.php?workbook=07_01.xlsx&amp;sheet=A0&amp;row=151&amp;col=14&amp;number=18906000000&amp;sourceID=12","18906000000")</f>
        <v>18906000000</v>
      </c>
      <c r="O151" s="4" t="str">
        <f>HYPERLINK("http://141.218.60.56/~jnz1568/getInfo.php?workbook=07_01.xlsx&amp;sheet=A0&amp;row=151&amp;col=15&amp;number=&amp;sourceID=12","")</f>
        <v/>
      </c>
      <c r="P151" s="4" t="str">
        <f>HYPERLINK("http://141.218.60.56/~jnz1568/getInfo.php?workbook=07_01.xlsx&amp;sheet=A0&amp;row=151&amp;col=16&amp;number=&amp;sourceID=12","")</f>
        <v/>
      </c>
      <c r="Q151" s="4" t="str">
        <f>HYPERLINK("http://141.218.60.56/~jnz1568/getInfo.php?workbook=07_01.xlsx&amp;sheet=A0&amp;row=151&amp;col=17&amp;number=&amp;sourceID=12","")</f>
        <v/>
      </c>
      <c r="R151" s="4" t="str">
        <f>HYPERLINK("http://141.218.60.56/~jnz1568/getInfo.php?workbook=07_01.xlsx&amp;sheet=A0&amp;row=151&amp;col=18&amp;number=10.653&amp;sourceID=12","10.653")</f>
        <v>10.653</v>
      </c>
      <c r="S151" s="4" t="str">
        <f>HYPERLINK("http://141.218.60.56/~jnz1568/getInfo.php?workbook=07_01.xlsx&amp;sheet=A0&amp;row=151&amp;col=19&amp;number=&amp;sourceID=12","")</f>
        <v/>
      </c>
      <c r="T151" s="4" t="str">
        <f>HYPERLINK("http://141.218.60.56/~jnz1568/getInfo.php?workbook=07_01.xlsx&amp;sheet=A0&amp;row=151&amp;col=20&amp;number==&amp;sourceID=30","=")</f>
        <v>=</v>
      </c>
      <c r="U151" s="4" t="str">
        <f>HYPERLINK("http://141.218.60.56/~jnz1568/getInfo.php?workbook=07_01.xlsx&amp;sheet=A0&amp;row=151&amp;col=21&amp;number=18910000000&amp;sourceID=30","18910000000")</f>
        <v>18910000000</v>
      </c>
      <c r="V151" s="4" t="str">
        <f>HYPERLINK("http://141.218.60.56/~jnz1568/getInfo.php?workbook=07_01.xlsx&amp;sheet=A0&amp;row=151&amp;col=22&amp;number=&amp;sourceID=30","")</f>
        <v/>
      </c>
      <c r="W151" s="4" t="str">
        <f>HYPERLINK("http://141.218.60.56/~jnz1568/getInfo.php?workbook=07_01.xlsx&amp;sheet=A0&amp;row=151&amp;col=23&amp;number=&amp;sourceID=30","")</f>
        <v/>
      </c>
      <c r="X151" s="4" t="str">
        <f>HYPERLINK("http://141.218.60.56/~jnz1568/getInfo.php?workbook=07_01.xlsx&amp;sheet=A0&amp;row=151&amp;col=24&amp;number=10.65&amp;sourceID=30","10.65")</f>
        <v>10.65</v>
      </c>
      <c r="Y151" s="4" t="str">
        <f>HYPERLINK("http://141.218.60.56/~jnz1568/getInfo.php?workbook=07_01.xlsx&amp;sheet=A0&amp;row=151&amp;col=25&amp;number=&amp;sourceID=13","")</f>
        <v/>
      </c>
      <c r="Z151" s="4" t="str">
        <f>HYPERLINK("http://141.218.60.56/~jnz1568/getInfo.php?workbook=07_01.xlsx&amp;sheet=A0&amp;row=151&amp;col=26&amp;number=&amp;sourceID=13","")</f>
        <v/>
      </c>
      <c r="AA151" s="4" t="str">
        <f>HYPERLINK("http://141.218.60.56/~jnz1568/getInfo.php?workbook=07_01.xlsx&amp;sheet=A0&amp;row=151&amp;col=27&amp;number=&amp;sourceID=13","")</f>
        <v/>
      </c>
      <c r="AB151" s="4" t="str">
        <f>HYPERLINK("http://141.218.60.56/~jnz1568/getInfo.php?workbook=07_01.xlsx&amp;sheet=A0&amp;row=151&amp;col=28&amp;number=&amp;sourceID=13","")</f>
        <v/>
      </c>
      <c r="AC151" s="4" t="str">
        <f>HYPERLINK("http://141.218.60.56/~jnz1568/getInfo.php?workbook=07_01.xlsx&amp;sheet=A0&amp;row=151&amp;col=29&amp;number=&amp;sourceID=13","")</f>
        <v/>
      </c>
      <c r="AD151" s="4" t="str">
        <f>HYPERLINK("http://141.218.60.56/~jnz1568/getInfo.php?workbook=07_01.xlsx&amp;sheet=A0&amp;row=151&amp;col=30&amp;number=&amp;sourceID=13","")</f>
        <v/>
      </c>
    </row>
    <row r="152" spans="1:30">
      <c r="A152" s="3">
        <v>7</v>
      </c>
      <c r="B152" s="3">
        <v>1</v>
      </c>
      <c r="C152" s="3">
        <v>19</v>
      </c>
      <c r="D152" s="3">
        <v>3</v>
      </c>
      <c r="E152" s="3">
        <f>((1/(INDEX(E0!J$4:J$28,C152,1)-INDEX(E0!J$4:J$28,D152,1))))*100000000</f>
        <v>0</v>
      </c>
      <c r="F152" s="4" t="str">
        <f>HYPERLINK("http://141.218.60.56/~jnz1568/getInfo.php?workbook=07_01.xlsx&amp;sheet=A0&amp;row=152&amp;col=6&amp;number==&amp;sourceID=11","=")</f>
        <v>=</v>
      </c>
      <c r="G152" s="4" t="str">
        <f>HYPERLINK("http://141.218.60.56/~jnz1568/getInfo.php?workbook=07_01.xlsx&amp;sheet=A0&amp;row=152&amp;col=7&amp;number=&amp;sourceID=11","")</f>
        <v/>
      </c>
      <c r="H152" s="4" t="str">
        <f>HYPERLINK("http://141.218.60.56/~jnz1568/getInfo.php?workbook=07_01.xlsx&amp;sheet=A0&amp;row=152&amp;col=8&amp;number=114640&amp;sourceID=11","114640")</f>
        <v>114640</v>
      </c>
      <c r="I152" s="4" t="str">
        <f>HYPERLINK("http://141.218.60.56/~jnz1568/getInfo.php?workbook=07_01.xlsx&amp;sheet=A0&amp;row=152&amp;col=9&amp;number=&amp;sourceID=11","")</f>
        <v/>
      </c>
      <c r="J152" s="4" t="str">
        <f>HYPERLINK("http://141.218.60.56/~jnz1568/getInfo.php?workbook=07_01.xlsx&amp;sheet=A0&amp;row=152&amp;col=10&amp;number=0.009539&amp;sourceID=11","0.009539")</f>
        <v>0.009539</v>
      </c>
      <c r="K152" s="4" t="str">
        <f>HYPERLINK("http://141.218.60.56/~jnz1568/getInfo.php?workbook=07_01.xlsx&amp;sheet=A0&amp;row=152&amp;col=11&amp;number=&amp;sourceID=11","")</f>
        <v/>
      </c>
      <c r="L152" s="4" t="str">
        <f>HYPERLINK("http://141.218.60.56/~jnz1568/getInfo.php?workbook=07_01.xlsx&amp;sheet=A0&amp;row=152&amp;col=12&amp;number=&amp;sourceID=11","")</f>
        <v/>
      </c>
      <c r="M152" s="4" t="str">
        <f>HYPERLINK("http://141.218.60.56/~jnz1568/getInfo.php?workbook=07_01.xlsx&amp;sheet=A0&amp;row=152&amp;col=13&amp;number=114640&amp;sourceID=12","114640")</f>
        <v>114640</v>
      </c>
      <c r="N152" s="4" t="str">
        <f>HYPERLINK("http://141.218.60.56/~jnz1568/getInfo.php?workbook=07_01.xlsx&amp;sheet=A0&amp;row=152&amp;col=14&amp;number=&amp;sourceID=12","")</f>
        <v/>
      </c>
      <c r="O152" s="4" t="str">
        <f>HYPERLINK("http://141.218.60.56/~jnz1568/getInfo.php?workbook=07_01.xlsx&amp;sheet=A0&amp;row=152&amp;col=15&amp;number=114640&amp;sourceID=12","114640")</f>
        <v>114640</v>
      </c>
      <c r="P152" s="4" t="str">
        <f>HYPERLINK("http://141.218.60.56/~jnz1568/getInfo.php?workbook=07_01.xlsx&amp;sheet=A0&amp;row=152&amp;col=16&amp;number=&amp;sourceID=12","")</f>
        <v/>
      </c>
      <c r="Q152" s="4" t="str">
        <f>HYPERLINK("http://141.218.60.56/~jnz1568/getInfo.php?workbook=07_01.xlsx&amp;sheet=A0&amp;row=152&amp;col=17&amp;number=0.0095255&amp;sourceID=12","0.0095255")</f>
        <v>0.0095255</v>
      </c>
      <c r="R152" s="4" t="str">
        <f>HYPERLINK("http://141.218.60.56/~jnz1568/getInfo.php?workbook=07_01.xlsx&amp;sheet=A0&amp;row=152&amp;col=18&amp;number=&amp;sourceID=12","")</f>
        <v/>
      </c>
      <c r="S152" s="4" t="str">
        <f>HYPERLINK("http://141.218.60.56/~jnz1568/getInfo.php?workbook=07_01.xlsx&amp;sheet=A0&amp;row=152&amp;col=19&amp;number=&amp;sourceID=12","")</f>
        <v/>
      </c>
      <c r="T152" s="4" t="str">
        <f>HYPERLINK("http://141.218.60.56/~jnz1568/getInfo.php?workbook=07_01.xlsx&amp;sheet=A0&amp;row=152&amp;col=20&amp;number==&amp;sourceID=30","=")</f>
        <v>=</v>
      </c>
      <c r="U152" s="4" t="str">
        <f>HYPERLINK("http://141.218.60.56/~jnz1568/getInfo.php?workbook=07_01.xlsx&amp;sheet=A0&amp;row=152&amp;col=21&amp;number=&amp;sourceID=30","")</f>
        <v/>
      </c>
      <c r="V152" s="4" t="str">
        <f>HYPERLINK("http://141.218.60.56/~jnz1568/getInfo.php?workbook=07_01.xlsx&amp;sheet=A0&amp;row=152&amp;col=22&amp;number=114600&amp;sourceID=30","114600")</f>
        <v>114600</v>
      </c>
      <c r="W152" s="4" t="str">
        <f>HYPERLINK("http://141.218.60.56/~jnz1568/getInfo.php?workbook=07_01.xlsx&amp;sheet=A0&amp;row=152&amp;col=23&amp;number=0.009541&amp;sourceID=30","0.009541")</f>
        <v>0.009541</v>
      </c>
      <c r="X152" s="4" t="str">
        <f>HYPERLINK("http://141.218.60.56/~jnz1568/getInfo.php?workbook=07_01.xlsx&amp;sheet=A0&amp;row=152&amp;col=24&amp;number=&amp;sourceID=30","")</f>
        <v/>
      </c>
      <c r="Y152" s="4" t="str">
        <f>HYPERLINK("http://141.218.60.56/~jnz1568/getInfo.php?workbook=07_01.xlsx&amp;sheet=A0&amp;row=152&amp;col=25&amp;number=&amp;sourceID=13","")</f>
        <v/>
      </c>
      <c r="Z152" s="4" t="str">
        <f>HYPERLINK("http://141.218.60.56/~jnz1568/getInfo.php?workbook=07_01.xlsx&amp;sheet=A0&amp;row=152&amp;col=26&amp;number=&amp;sourceID=13","")</f>
        <v/>
      </c>
      <c r="AA152" s="4" t="str">
        <f>HYPERLINK("http://141.218.60.56/~jnz1568/getInfo.php?workbook=07_01.xlsx&amp;sheet=A0&amp;row=152&amp;col=27&amp;number=&amp;sourceID=13","")</f>
        <v/>
      </c>
      <c r="AB152" s="4" t="str">
        <f>HYPERLINK("http://141.218.60.56/~jnz1568/getInfo.php?workbook=07_01.xlsx&amp;sheet=A0&amp;row=152&amp;col=28&amp;number=&amp;sourceID=13","")</f>
        <v/>
      </c>
      <c r="AC152" s="4" t="str">
        <f>HYPERLINK("http://141.218.60.56/~jnz1568/getInfo.php?workbook=07_01.xlsx&amp;sheet=A0&amp;row=152&amp;col=29&amp;number=&amp;sourceID=13","")</f>
        <v/>
      </c>
      <c r="AD152" s="4" t="str">
        <f>HYPERLINK("http://141.218.60.56/~jnz1568/getInfo.php?workbook=07_01.xlsx&amp;sheet=A0&amp;row=152&amp;col=30&amp;number=&amp;sourceID=13","")</f>
        <v/>
      </c>
    </row>
    <row r="153" spans="1:30">
      <c r="A153" s="3">
        <v>7</v>
      </c>
      <c r="B153" s="3">
        <v>1</v>
      </c>
      <c r="C153" s="3">
        <v>19</v>
      </c>
      <c r="D153" s="3">
        <v>4</v>
      </c>
      <c r="E153" s="3">
        <f>((1/(INDEX(E0!J$4:J$28,C153,1)-INDEX(E0!J$4:J$28,D153,1))))*100000000</f>
        <v>0</v>
      </c>
      <c r="F153" s="4" t="str">
        <f>HYPERLINK("http://141.218.60.56/~jnz1568/getInfo.php?workbook=07_01.xlsx&amp;sheet=A0&amp;row=153&amp;col=6&amp;number==&amp;sourceID=11","=")</f>
        <v>=</v>
      </c>
      <c r="G153" s="4" t="str">
        <f>HYPERLINK("http://141.218.60.56/~jnz1568/getInfo.php?workbook=07_01.xlsx&amp;sheet=A0&amp;row=153&amp;col=7&amp;number=3771000000&amp;sourceID=11","3771000000")</f>
        <v>3771000000</v>
      </c>
      <c r="H153" s="4" t="str">
        <f>HYPERLINK("http://141.218.60.56/~jnz1568/getInfo.php?workbook=07_01.xlsx&amp;sheet=A0&amp;row=153&amp;col=8&amp;number=&amp;sourceID=11","")</f>
        <v/>
      </c>
      <c r="I153" s="4" t="str">
        <f>HYPERLINK("http://141.218.60.56/~jnz1568/getInfo.php?workbook=07_01.xlsx&amp;sheet=A0&amp;row=153&amp;col=9&amp;number=4.099&amp;sourceID=11","4.099")</f>
        <v>4.099</v>
      </c>
      <c r="J153" s="4" t="str">
        <f>HYPERLINK("http://141.218.60.56/~jnz1568/getInfo.php?workbook=07_01.xlsx&amp;sheet=A0&amp;row=153&amp;col=10&amp;number=&amp;sourceID=11","")</f>
        <v/>
      </c>
      <c r="K153" s="4" t="str">
        <f>HYPERLINK("http://141.218.60.56/~jnz1568/getInfo.php?workbook=07_01.xlsx&amp;sheet=A0&amp;row=153&amp;col=11&amp;number=&amp;sourceID=11","")</f>
        <v/>
      </c>
      <c r="L153" s="4" t="str">
        <f>HYPERLINK("http://141.218.60.56/~jnz1568/getInfo.php?workbook=07_01.xlsx&amp;sheet=A0&amp;row=153&amp;col=12&amp;number=&amp;sourceID=11","")</f>
        <v/>
      </c>
      <c r="M153" s="4" t="str">
        <f>HYPERLINK("http://141.218.60.56/~jnz1568/getInfo.php?workbook=07_01.xlsx&amp;sheet=A0&amp;row=153&amp;col=13&amp;number=3771200000&amp;sourceID=12","3771200000")</f>
        <v>3771200000</v>
      </c>
      <c r="N153" s="4" t="str">
        <f>HYPERLINK("http://141.218.60.56/~jnz1568/getInfo.php?workbook=07_01.xlsx&amp;sheet=A0&amp;row=153&amp;col=14&amp;number=3771200000&amp;sourceID=12","3771200000")</f>
        <v>3771200000</v>
      </c>
      <c r="O153" s="4" t="str">
        <f>HYPERLINK("http://141.218.60.56/~jnz1568/getInfo.php?workbook=07_01.xlsx&amp;sheet=A0&amp;row=153&amp;col=15&amp;number=&amp;sourceID=12","")</f>
        <v/>
      </c>
      <c r="P153" s="4" t="str">
        <f>HYPERLINK("http://141.218.60.56/~jnz1568/getInfo.php?workbook=07_01.xlsx&amp;sheet=A0&amp;row=153&amp;col=16&amp;number=4.0991&amp;sourceID=12","4.0991")</f>
        <v>4.0991</v>
      </c>
      <c r="Q153" s="4" t="str">
        <f>HYPERLINK("http://141.218.60.56/~jnz1568/getInfo.php?workbook=07_01.xlsx&amp;sheet=A0&amp;row=153&amp;col=17&amp;number=&amp;sourceID=12","")</f>
        <v/>
      </c>
      <c r="R153" s="4" t="str">
        <f>HYPERLINK("http://141.218.60.56/~jnz1568/getInfo.php?workbook=07_01.xlsx&amp;sheet=A0&amp;row=153&amp;col=18&amp;number=&amp;sourceID=12","")</f>
        <v/>
      </c>
      <c r="S153" s="4" t="str">
        <f>HYPERLINK("http://141.218.60.56/~jnz1568/getInfo.php?workbook=07_01.xlsx&amp;sheet=A0&amp;row=153&amp;col=19&amp;number=&amp;sourceID=12","")</f>
        <v/>
      </c>
      <c r="T153" s="4" t="str">
        <f>HYPERLINK("http://141.218.60.56/~jnz1568/getInfo.php?workbook=07_01.xlsx&amp;sheet=A0&amp;row=153&amp;col=20&amp;number==&amp;sourceID=30","=")</f>
        <v>=</v>
      </c>
      <c r="U153" s="4" t="str">
        <f>HYPERLINK("http://141.218.60.56/~jnz1568/getInfo.php?workbook=07_01.xlsx&amp;sheet=A0&amp;row=153&amp;col=21&amp;number=3771000000&amp;sourceID=30","3771000000")</f>
        <v>3771000000</v>
      </c>
      <c r="V153" s="4" t="str">
        <f>HYPERLINK("http://141.218.60.56/~jnz1568/getInfo.php?workbook=07_01.xlsx&amp;sheet=A0&amp;row=153&amp;col=22&amp;number=&amp;sourceID=30","")</f>
        <v/>
      </c>
      <c r="W153" s="4" t="str">
        <f>HYPERLINK("http://141.218.60.56/~jnz1568/getInfo.php?workbook=07_01.xlsx&amp;sheet=A0&amp;row=153&amp;col=23&amp;number=&amp;sourceID=30","")</f>
        <v/>
      </c>
      <c r="X153" s="4" t="str">
        <f>HYPERLINK("http://141.218.60.56/~jnz1568/getInfo.php?workbook=07_01.xlsx&amp;sheet=A0&amp;row=153&amp;col=24&amp;number=&amp;sourceID=30","")</f>
        <v/>
      </c>
      <c r="Y153" s="4" t="str">
        <f>HYPERLINK("http://141.218.60.56/~jnz1568/getInfo.php?workbook=07_01.xlsx&amp;sheet=A0&amp;row=153&amp;col=25&amp;number=&amp;sourceID=13","")</f>
        <v/>
      </c>
      <c r="Z153" s="4" t="str">
        <f>HYPERLINK("http://141.218.60.56/~jnz1568/getInfo.php?workbook=07_01.xlsx&amp;sheet=A0&amp;row=153&amp;col=26&amp;number=&amp;sourceID=13","")</f>
        <v/>
      </c>
      <c r="AA153" s="4" t="str">
        <f>HYPERLINK("http://141.218.60.56/~jnz1568/getInfo.php?workbook=07_01.xlsx&amp;sheet=A0&amp;row=153&amp;col=27&amp;number=&amp;sourceID=13","")</f>
        <v/>
      </c>
      <c r="AB153" s="4" t="str">
        <f>HYPERLINK("http://141.218.60.56/~jnz1568/getInfo.php?workbook=07_01.xlsx&amp;sheet=A0&amp;row=153&amp;col=28&amp;number=&amp;sourceID=13","")</f>
        <v/>
      </c>
      <c r="AC153" s="4" t="str">
        <f>HYPERLINK("http://141.218.60.56/~jnz1568/getInfo.php?workbook=07_01.xlsx&amp;sheet=A0&amp;row=153&amp;col=29&amp;number=&amp;sourceID=13","")</f>
        <v/>
      </c>
      <c r="AD153" s="4" t="str">
        <f>HYPERLINK("http://141.218.60.56/~jnz1568/getInfo.php?workbook=07_01.xlsx&amp;sheet=A0&amp;row=153&amp;col=30&amp;number=&amp;sourceID=13","")</f>
        <v/>
      </c>
    </row>
    <row r="154" spans="1:30">
      <c r="A154" s="3">
        <v>7</v>
      </c>
      <c r="B154" s="3">
        <v>1</v>
      </c>
      <c r="C154" s="3">
        <v>19</v>
      </c>
      <c r="D154" s="3">
        <v>5</v>
      </c>
      <c r="E154" s="3">
        <f>((1/(INDEX(E0!J$4:J$28,C154,1)-INDEX(E0!J$4:J$28,D154,1))))*100000000</f>
        <v>0</v>
      </c>
      <c r="F154" s="4" t="str">
        <f>HYPERLINK("http://141.218.60.56/~jnz1568/getInfo.php?workbook=07_01.xlsx&amp;sheet=A0&amp;row=154&amp;col=6&amp;number==&amp;sourceID=11","=")</f>
        <v>=</v>
      </c>
      <c r="G154" s="4" t="str">
        <f>HYPERLINK("http://141.218.60.56/~jnz1568/getInfo.php?workbook=07_01.xlsx&amp;sheet=A0&amp;row=154&amp;col=7&amp;number=6794600000&amp;sourceID=11","6794600000")</f>
        <v>6794600000</v>
      </c>
      <c r="H154" s="4" t="str">
        <f>HYPERLINK("http://141.218.60.56/~jnz1568/getInfo.php?workbook=07_01.xlsx&amp;sheet=A0&amp;row=154&amp;col=8&amp;number=&amp;sourceID=11","")</f>
        <v/>
      </c>
      <c r="I154" s="4" t="str">
        <f>HYPERLINK("http://141.218.60.56/~jnz1568/getInfo.php?workbook=07_01.xlsx&amp;sheet=A0&amp;row=154&amp;col=9&amp;number=&amp;sourceID=11","")</f>
        <v/>
      </c>
      <c r="J154" s="4" t="str">
        <f>HYPERLINK("http://141.218.60.56/~jnz1568/getInfo.php?workbook=07_01.xlsx&amp;sheet=A0&amp;row=154&amp;col=10&amp;number=&amp;sourceID=11","")</f>
        <v/>
      </c>
      <c r="K154" s="4" t="str">
        <f>HYPERLINK("http://141.218.60.56/~jnz1568/getInfo.php?workbook=07_01.xlsx&amp;sheet=A0&amp;row=154&amp;col=11&amp;number=0.43929&amp;sourceID=11","0.43929")</f>
        <v>0.43929</v>
      </c>
      <c r="L154" s="4" t="str">
        <f>HYPERLINK("http://141.218.60.56/~jnz1568/getInfo.php?workbook=07_01.xlsx&amp;sheet=A0&amp;row=154&amp;col=12&amp;number=&amp;sourceID=11","")</f>
        <v/>
      </c>
      <c r="M154" s="4" t="str">
        <f>HYPERLINK("http://141.218.60.56/~jnz1568/getInfo.php?workbook=07_01.xlsx&amp;sheet=A0&amp;row=154&amp;col=13&amp;number=6794900000&amp;sourceID=12","6794900000")</f>
        <v>6794900000</v>
      </c>
      <c r="N154" s="4" t="str">
        <f>HYPERLINK("http://141.218.60.56/~jnz1568/getInfo.php?workbook=07_01.xlsx&amp;sheet=A0&amp;row=154&amp;col=14&amp;number=6794900000&amp;sourceID=12","6794900000")</f>
        <v>6794900000</v>
      </c>
      <c r="O154" s="4" t="str">
        <f>HYPERLINK("http://141.218.60.56/~jnz1568/getInfo.php?workbook=07_01.xlsx&amp;sheet=A0&amp;row=154&amp;col=15&amp;number=&amp;sourceID=12","")</f>
        <v/>
      </c>
      <c r="P154" s="4" t="str">
        <f>HYPERLINK("http://141.218.60.56/~jnz1568/getInfo.php?workbook=07_01.xlsx&amp;sheet=A0&amp;row=154&amp;col=16&amp;number=&amp;sourceID=12","")</f>
        <v/>
      </c>
      <c r="Q154" s="4" t="str">
        <f>HYPERLINK("http://141.218.60.56/~jnz1568/getInfo.php?workbook=07_01.xlsx&amp;sheet=A0&amp;row=154&amp;col=17&amp;number=&amp;sourceID=12","")</f>
        <v/>
      </c>
      <c r="R154" s="4" t="str">
        <f>HYPERLINK("http://141.218.60.56/~jnz1568/getInfo.php?workbook=07_01.xlsx&amp;sheet=A0&amp;row=154&amp;col=18&amp;number=0.43931&amp;sourceID=12","0.43931")</f>
        <v>0.43931</v>
      </c>
      <c r="S154" s="4" t="str">
        <f>HYPERLINK("http://141.218.60.56/~jnz1568/getInfo.php?workbook=07_01.xlsx&amp;sheet=A0&amp;row=154&amp;col=19&amp;number=&amp;sourceID=12","")</f>
        <v/>
      </c>
      <c r="T154" s="4" t="str">
        <f>HYPERLINK("http://141.218.60.56/~jnz1568/getInfo.php?workbook=07_01.xlsx&amp;sheet=A0&amp;row=154&amp;col=20&amp;number==&amp;sourceID=30","=")</f>
        <v>=</v>
      </c>
      <c r="U154" s="4" t="str">
        <f>HYPERLINK("http://141.218.60.56/~jnz1568/getInfo.php?workbook=07_01.xlsx&amp;sheet=A0&amp;row=154&amp;col=21&amp;number=6795000000&amp;sourceID=30","6795000000")</f>
        <v>6795000000</v>
      </c>
      <c r="V154" s="4" t="str">
        <f>HYPERLINK("http://141.218.60.56/~jnz1568/getInfo.php?workbook=07_01.xlsx&amp;sheet=A0&amp;row=154&amp;col=22&amp;number=&amp;sourceID=30","")</f>
        <v/>
      </c>
      <c r="W154" s="4" t="str">
        <f>HYPERLINK("http://141.218.60.56/~jnz1568/getInfo.php?workbook=07_01.xlsx&amp;sheet=A0&amp;row=154&amp;col=23&amp;number=&amp;sourceID=30","")</f>
        <v/>
      </c>
      <c r="X154" s="4" t="str">
        <f>HYPERLINK("http://141.218.60.56/~jnz1568/getInfo.php?workbook=07_01.xlsx&amp;sheet=A0&amp;row=154&amp;col=24&amp;number=0.4393&amp;sourceID=30","0.4393")</f>
        <v>0.4393</v>
      </c>
      <c r="Y154" s="4" t="str">
        <f>HYPERLINK("http://141.218.60.56/~jnz1568/getInfo.php?workbook=07_01.xlsx&amp;sheet=A0&amp;row=154&amp;col=25&amp;number=&amp;sourceID=13","")</f>
        <v/>
      </c>
      <c r="Z154" s="4" t="str">
        <f>HYPERLINK("http://141.218.60.56/~jnz1568/getInfo.php?workbook=07_01.xlsx&amp;sheet=A0&amp;row=154&amp;col=26&amp;number=&amp;sourceID=13","")</f>
        <v/>
      </c>
      <c r="AA154" s="4" t="str">
        <f>HYPERLINK("http://141.218.60.56/~jnz1568/getInfo.php?workbook=07_01.xlsx&amp;sheet=A0&amp;row=154&amp;col=27&amp;number=&amp;sourceID=13","")</f>
        <v/>
      </c>
      <c r="AB154" s="4" t="str">
        <f>HYPERLINK("http://141.218.60.56/~jnz1568/getInfo.php?workbook=07_01.xlsx&amp;sheet=A0&amp;row=154&amp;col=28&amp;number=&amp;sourceID=13","")</f>
        <v/>
      </c>
      <c r="AC154" s="4" t="str">
        <f>HYPERLINK("http://141.218.60.56/~jnz1568/getInfo.php?workbook=07_01.xlsx&amp;sheet=A0&amp;row=154&amp;col=29&amp;number=&amp;sourceID=13","")</f>
        <v/>
      </c>
      <c r="AD154" s="4" t="str">
        <f>HYPERLINK("http://141.218.60.56/~jnz1568/getInfo.php?workbook=07_01.xlsx&amp;sheet=A0&amp;row=154&amp;col=30&amp;number=&amp;sourceID=13","")</f>
        <v/>
      </c>
    </row>
    <row r="155" spans="1:30">
      <c r="A155" s="3">
        <v>7</v>
      </c>
      <c r="B155" s="3">
        <v>1</v>
      </c>
      <c r="C155" s="3">
        <v>19</v>
      </c>
      <c r="D155" s="3">
        <v>6</v>
      </c>
      <c r="E155" s="3">
        <f>((1/(INDEX(E0!J$4:J$28,C155,1)-INDEX(E0!J$4:J$28,D155,1))))*100000000</f>
        <v>0</v>
      </c>
      <c r="F155" s="4" t="str">
        <f>HYPERLINK("http://141.218.60.56/~jnz1568/getInfo.php?workbook=07_01.xlsx&amp;sheet=A0&amp;row=155&amp;col=6&amp;number==&amp;sourceID=11","=")</f>
        <v>=</v>
      </c>
      <c r="G155" s="4" t="str">
        <f>HYPERLINK("http://141.218.60.56/~jnz1568/getInfo.php?workbook=07_01.xlsx&amp;sheet=A0&amp;row=155&amp;col=7&amp;number=&amp;sourceID=11","")</f>
        <v/>
      </c>
      <c r="H155" s="4" t="str">
        <f>HYPERLINK("http://141.218.60.56/~jnz1568/getInfo.php?workbook=07_01.xlsx&amp;sheet=A0&amp;row=155&amp;col=8&amp;number=128340&amp;sourceID=11","128340")</f>
        <v>128340</v>
      </c>
      <c r="I155" s="4" t="str">
        <f>HYPERLINK("http://141.218.60.56/~jnz1568/getInfo.php?workbook=07_01.xlsx&amp;sheet=A0&amp;row=155&amp;col=9&amp;number=&amp;sourceID=11","")</f>
        <v/>
      </c>
      <c r="J155" s="4" t="str">
        <f>HYPERLINK("http://141.218.60.56/~jnz1568/getInfo.php?workbook=07_01.xlsx&amp;sheet=A0&amp;row=155&amp;col=10&amp;number=0.00019912&amp;sourceID=11","0.00019912")</f>
        <v>0.00019912</v>
      </c>
      <c r="K155" s="4" t="str">
        <f>HYPERLINK("http://141.218.60.56/~jnz1568/getInfo.php?workbook=07_01.xlsx&amp;sheet=A0&amp;row=155&amp;col=11&amp;number=&amp;sourceID=11","")</f>
        <v/>
      </c>
      <c r="L155" s="4" t="str">
        <f>HYPERLINK("http://141.218.60.56/~jnz1568/getInfo.php?workbook=07_01.xlsx&amp;sheet=A0&amp;row=155&amp;col=12&amp;number=&amp;sourceID=11","")</f>
        <v/>
      </c>
      <c r="M155" s="4" t="str">
        <f>HYPERLINK("http://141.218.60.56/~jnz1568/getInfo.php?workbook=07_01.xlsx&amp;sheet=A0&amp;row=155&amp;col=13&amp;number=128350&amp;sourceID=12","128350")</f>
        <v>128350</v>
      </c>
      <c r="N155" s="4" t="str">
        <f>HYPERLINK("http://141.218.60.56/~jnz1568/getInfo.php?workbook=07_01.xlsx&amp;sheet=A0&amp;row=155&amp;col=14&amp;number=&amp;sourceID=12","")</f>
        <v/>
      </c>
      <c r="O155" s="4" t="str">
        <f>HYPERLINK("http://141.218.60.56/~jnz1568/getInfo.php?workbook=07_01.xlsx&amp;sheet=A0&amp;row=155&amp;col=15&amp;number=128350&amp;sourceID=12","128350")</f>
        <v>128350</v>
      </c>
      <c r="P155" s="4" t="str">
        <f>HYPERLINK("http://141.218.60.56/~jnz1568/getInfo.php?workbook=07_01.xlsx&amp;sheet=A0&amp;row=155&amp;col=16&amp;number=&amp;sourceID=12","")</f>
        <v/>
      </c>
      <c r="Q155" s="4" t="str">
        <f>HYPERLINK("http://141.218.60.56/~jnz1568/getInfo.php?workbook=07_01.xlsx&amp;sheet=A0&amp;row=155&amp;col=17&amp;number=0.00019915&amp;sourceID=12","0.00019915")</f>
        <v>0.00019915</v>
      </c>
      <c r="R155" s="4" t="str">
        <f>HYPERLINK("http://141.218.60.56/~jnz1568/getInfo.php?workbook=07_01.xlsx&amp;sheet=A0&amp;row=155&amp;col=18&amp;number=&amp;sourceID=12","")</f>
        <v/>
      </c>
      <c r="S155" s="4" t="str">
        <f>HYPERLINK("http://141.218.60.56/~jnz1568/getInfo.php?workbook=07_01.xlsx&amp;sheet=A0&amp;row=155&amp;col=19&amp;number=&amp;sourceID=12","")</f>
        <v/>
      </c>
      <c r="T155" s="4" t="str">
        <f>HYPERLINK("http://141.218.60.56/~jnz1568/getInfo.php?workbook=07_01.xlsx&amp;sheet=A0&amp;row=155&amp;col=20&amp;number==&amp;sourceID=30","=")</f>
        <v>=</v>
      </c>
      <c r="U155" s="4" t="str">
        <f>HYPERLINK("http://141.218.60.56/~jnz1568/getInfo.php?workbook=07_01.xlsx&amp;sheet=A0&amp;row=155&amp;col=21&amp;number=&amp;sourceID=30","")</f>
        <v/>
      </c>
      <c r="V155" s="4" t="str">
        <f>HYPERLINK("http://141.218.60.56/~jnz1568/getInfo.php?workbook=07_01.xlsx&amp;sheet=A0&amp;row=155&amp;col=22&amp;number=128400&amp;sourceID=30","128400")</f>
        <v>128400</v>
      </c>
      <c r="W155" s="4" t="str">
        <f>HYPERLINK("http://141.218.60.56/~jnz1568/getInfo.php?workbook=07_01.xlsx&amp;sheet=A0&amp;row=155&amp;col=23&amp;number=0.0001991&amp;sourceID=30","0.0001991")</f>
        <v>0.0001991</v>
      </c>
      <c r="X155" s="4" t="str">
        <f>HYPERLINK("http://141.218.60.56/~jnz1568/getInfo.php?workbook=07_01.xlsx&amp;sheet=A0&amp;row=155&amp;col=24&amp;number=&amp;sourceID=30","")</f>
        <v/>
      </c>
      <c r="Y155" s="4" t="str">
        <f>HYPERLINK("http://141.218.60.56/~jnz1568/getInfo.php?workbook=07_01.xlsx&amp;sheet=A0&amp;row=155&amp;col=25&amp;number=&amp;sourceID=13","")</f>
        <v/>
      </c>
      <c r="Z155" s="4" t="str">
        <f>HYPERLINK("http://141.218.60.56/~jnz1568/getInfo.php?workbook=07_01.xlsx&amp;sheet=A0&amp;row=155&amp;col=26&amp;number=&amp;sourceID=13","")</f>
        <v/>
      </c>
      <c r="AA155" s="4" t="str">
        <f>HYPERLINK("http://141.218.60.56/~jnz1568/getInfo.php?workbook=07_01.xlsx&amp;sheet=A0&amp;row=155&amp;col=27&amp;number=&amp;sourceID=13","")</f>
        <v/>
      </c>
      <c r="AB155" s="4" t="str">
        <f>HYPERLINK("http://141.218.60.56/~jnz1568/getInfo.php?workbook=07_01.xlsx&amp;sheet=A0&amp;row=155&amp;col=28&amp;number=&amp;sourceID=13","")</f>
        <v/>
      </c>
      <c r="AC155" s="4" t="str">
        <f>HYPERLINK("http://141.218.60.56/~jnz1568/getInfo.php?workbook=07_01.xlsx&amp;sheet=A0&amp;row=155&amp;col=29&amp;number=&amp;sourceID=13","")</f>
        <v/>
      </c>
      <c r="AD155" s="4" t="str">
        <f>HYPERLINK("http://141.218.60.56/~jnz1568/getInfo.php?workbook=07_01.xlsx&amp;sheet=A0&amp;row=155&amp;col=30&amp;number=&amp;sourceID=13","")</f>
        <v/>
      </c>
    </row>
    <row r="156" spans="1:30">
      <c r="A156" s="3">
        <v>7</v>
      </c>
      <c r="B156" s="3">
        <v>1</v>
      </c>
      <c r="C156" s="3">
        <v>19</v>
      </c>
      <c r="D156" s="3">
        <v>7</v>
      </c>
      <c r="E156" s="3">
        <f>((1/(INDEX(E0!J$4:J$28,C156,1)-INDEX(E0!J$4:J$28,D156,1))))*100000000</f>
        <v>0</v>
      </c>
      <c r="F156" s="4" t="str">
        <f>HYPERLINK("http://141.218.60.56/~jnz1568/getInfo.php?workbook=07_01.xlsx&amp;sheet=A0&amp;row=156&amp;col=6&amp;number==&amp;sourceID=11","=")</f>
        <v>=</v>
      </c>
      <c r="G156" s="4" t="str">
        <f>HYPERLINK("http://141.218.60.56/~jnz1568/getInfo.php?workbook=07_01.xlsx&amp;sheet=A0&amp;row=156&amp;col=7&amp;number=&amp;sourceID=11","")</f>
        <v/>
      </c>
      <c r="H156" s="4" t="str">
        <f>HYPERLINK("http://141.218.60.56/~jnz1568/getInfo.php?workbook=07_01.xlsx&amp;sheet=A0&amp;row=156&amp;col=8&amp;number=47240&amp;sourceID=11","47240")</f>
        <v>47240</v>
      </c>
      <c r="I156" s="4" t="str">
        <f>HYPERLINK("http://141.218.60.56/~jnz1568/getInfo.php?workbook=07_01.xlsx&amp;sheet=A0&amp;row=156&amp;col=9&amp;number=&amp;sourceID=11","")</f>
        <v/>
      </c>
      <c r="J156" s="4" t="str">
        <f>HYPERLINK("http://141.218.60.56/~jnz1568/getInfo.php?workbook=07_01.xlsx&amp;sheet=A0&amp;row=156&amp;col=10&amp;number=0.0053181&amp;sourceID=11","0.0053181")</f>
        <v>0.0053181</v>
      </c>
      <c r="K156" s="4" t="str">
        <f>HYPERLINK("http://141.218.60.56/~jnz1568/getInfo.php?workbook=07_01.xlsx&amp;sheet=A0&amp;row=156&amp;col=11&amp;number=&amp;sourceID=11","")</f>
        <v/>
      </c>
      <c r="L156" s="4" t="str">
        <f>HYPERLINK("http://141.218.60.56/~jnz1568/getInfo.php?workbook=07_01.xlsx&amp;sheet=A0&amp;row=156&amp;col=12&amp;number=3.3202e-06&amp;sourceID=11","3.3202e-06")</f>
        <v>3.3202e-06</v>
      </c>
      <c r="M156" s="4" t="str">
        <f>HYPERLINK("http://141.218.60.56/~jnz1568/getInfo.php?workbook=07_01.xlsx&amp;sheet=A0&amp;row=156&amp;col=13&amp;number=47241&amp;sourceID=12","47241")</f>
        <v>47241</v>
      </c>
      <c r="N156" s="4" t="str">
        <f>HYPERLINK("http://141.218.60.56/~jnz1568/getInfo.php?workbook=07_01.xlsx&amp;sheet=A0&amp;row=156&amp;col=14&amp;number=&amp;sourceID=12","")</f>
        <v/>
      </c>
      <c r="O156" s="4" t="str">
        <f>HYPERLINK("http://141.218.60.56/~jnz1568/getInfo.php?workbook=07_01.xlsx&amp;sheet=A0&amp;row=156&amp;col=15&amp;number=47241&amp;sourceID=12","47241")</f>
        <v>47241</v>
      </c>
      <c r="P156" s="4" t="str">
        <f>HYPERLINK("http://141.218.60.56/~jnz1568/getInfo.php?workbook=07_01.xlsx&amp;sheet=A0&amp;row=156&amp;col=16&amp;number=&amp;sourceID=12","")</f>
        <v/>
      </c>
      <c r="Q156" s="4" t="str">
        <f>HYPERLINK("http://141.218.60.56/~jnz1568/getInfo.php?workbook=07_01.xlsx&amp;sheet=A0&amp;row=156&amp;col=17&amp;number=0.005318&amp;sourceID=12","0.005318")</f>
        <v>0.005318</v>
      </c>
      <c r="R156" s="4" t="str">
        <f>HYPERLINK("http://141.218.60.56/~jnz1568/getInfo.php?workbook=07_01.xlsx&amp;sheet=A0&amp;row=156&amp;col=18&amp;number=&amp;sourceID=12","")</f>
        <v/>
      </c>
      <c r="S156" s="4" t="str">
        <f>HYPERLINK("http://141.218.60.56/~jnz1568/getInfo.php?workbook=07_01.xlsx&amp;sheet=A0&amp;row=156&amp;col=19&amp;number=3.3203e-06&amp;sourceID=12","3.3203e-06")</f>
        <v>3.3203e-06</v>
      </c>
      <c r="T156" s="4" t="str">
        <f>HYPERLINK("http://141.218.60.56/~jnz1568/getInfo.php?workbook=07_01.xlsx&amp;sheet=A0&amp;row=156&amp;col=20&amp;number==&amp;sourceID=30","=")</f>
        <v>=</v>
      </c>
      <c r="U156" s="4" t="str">
        <f>HYPERLINK("http://141.218.60.56/~jnz1568/getInfo.php?workbook=07_01.xlsx&amp;sheet=A0&amp;row=156&amp;col=21&amp;number=&amp;sourceID=30","")</f>
        <v/>
      </c>
      <c r="V156" s="4" t="str">
        <f>HYPERLINK("http://141.218.60.56/~jnz1568/getInfo.php?workbook=07_01.xlsx&amp;sheet=A0&amp;row=156&amp;col=22&amp;number=47240&amp;sourceID=30","47240")</f>
        <v>47240</v>
      </c>
      <c r="W156" s="4" t="str">
        <f>HYPERLINK("http://141.218.60.56/~jnz1568/getInfo.php?workbook=07_01.xlsx&amp;sheet=A0&amp;row=156&amp;col=23&amp;number=0.005321&amp;sourceID=30","0.005321")</f>
        <v>0.005321</v>
      </c>
      <c r="X156" s="4" t="str">
        <f>HYPERLINK("http://141.218.60.56/~jnz1568/getInfo.php?workbook=07_01.xlsx&amp;sheet=A0&amp;row=156&amp;col=24&amp;number=&amp;sourceID=30","")</f>
        <v/>
      </c>
      <c r="Y156" s="4" t="str">
        <f>HYPERLINK("http://141.218.60.56/~jnz1568/getInfo.php?workbook=07_01.xlsx&amp;sheet=A0&amp;row=156&amp;col=25&amp;number=&amp;sourceID=13","")</f>
        <v/>
      </c>
      <c r="Z156" s="4" t="str">
        <f>HYPERLINK("http://141.218.60.56/~jnz1568/getInfo.php?workbook=07_01.xlsx&amp;sheet=A0&amp;row=156&amp;col=26&amp;number=&amp;sourceID=13","")</f>
        <v/>
      </c>
      <c r="AA156" s="4" t="str">
        <f>HYPERLINK("http://141.218.60.56/~jnz1568/getInfo.php?workbook=07_01.xlsx&amp;sheet=A0&amp;row=156&amp;col=27&amp;number=&amp;sourceID=13","")</f>
        <v/>
      </c>
      <c r="AB156" s="4" t="str">
        <f>HYPERLINK("http://141.218.60.56/~jnz1568/getInfo.php?workbook=07_01.xlsx&amp;sheet=A0&amp;row=156&amp;col=28&amp;number=&amp;sourceID=13","")</f>
        <v/>
      </c>
      <c r="AC156" s="4" t="str">
        <f>HYPERLINK("http://141.218.60.56/~jnz1568/getInfo.php?workbook=07_01.xlsx&amp;sheet=A0&amp;row=156&amp;col=29&amp;number=&amp;sourceID=13","")</f>
        <v/>
      </c>
      <c r="AD156" s="4" t="str">
        <f>HYPERLINK("http://141.218.60.56/~jnz1568/getInfo.php?workbook=07_01.xlsx&amp;sheet=A0&amp;row=156&amp;col=30&amp;number=&amp;sourceID=13","")</f>
        <v/>
      </c>
    </row>
    <row r="157" spans="1:30">
      <c r="A157" s="3">
        <v>7</v>
      </c>
      <c r="B157" s="3">
        <v>1</v>
      </c>
      <c r="C157" s="3">
        <v>19</v>
      </c>
      <c r="D157" s="3">
        <v>8</v>
      </c>
      <c r="E157" s="3">
        <f>((1/(INDEX(E0!J$4:J$28,C157,1)-INDEX(E0!J$4:J$28,D157,1))))*100000000</f>
        <v>0</v>
      </c>
      <c r="F157" s="4" t="str">
        <f>HYPERLINK("http://141.218.60.56/~jnz1568/getInfo.php?workbook=07_01.xlsx&amp;sheet=A0&amp;row=157&amp;col=6&amp;number==&amp;sourceID=11","=")</f>
        <v>=</v>
      </c>
      <c r="G157" s="4" t="str">
        <f>HYPERLINK("http://141.218.60.56/~jnz1568/getInfo.php?workbook=07_01.xlsx&amp;sheet=A0&amp;row=157&amp;col=7&amp;number=1358100000&amp;sourceID=11","1358100000")</f>
        <v>1358100000</v>
      </c>
      <c r="H157" s="4" t="str">
        <f>HYPERLINK("http://141.218.60.56/~jnz1568/getInfo.php?workbook=07_01.xlsx&amp;sheet=A0&amp;row=157&amp;col=8&amp;number=&amp;sourceID=11","")</f>
        <v/>
      </c>
      <c r="I157" s="4" t="str">
        <f>HYPERLINK("http://141.218.60.56/~jnz1568/getInfo.php?workbook=07_01.xlsx&amp;sheet=A0&amp;row=157&amp;col=9&amp;number=0.43196&amp;sourceID=11","0.43196")</f>
        <v>0.43196</v>
      </c>
      <c r="J157" s="4" t="str">
        <f>HYPERLINK("http://141.218.60.56/~jnz1568/getInfo.php?workbook=07_01.xlsx&amp;sheet=A0&amp;row=157&amp;col=10&amp;number=&amp;sourceID=11","")</f>
        <v/>
      </c>
      <c r="K157" s="4" t="str">
        <f>HYPERLINK("http://141.218.60.56/~jnz1568/getInfo.php?workbook=07_01.xlsx&amp;sheet=A0&amp;row=157&amp;col=11&amp;number=&amp;sourceID=11","")</f>
        <v/>
      </c>
      <c r="L157" s="4" t="str">
        <f>HYPERLINK("http://141.218.60.56/~jnz1568/getInfo.php?workbook=07_01.xlsx&amp;sheet=A0&amp;row=157&amp;col=12&amp;number=&amp;sourceID=11","")</f>
        <v/>
      </c>
      <c r="M157" s="4" t="str">
        <f>HYPERLINK("http://141.218.60.56/~jnz1568/getInfo.php?workbook=07_01.xlsx&amp;sheet=A0&amp;row=157&amp;col=13&amp;number=1358200000&amp;sourceID=12","1358200000")</f>
        <v>1358200000</v>
      </c>
      <c r="N157" s="4" t="str">
        <f>HYPERLINK("http://141.218.60.56/~jnz1568/getInfo.php?workbook=07_01.xlsx&amp;sheet=A0&amp;row=157&amp;col=14&amp;number=1358200000&amp;sourceID=12","1358200000")</f>
        <v>1358200000</v>
      </c>
      <c r="O157" s="4" t="str">
        <f>HYPERLINK("http://141.218.60.56/~jnz1568/getInfo.php?workbook=07_01.xlsx&amp;sheet=A0&amp;row=157&amp;col=15&amp;number=&amp;sourceID=12","")</f>
        <v/>
      </c>
      <c r="P157" s="4" t="str">
        <f>HYPERLINK("http://141.218.60.56/~jnz1568/getInfo.php?workbook=07_01.xlsx&amp;sheet=A0&amp;row=157&amp;col=16&amp;number=0.43198&amp;sourceID=12","0.43198")</f>
        <v>0.43198</v>
      </c>
      <c r="Q157" s="4" t="str">
        <f>HYPERLINK("http://141.218.60.56/~jnz1568/getInfo.php?workbook=07_01.xlsx&amp;sheet=A0&amp;row=157&amp;col=17&amp;number=&amp;sourceID=12","")</f>
        <v/>
      </c>
      <c r="R157" s="4" t="str">
        <f>HYPERLINK("http://141.218.60.56/~jnz1568/getInfo.php?workbook=07_01.xlsx&amp;sheet=A0&amp;row=157&amp;col=18&amp;number=&amp;sourceID=12","")</f>
        <v/>
      </c>
      <c r="S157" s="4" t="str">
        <f>HYPERLINK("http://141.218.60.56/~jnz1568/getInfo.php?workbook=07_01.xlsx&amp;sheet=A0&amp;row=157&amp;col=19&amp;number=&amp;sourceID=12","")</f>
        <v/>
      </c>
      <c r="T157" s="4" t="str">
        <f>HYPERLINK("http://141.218.60.56/~jnz1568/getInfo.php?workbook=07_01.xlsx&amp;sheet=A0&amp;row=157&amp;col=20&amp;number==&amp;sourceID=30","=")</f>
        <v>=</v>
      </c>
      <c r="U157" s="4" t="str">
        <f>HYPERLINK("http://141.218.60.56/~jnz1568/getInfo.php?workbook=07_01.xlsx&amp;sheet=A0&amp;row=157&amp;col=21&amp;number=1358000000&amp;sourceID=30","1358000000")</f>
        <v>1358000000</v>
      </c>
      <c r="V157" s="4" t="str">
        <f>HYPERLINK("http://141.218.60.56/~jnz1568/getInfo.php?workbook=07_01.xlsx&amp;sheet=A0&amp;row=157&amp;col=22&amp;number=&amp;sourceID=30","")</f>
        <v/>
      </c>
      <c r="W157" s="4" t="str">
        <f>HYPERLINK("http://141.218.60.56/~jnz1568/getInfo.php?workbook=07_01.xlsx&amp;sheet=A0&amp;row=157&amp;col=23&amp;number=&amp;sourceID=30","")</f>
        <v/>
      </c>
      <c r="X157" s="4" t="str">
        <f>HYPERLINK("http://141.218.60.56/~jnz1568/getInfo.php?workbook=07_01.xlsx&amp;sheet=A0&amp;row=157&amp;col=24&amp;number=&amp;sourceID=30","")</f>
        <v/>
      </c>
      <c r="Y157" s="4" t="str">
        <f>HYPERLINK("http://141.218.60.56/~jnz1568/getInfo.php?workbook=07_01.xlsx&amp;sheet=A0&amp;row=157&amp;col=25&amp;number=&amp;sourceID=13","")</f>
        <v/>
      </c>
      <c r="Z157" s="4" t="str">
        <f>HYPERLINK("http://141.218.60.56/~jnz1568/getInfo.php?workbook=07_01.xlsx&amp;sheet=A0&amp;row=157&amp;col=26&amp;number=&amp;sourceID=13","")</f>
        <v/>
      </c>
      <c r="AA157" s="4" t="str">
        <f>HYPERLINK("http://141.218.60.56/~jnz1568/getInfo.php?workbook=07_01.xlsx&amp;sheet=A0&amp;row=157&amp;col=27&amp;number=&amp;sourceID=13","")</f>
        <v/>
      </c>
      <c r="AB157" s="4" t="str">
        <f>HYPERLINK("http://141.218.60.56/~jnz1568/getInfo.php?workbook=07_01.xlsx&amp;sheet=A0&amp;row=157&amp;col=28&amp;number=&amp;sourceID=13","")</f>
        <v/>
      </c>
      <c r="AC157" s="4" t="str">
        <f>HYPERLINK("http://141.218.60.56/~jnz1568/getInfo.php?workbook=07_01.xlsx&amp;sheet=A0&amp;row=157&amp;col=29&amp;number=&amp;sourceID=13","")</f>
        <v/>
      </c>
      <c r="AD157" s="4" t="str">
        <f>HYPERLINK("http://141.218.60.56/~jnz1568/getInfo.php?workbook=07_01.xlsx&amp;sheet=A0&amp;row=157&amp;col=30&amp;number=&amp;sourceID=13","")</f>
        <v/>
      </c>
    </row>
    <row r="158" spans="1:30">
      <c r="A158" s="3">
        <v>7</v>
      </c>
      <c r="B158" s="3">
        <v>1</v>
      </c>
      <c r="C158" s="3">
        <v>19</v>
      </c>
      <c r="D158" s="3">
        <v>9</v>
      </c>
      <c r="E158" s="3">
        <f>((1/(INDEX(E0!J$4:J$28,C158,1)-INDEX(E0!J$4:J$28,D158,1))))*100000000</f>
        <v>0</v>
      </c>
      <c r="F158" s="4" t="str">
        <f>HYPERLINK("http://141.218.60.56/~jnz1568/getInfo.php?workbook=07_01.xlsx&amp;sheet=A0&amp;row=158&amp;col=6&amp;number==&amp;sourceID=11","=")</f>
        <v>=</v>
      </c>
      <c r="G158" s="4" t="str">
        <f>HYPERLINK("http://141.218.60.56/~jnz1568/getInfo.php?workbook=07_01.xlsx&amp;sheet=A0&amp;row=158&amp;col=7&amp;number=&amp;sourceID=11","")</f>
        <v/>
      </c>
      <c r="H158" s="4" t="str">
        <f>HYPERLINK("http://141.218.60.56/~jnz1568/getInfo.php?workbook=07_01.xlsx&amp;sheet=A0&amp;row=158&amp;col=8&amp;number=20230&amp;sourceID=11","20230")</f>
        <v>20230</v>
      </c>
      <c r="I158" s="4" t="str">
        <f>HYPERLINK("http://141.218.60.56/~jnz1568/getInfo.php?workbook=07_01.xlsx&amp;sheet=A0&amp;row=158&amp;col=9&amp;number=&amp;sourceID=11","")</f>
        <v/>
      </c>
      <c r="J158" s="4" t="str">
        <f>HYPERLINK("http://141.218.60.56/~jnz1568/getInfo.php?workbook=07_01.xlsx&amp;sheet=A0&amp;row=158&amp;col=10&amp;number=0.011478&amp;sourceID=11","0.011478")</f>
        <v>0.011478</v>
      </c>
      <c r="K158" s="4" t="str">
        <f>HYPERLINK("http://141.218.60.56/~jnz1568/getInfo.php?workbook=07_01.xlsx&amp;sheet=A0&amp;row=158&amp;col=11&amp;number=&amp;sourceID=11","")</f>
        <v/>
      </c>
      <c r="L158" s="4" t="str">
        <f>HYPERLINK("http://141.218.60.56/~jnz1568/getInfo.php?workbook=07_01.xlsx&amp;sheet=A0&amp;row=158&amp;col=12&amp;number=2.2112e-06&amp;sourceID=11","2.2112e-06")</f>
        <v>2.2112e-06</v>
      </c>
      <c r="M158" s="4" t="str">
        <f>HYPERLINK("http://141.218.60.56/~jnz1568/getInfo.php?workbook=07_01.xlsx&amp;sheet=A0&amp;row=158&amp;col=13&amp;number=20231&amp;sourceID=12","20231")</f>
        <v>20231</v>
      </c>
      <c r="N158" s="4" t="str">
        <f>HYPERLINK("http://141.218.60.56/~jnz1568/getInfo.php?workbook=07_01.xlsx&amp;sheet=A0&amp;row=158&amp;col=14&amp;number=&amp;sourceID=12","")</f>
        <v/>
      </c>
      <c r="O158" s="4" t="str">
        <f>HYPERLINK("http://141.218.60.56/~jnz1568/getInfo.php?workbook=07_01.xlsx&amp;sheet=A0&amp;row=158&amp;col=15&amp;number=20231&amp;sourceID=12","20231")</f>
        <v>20231</v>
      </c>
      <c r="P158" s="4" t="str">
        <f>HYPERLINK("http://141.218.60.56/~jnz1568/getInfo.php?workbook=07_01.xlsx&amp;sheet=A0&amp;row=158&amp;col=16&amp;number=&amp;sourceID=12","")</f>
        <v/>
      </c>
      <c r="Q158" s="4" t="str">
        <f>HYPERLINK("http://141.218.60.56/~jnz1568/getInfo.php?workbook=07_01.xlsx&amp;sheet=A0&amp;row=158&amp;col=17&amp;number=0.011479&amp;sourceID=12","0.011479")</f>
        <v>0.011479</v>
      </c>
      <c r="R158" s="4" t="str">
        <f>HYPERLINK("http://141.218.60.56/~jnz1568/getInfo.php?workbook=07_01.xlsx&amp;sheet=A0&amp;row=158&amp;col=18&amp;number=&amp;sourceID=12","")</f>
        <v/>
      </c>
      <c r="S158" s="4" t="str">
        <f>HYPERLINK("http://141.218.60.56/~jnz1568/getInfo.php?workbook=07_01.xlsx&amp;sheet=A0&amp;row=158&amp;col=19&amp;number=2.2113e-06&amp;sourceID=12","2.2113e-06")</f>
        <v>2.2113e-06</v>
      </c>
      <c r="T158" s="4" t="str">
        <f>HYPERLINK("http://141.218.60.56/~jnz1568/getInfo.php?workbook=07_01.xlsx&amp;sheet=A0&amp;row=158&amp;col=20&amp;number==&amp;sourceID=30","=")</f>
        <v>=</v>
      </c>
      <c r="U158" s="4" t="str">
        <f>HYPERLINK("http://141.218.60.56/~jnz1568/getInfo.php?workbook=07_01.xlsx&amp;sheet=A0&amp;row=158&amp;col=21&amp;number=&amp;sourceID=30","")</f>
        <v/>
      </c>
      <c r="V158" s="4" t="str">
        <f>HYPERLINK("http://141.218.60.56/~jnz1568/getInfo.php?workbook=07_01.xlsx&amp;sheet=A0&amp;row=158&amp;col=22&amp;number=20230&amp;sourceID=30","20230")</f>
        <v>20230</v>
      </c>
      <c r="W158" s="4" t="str">
        <f>HYPERLINK("http://141.218.60.56/~jnz1568/getInfo.php?workbook=07_01.xlsx&amp;sheet=A0&amp;row=158&amp;col=23&amp;number=0.01148&amp;sourceID=30","0.01148")</f>
        <v>0.01148</v>
      </c>
      <c r="X158" s="4" t="str">
        <f>HYPERLINK("http://141.218.60.56/~jnz1568/getInfo.php?workbook=07_01.xlsx&amp;sheet=A0&amp;row=158&amp;col=24&amp;number=&amp;sourceID=30","")</f>
        <v/>
      </c>
      <c r="Y158" s="4" t="str">
        <f>HYPERLINK("http://141.218.60.56/~jnz1568/getInfo.php?workbook=07_01.xlsx&amp;sheet=A0&amp;row=158&amp;col=25&amp;number=&amp;sourceID=13","")</f>
        <v/>
      </c>
      <c r="Z158" s="4" t="str">
        <f>HYPERLINK("http://141.218.60.56/~jnz1568/getInfo.php?workbook=07_01.xlsx&amp;sheet=A0&amp;row=158&amp;col=26&amp;number=&amp;sourceID=13","")</f>
        <v/>
      </c>
      <c r="AA158" s="4" t="str">
        <f>HYPERLINK("http://141.218.60.56/~jnz1568/getInfo.php?workbook=07_01.xlsx&amp;sheet=A0&amp;row=158&amp;col=27&amp;number=&amp;sourceID=13","")</f>
        <v/>
      </c>
      <c r="AB158" s="4" t="str">
        <f>HYPERLINK("http://141.218.60.56/~jnz1568/getInfo.php?workbook=07_01.xlsx&amp;sheet=A0&amp;row=158&amp;col=28&amp;number=&amp;sourceID=13","")</f>
        <v/>
      </c>
      <c r="AC158" s="4" t="str">
        <f>HYPERLINK("http://141.218.60.56/~jnz1568/getInfo.php?workbook=07_01.xlsx&amp;sheet=A0&amp;row=158&amp;col=29&amp;number=&amp;sourceID=13","")</f>
        <v/>
      </c>
      <c r="AD158" s="4" t="str">
        <f>HYPERLINK("http://141.218.60.56/~jnz1568/getInfo.php?workbook=07_01.xlsx&amp;sheet=A0&amp;row=158&amp;col=30&amp;number=&amp;sourceID=13","")</f>
        <v/>
      </c>
    </row>
    <row r="159" spans="1:30">
      <c r="A159" s="3">
        <v>7</v>
      </c>
      <c r="B159" s="3">
        <v>1</v>
      </c>
      <c r="C159" s="3">
        <v>19</v>
      </c>
      <c r="D159" s="3">
        <v>10</v>
      </c>
      <c r="E159" s="3">
        <f>((1/(INDEX(E0!J$4:J$28,C159,1)-INDEX(E0!J$4:J$28,D159,1))))*100000000</f>
        <v>0</v>
      </c>
      <c r="F159" s="4" t="str">
        <f>HYPERLINK("http://141.218.60.56/~jnz1568/getInfo.php?workbook=07_01.xlsx&amp;sheet=A0&amp;row=159&amp;col=6&amp;number==&amp;sourceID=11","=")</f>
        <v>=</v>
      </c>
      <c r="G159" s="4" t="str">
        <f>HYPERLINK("http://141.218.60.56/~jnz1568/getInfo.php?workbook=07_01.xlsx&amp;sheet=A0&amp;row=159&amp;col=7&amp;number=2972200000&amp;sourceID=11","2972200000")</f>
        <v>2972200000</v>
      </c>
      <c r="H159" s="4" t="str">
        <f>HYPERLINK("http://141.218.60.56/~jnz1568/getInfo.php?workbook=07_01.xlsx&amp;sheet=A0&amp;row=159&amp;col=8&amp;number=&amp;sourceID=11","")</f>
        <v/>
      </c>
      <c r="I159" s="4" t="str">
        <f>HYPERLINK("http://141.218.60.56/~jnz1568/getInfo.php?workbook=07_01.xlsx&amp;sheet=A0&amp;row=159&amp;col=9&amp;number=&amp;sourceID=11","")</f>
        <v/>
      </c>
      <c r="J159" s="4" t="str">
        <f>HYPERLINK("http://141.218.60.56/~jnz1568/getInfo.php?workbook=07_01.xlsx&amp;sheet=A0&amp;row=159&amp;col=10&amp;number=&amp;sourceID=11","")</f>
        <v/>
      </c>
      <c r="K159" s="4" t="str">
        <f>HYPERLINK("http://141.218.60.56/~jnz1568/getInfo.php?workbook=07_01.xlsx&amp;sheet=A0&amp;row=159&amp;col=11&amp;number=0.019251&amp;sourceID=11","0.019251")</f>
        <v>0.019251</v>
      </c>
      <c r="L159" s="4" t="str">
        <f>HYPERLINK("http://141.218.60.56/~jnz1568/getInfo.php?workbook=07_01.xlsx&amp;sheet=A0&amp;row=159&amp;col=12&amp;number=&amp;sourceID=11","")</f>
        <v/>
      </c>
      <c r="M159" s="4" t="str">
        <f>HYPERLINK("http://141.218.60.56/~jnz1568/getInfo.php?workbook=07_01.xlsx&amp;sheet=A0&amp;row=159&amp;col=13&amp;number=2972300000&amp;sourceID=12","2972300000")</f>
        <v>2972300000</v>
      </c>
      <c r="N159" s="4" t="str">
        <f>HYPERLINK("http://141.218.60.56/~jnz1568/getInfo.php?workbook=07_01.xlsx&amp;sheet=A0&amp;row=159&amp;col=14&amp;number=2972300000&amp;sourceID=12","2972300000")</f>
        <v>2972300000</v>
      </c>
      <c r="O159" s="4" t="str">
        <f>HYPERLINK("http://141.218.60.56/~jnz1568/getInfo.php?workbook=07_01.xlsx&amp;sheet=A0&amp;row=159&amp;col=15&amp;number=&amp;sourceID=12","")</f>
        <v/>
      </c>
      <c r="P159" s="4" t="str">
        <f>HYPERLINK("http://141.218.60.56/~jnz1568/getInfo.php?workbook=07_01.xlsx&amp;sheet=A0&amp;row=159&amp;col=16&amp;number=&amp;sourceID=12","")</f>
        <v/>
      </c>
      <c r="Q159" s="4" t="str">
        <f>HYPERLINK("http://141.218.60.56/~jnz1568/getInfo.php?workbook=07_01.xlsx&amp;sheet=A0&amp;row=159&amp;col=17&amp;number=&amp;sourceID=12","")</f>
        <v/>
      </c>
      <c r="R159" s="4" t="str">
        <f>HYPERLINK("http://141.218.60.56/~jnz1568/getInfo.php?workbook=07_01.xlsx&amp;sheet=A0&amp;row=159&amp;col=18&amp;number=0.019252&amp;sourceID=12","0.019252")</f>
        <v>0.019252</v>
      </c>
      <c r="S159" s="4" t="str">
        <f>HYPERLINK("http://141.218.60.56/~jnz1568/getInfo.php?workbook=07_01.xlsx&amp;sheet=A0&amp;row=159&amp;col=19&amp;number=&amp;sourceID=12","")</f>
        <v/>
      </c>
      <c r="T159" s="4" t="str">
        <f>HYPERLINK("http://141.218.60.56/~jnz1568/getInfo.php?workbook=07_01.xlsx&amp;sheet=A0&amp;row=159&amp;col=20&amp;number==&amp;sourceID=30","=")</f>
        <v>=</v>
      </c>
      <c r="U159" s="4" t="str">
        <f>HYPERLINK("http://141.218.60.56/~jnz1568/getInfo.php?workbook=07_01.xlsx&amp;sheet=A0&amp;row=159&amp;col=21&amp;number=2972000000&amp;sourceID=30","2972000000")</f>
        <v>2972000000</v>
      </c>
      <c r="V159" s="4" t="str">
        <f>HYPERLINK("http://141.218.60.56/~jnz1568/getInfo.php?workbook=07_01.xlsx&amp;sheet=A0&amp;row=159&amp;col=22&amp;number=&amp;sourceID=30","")</f>
        <v/>
      </c>
      <c r="W159" s="4" t="str">
        <f>HYPERLINK("http://141.218.60.56/~jnz1568/getInfo.php?workbook=07_01.xlsx&amp;sheet=A0&amp;row=159&amp;col=23&amp;number=&amp;sourceID=30","")</f>
        <v/>
      </c>
      <c r="X159" s="4" t="str">
        <f>HYPERLINK("http://141.218.60.56/~jnz1568/getInfo.php?workbook=07_01.xlsx&amp;sheet=A0&amp;row=159&amp;col=24&amp;number=0.01925&amp;sourceID=30","0.01925")</f>
        <v>0.01925</v>
      </c>
      <c r="Y159" s="4" t="str">
        <f>HYPERLINK("http://141.218.60.56/~jnz1568/getInfo.php?workbook=07_01.xlsx&amp;sheet=A0&amp;row=159&amp;col=25&amp;number=&amp;sourceID=13","")</f>
        <v/>
      </c>
      <c r="Z159" s="4" t="str">
        <f>HYPERLINK("http://141.218.60.56/~jnz1568/getInfo.php?workbook=07_01.xlsx&amp;sheet=A0&amp;row=159&amp;col=26&amp;number=&amp;sourceID=13","")</f>
        <v/>
      </c>
      <c r="AA159" s="4" t="str">
        <f>HYPERLINK("http://141.218.60.56/~jnz1568/getInfo.php?workbook=07_01.xlsx&amp;sheet=A0&amp;row=159&amp;col=27&amp;number=&amp;sourceID=13","")</f>
        <v/>
      </c>
      <c r="AB159" s="4" t="str">
        <f>HYPERLINK("http://141.218.60.56/~jnz1568/getInfo.php?workbook=07_01.xlsx&amp;sheet=A0&amp;row=159&amp;col=28&amp;number=&amp;sourceID=13","")</f>
        <v/>
      </c>
      <c r="AC159" s="4" t="str">
        <f>HYPERLINK("http://141.218.60.56/~jnz1568/getInfo.php?workbook=07_01.xlsx&amp;sheet=A0&amp;row=159&amp;col=29&amp;number=&amp;sourceID=13","")</f>
        <v/>
      </c>
      <c r="AD159" s="4" t="str">
        <f>HYPERLINK("http://141.218.60.56/~jnz1568/getInfo.php?workbook=07_01.xlsx&amp;sheet=A0&amp;row=159&amp;col=30&amp;number=&amp;sourceID=13","")</f>
        <v/>
      </c>
    </row>
    <row r="160" spans="1:30">
      <c r="A160" s="3">
        <v>7</v>
      </c>
      <c r="B160" s="3">
        <v>1</v>
      </c>
      <c r="C160" s="3">
        <v>19</v>
      </c>
      <c r="D160" s="3">
        <v>11</v>
      </c>
      <c r="E160" s="3">
        <f>((1/(INDEX(E0!J$4:J$28,C160,1)-INDEX(E0!J$4:J$28,D160,1))))*100000000</f>
        <v>0</v>
      </c>
      <c r="F160" s="4" t="str">
        <f>HYPERLINK("http://141.218.60.56/~jnz1568/getInfo.php?workbook=07_01.xlsx&amp;sheet=A0&amp;row=160&amp;col=6&amp;number==&amp;sourceID=11","=")</f>
        <v>=</v>
      </c>
      <c r="G160" s="4" t="str">
        <f>HYPERLINK("http://141.218.60.56/~jnz1568/getInfo.php?workbook=07_01.xlsx&amp;sheet=A0&amp;row=160&amp;col=7&amp;number=&amp;sourceID=11","")</f>
        <v/>
      </c>
      <c r="H160" s="4" t="str">
        <f>HYPERLINK("http://141.218.60.56/~jnz1568/getInfo.php?workbook=07_01.xlsx&amp;sheet=A0&amp;row=160&amp;col=8&amp;number=63604&amp;sourceID=11","63604")</f>
        <v>63604</v>
      </c>
      <c r="I160" s="4" t="str">
        <f>HYPERLINK("http://141.218.60.56/~jnz1568/getInfo.php?workbook=07_01.xlsx&amp;sheet=A0&amp;row=160&amp;col=9&amp;number=&amp;sourceID=11","")</f>
        <v/>
      </c>
      <c r="J160" s="4" t="str">
        <f>HYPERLINK("http://141.218.60.56/~jnz1568/getInfo.php?workbook=07_01.xlsx&amp;sheet=A0&amp;row=160&amp;col=10&amp;number=2.6569e-06&amp;sourceID=11","2.6569e-06")</f>
        <v>2.6569e-06</v>
      </c>
      <c r="K160" s="4" t="str">
        <f>HYPERLINK("http://141.218.60.56/~jnz1568/getInfo.php?workbook=07_01.xlsx&amp;sheet=A0&amp;row=160&amp;col=11&amp;number=&amp;sourceID=11","")</f>
        <v/>
      </c>
      <c r="L160" s="4" t="str">
        <f>HYPERLINK("http://141.218.60.56/~jnz1568/getInfo.php?workbook=07_01.xlsx&amp;sheet=A0&amp;row=160&amp;col=12&amp;number=&amp;sourceID=11","")</f>
        <v/>
      </c>
      <c r="M160" s="4" t="str">
        <f>HYPERLINK("http://141.218.60.56/~jnz1568/getInfo.php?workbook=07_01.xlsx&amp;sheet=A0&amp;row=160&amp;col=13&amp;number=63607&amp;sourceID=12","63607")</f>
        <v>63607</v>
      </c>
      <c r="N160" s="4" t="str">
        <f>HYPERLINK("http://141.218.60.56/~jnz1568/getInfo.php?workbook=07_01.xlsx&amp;sheet=A0&amp;row=160&amp;col=14&amp;number=&amp;sourceID=12","")</f>
        <v/>
      </c>
      <c r="O160" s="4" t="str">
        <f>HYPERLINK("http://141.218.60.56/~jnz1568/getInfo.php?workbook=07_01.xlsx&amp;sheet=A0&amp;row=160&amp;col=15&amp;number=63607&amp;sourceID=12","63607")</f>
        <v>63607</v>
      </c>
      <c r="P160" s="4" t="str">
        <f>HYPERLINK("http://141.218.60.56/~jnz1568/getInfo.php?workbook=07_01.xlsx&amp;sheet=A0&amp;row=160&amp;col=16&amp;number=&amp;sourceID=12","")</f>
        <v/>
      </c>
      <c r="Q160" s="4" t="str">
        <f>HYPERLINK("http://141.218.60.56/~jnz1568/getInfo.php?workbook=07_01.xlsx&amp;sheet=A0&amp;row=160&amp;col=17&amp;number=2.657e-06&amp;sourceID=12","2.657e-06")</f>
        <v>2.657e-06</v>
      </c>
      <c r="R160" s="4" t="str">
        <f>HYPERLINK("http://141.218.60.56/~jnz1568/getInfo.php?workbook=07_01.xlsx&amp;sheet=A0&amp;row=160&amp;col=18&amp;number=&amp;sourceID=12","")</f>
        <v/>
      </c>
      <c r="S160" s="4" t="str">
        <f>HYPERLINK("http://141.218.60.56/~jnz1568/getInfo.php?workbook=07_01.xlsx&amp;sheet=A0&amp;row=160&amp;col=19&amp;number=&amp;sourceID=12","")</f>
        <v/>
      </c>
      <c r="T160" s="4" t="str">
        <f>HYPERLINK("http://141.218.60.56/~jnz1568/getInfo.php?workbook=07_01.xlsx&amp;sheet=A0&amp;row=160&amp;col=20&amp;number==&amp;sourceID=30","=")</f>
        <v>=</v>
      </c>
      <c r="U160" s="4" t="str">
        <f>HYPERLINK("http://141.218.60.56/~jnz1568/getInfo.php?workbook=07_01.xlsx&amp;sheet=A0&amp;row=160&amp;col=21&amp;number=&amp;sourceID=30","")</f>
        <v/>
      </c>
      <c r="V160" s="4" t="str">
        <f>HYPERLINK("http://141.218.60.56/~jnz1568/getInfo.php?workbook=07_01.xlsx&amp;sheet=A0&amp;row=160&amp;col=22&amp;number=63610&amp;sourceID=30","63610")</f>
        <v>63610</v>
      </c>
      <c r="W160" s="4" t="str">
        <f>HYPERLINK("http://141.218.60.56/~jnz1568/getInfo.php?workbook=07_01.xlsx&amp;sheet=A0&amp;row=160&amp;col=23&amp;number=2.626e-06&amp;sourceID=30","2.626e-06")</f>
        <v>2.626e-06</v>
      </c>
      <c r="X160" s="4" t="str">
        <f>HYPERLINK("http://141.218.60.56/~jnz1568/getInfo.php?workbook=07_01.xlsx&amp;sheet=A0&amp;row=160&amp;col=24&amp;number=&amp;sourceID=30","")</f>
        <v/>
      </c>
      <c r="Y160" s="4" t="str">
        <f>HYPERLINK("http://141.218.60.56/~jnz1568/getInfo.php?workbook=07_01.xlsx&amp;sheet=A0&amp;row=160&amp;col=25&amp;number=&amp;sourceID=13","")</f>
        <v/>
      </c>
      <c r="Z160" s="4" t="str">
        <f>HYPERLINK("http://141.218.60.56/~jnz1568/getInfo.php?workbook=07_01.xlsx&amp;sheet=A0&amp;row=160&amp;col=26&amp;number=&amp;sourceID=13","")</f>
        <v/>
      </c>
      <c r="AA160" s="4" t="str">
        <f>HYPERLINK("http://141.218.60.56/~jnz1568/getInfo.php?workbook=07_01.xlsx&amp;sheet=A0&amp;row=160&amp;col=27&amp;number=&amp;sourceID=13","")</f>
        <v/>
      </c>
      <c r="AB160" s="4" t="str">
        <f>HYPERLINK("http://141.218.60.56/~jnz1568/getInfo.php?workbook=07_01.xlsx&amp;sheet=A0&amp;row=160&amp;col=28&amp;number=&amp;sourceID=13","")</f>
        <v/>
      </c>
      <c r="AC160" s="4" t="str">
        <f>HYPERLINK("http://141.218.60.56/~jnz1568/getInfo.php?workbook=07_01.xlsx&amp;sheet=A0&amp;row=160&amp;col=29&amp;number=&amp;sourceID=13","")</f>
        <v/>
      </c>
      <c r="AD160" s="4" t="str">
        <f>HYPERLINK("http://141.218.60.56/~jnz1568/getInfo.php?workbook=07_01.xlsx&amp;sheet=A0&amp;row=160&amp;col=30&amp;number=&amp;sourceID=13","")</f>
        <v/>
      </c>
    </row>
    <row r="161" spans="1:30">
      <c r="A161" s="3">
        <v>7</v>
      </c>
      <c r="B161" s="3">
        <v>1</v>
      </c>
      <c r="C161" s="3">
        <v>19</v>
      </c>
      <c r="D161" s="3">
        <v>12</v>
      </c>
      <c r="E161" s="3">
        <f>((1/(INDEX(E0!J$4:J$28,C161,1)-INDEX(E0!J$4:J$28,D161,1))))*100000000</f>
        <v>0</v>
      </c>
      <c r="F161" s="4" t="str">
        <f>HYPERLINK("http://141.218.60.56/~jnz1568/getInfo.php?workbook=07_01.xlsx&amp;sheet=A0&amp;row=161&amp;col=6&amp;number==&amp;sourceID=11","=")</f>
        <v>=</v>
      </c>
      <c r="G161" s="4" t="str">
        <f>HYPERLINK("http://141.218.60.56/~jnz1568/getInfo.php?workbook=07_01.xlsx&amp;sheet=A0&amp;row=161&amp;col=7&amp;number=&amp;sourceID=11","")</f>
        <v/>
      </c>
      <c r="H161" s="4" t="str">
        <f>HYPERLINK("http://141.218.60.56/~jnz1568/getInfo.php?workbook=07_01.xlsx&amp;sheet=A0&amp;row=161&amp;col=8&amp;number=21895&amp;sourceID=11","21895")</f>
        <v>21895</v>
      </c>
      <c r="I161" s="4" t="str">
        <f>HYPERLINK("http://141.218.60.56/~jnz1568/getInfo.php?workbook=07_01.xlsx&amp;sheet=A0&amp;row=161&amp;col=9&amp;number=&amp;sourceID=11","")</f>
        <v/>
      </c>
      <c r="J161" s="4" t="str">
        <f>HYPERLINK("http://141.218.60.56/~jnz1568/getInfo.php?workbook=07_01.xlsx&amp;sheet=A0&amp;row=161&amp;col=10&amp;number=0.00024669&amp;sourceID=11","0.00024669")</f>
        <v>0.00024669</v>
      </c>
      <c r="K161" s="4" t="str">
        <f>HYPERLINK("http://141.218.60.56/~jnz1568/getInfo.php?workbook=07_01.xlsx&amp;sheet=A0&amp;row=161&amp;col=11&amp;number=&amp;sourceID=11","")</f>
        <v/>
      </c>
      <c r="L161" s="4" t="str">
        <f>HYPERLINK("http://141.218.60.56/~jnz1568/getInfo.php?workbook=07_01.xlsx&amp;sheet=A0&amp;row=161&amp;col=12&amp;number=1.5408e-07&amp;sourceID=11","1.5408e-07")</f>
        <v>1.5408e-07</v>
      </c>
      <c r="M161" s="4" t="str">
        <f>HYPERLINK("http://141.218.60.56/~jnz1568/getInfo.php?workbook=07_01.xlsx&amp;sheet=A0&amp;row=161&amp;col=13&amp;number=21896&amp;sourceID=12","21896")</f>
        <v>21896</v>
      </c>
      <c r="N161" s="4" t="str">
        <f>HYPERLINK("http://141.218.60.56/~jnz1568/getInfo.php?workbook=07_01.xlsx&amp;sheet=A0&amp;row=161&amp;col=14&amp;number=&amp;sourceID=12","")</f>
        <v/>
      </c>
      <c r="O161" s="4" t="str">
        <f>HYPERLINK("http://141.218.60.56/~jnz1568/getInfo.php?workbook=07_01.xlsx&amp;sheet=A0&amp;row=161&amp;col=15&amp;number=21896&amp;sourceID=12","21896")</f>
        <v>21896</v>
      </c>
      <c r="P161" s="4" t="str">
        <f>HYPERLINK("http://141.218.60.56/~jnz1568/getInfo.php?workbook=07_01.xlsx&amp;sheet=A0&amp;row=161&amp;col=16&amp;number=&amp;sourceID=12","")</f>
        <v/>
      </c>
      <c r="Q161" s="4" t="str">
        <f>HYPERLINK("http://141.218.60.56/~jnz1568/getInfo.php?workbook=07_01.xlsx&amp;sheet=A0&amp;row=161&amp;col=17&amp;number=0.0002467&amp;sourceID=12","0.0002467")</f>
        <v>0.0002467</v>
      </c>
      <c r="R161" s="4" t="str">
        <f>HYPERLINK("http://141.218.60.56/~jnz1568/getInfo.php?workbook=07_01.xlsx&amp;sheet=A0&amp;row=161&amp;col=18&amp;number=&amp;sourceID=12","")</f>
        <v/>
      </c>
      <c r="S161" s="4" t="str">
        <f>HYPERLINK("http://141.218.60.56/~jnz1568/getInfo.php?workbook=07_01.xlsx&amp;sheet=A0&amp;row=161&amp;col=19&amp;number=1.5409e-07&amp;sourceID=12","1.5409e-07")</f>
        <v>1.5409e-07</v>
      </c>
      <c r="T161" s="4" t="str">
        <f>HYPERLINK("http://141.218.60.56/~jnz1568/getInfo.php?workbook=07_01.xlsx&amp;sheet=A0&amp;row=161&amp;col=20&amp;number==&amp;sourceID=30","=")</f>
        <v>=</v>
      </c>
      <c r="U161" s="4" t="str">
        <f>HYPERLINK("http://141.218.60.56/~jnz1568/getInfo.php?workbook=07_01.xlsx&amp;sheet=A0&amp;row=161&amp;col=21&amp;number=&amp;sourceID=30","")</f>
        <v/>
      </c>
      <c r="V161" s="4" t="str">
        <f>HYPERLINK("http://141.218.60.56/~jnz1568/getInfo.php?workbook=07_01.xlsx&amp;sheet=A0&amp;row=161&amp;col=22&amp;number=21900&amp;sourceID=30","21900")</f>
        <v>21900</v>
      </c>
      <c r="W161" s="4" t="str">
        <f>HYPERLINK("http://141.218.60.56/~jnz1568/getInfo.php?workbook=07_01.xlsx&amp;sheet=A0&amp;row=161&amp;col=23&amp;number=0.0002473&amp;sourceID=30","0.0002473")</f>
        <v>0.0002473</v>
      </c>
      <c r="X161" s="4" t="str">
        <f>HYPERLINK("http://141.218.60.56/~jnz1568/getInfo.php?workbook=07_01.xlsx&amp;sheet=A0&amp;row=161&amp;col=24&amp;number=&amp;sourceID=30","")</f>
        <v/>
      </c>
      <c r="Y161" s="4" t="str">
        <f>HYPERLINK("http://141.218.60.56/~jnz1568/getInfo.php?workbook=07_01.xlsx&amp;sheet=A0&amp;row=161&amp;col=25&amp;number=&amp;sourceID=13","")</f>
        <v/>
      </c>
      <c r="Z161" s="4" t="str">
        <f>HYPERLINK("http://141.218.60.56/~jnz1568/getInfo.php?workbook=07_01.xlsx&amp;sheet=A0&amp;row=161&amp;col=26&amp;number=&amp;sourceID=13","")</f>
        <v/>
      </c>
      <c r="AA161" s="4" t="str">
        <f>HYPERLINK("http://141.218.60.56/~jnz1568/getInfo.php?workbook=07_01.xlsx&amp;sheet=A0&amp;row=161&amp;col=27&amp;number=&amp;sourceID=13","")</f>
        <v/>
      </c>
      <c r="AB161" s="4" t="str">
        <f>HYPERLINK("http://141.218.60.56/~jnz1568/getInfo.php?workbook=07_01.xlsx&amp;sheet=A0&amp;row=161&amp;col=28&amp;number=&amp;sourceID=13","")</f>
        <v/>
      </c>
      <c r="AC161" s="4" t="str">
        <f>HYPERLINK("http://141.218.60.56/~jnz1568/getInfo.php?workbook=07_01.xlsx&amp;sheet=A0&amp;row=161&amp;col=29&amp;number=&amp;sourceID=13","")</f>
        <v/>
      </c>
      <c r="AD161" s="4" t="str">
        <f>HYPERLINK("http://141.218.60.56/~jnz1568/getInfo.php?workbook=07_01.xlsx&amp;sheet=A0&amp;row=161&amp;col=30&amp;number=&amp;sourceID=13","")</f>
        <v/>
      </c>
    </row>
    <row r="162" spans="1:30">
      <c r="A162" s="3">
        <v>7</v>
      </c>
      <c r="B162" s="3">
        <v>1</v>
      </c>
      <c r="C162" s="3">
        <v>19</v>
      </c>
      <c r="D162" s="3">
        <v>13</v>
      </c>
      <c r="E162" s="3">
        <f>((1/(INDEX(E0!J$4:J$28,C162,1)-INDEX(E0!J$4:J$28,D162,1))))*100000000</f>
        <v>0</v>
      </c>
      <c r="F162" s="4" t="str">
        <f>HYPERLINK("http://141.218.60.56/~jnz1568/getInfo.php?workbook=07_01.xlsx&amp;sheet=A0&amp;row=162&amp;col=6&amp;number==&amp;sourceID=11","=")</f>
        <v>=</v>
      </c>
      <c r="G162" s="4" t="str">
        <f>HYPERLINK("http://141.218.60.56/~jnz1568/getInfo.php?workbook=07_01.xlsx&amp;sheet=A0&amp;row=162&amp;col=7&amp;number=595130000&amp;sourceID=11","595130000")</f>
        <v>595130000</v>
      </c>
      <c r="H162" s="4" t="str">
        <f>HYPERLINK("http://141.218.60.56/~jnz1568/getInfo.php?workbook=07_01.xlsx&amp;sheet=A0&amp;row=162&amp;col=8&amp;number=&amp;sourceID=11","")</f>
        <v/>
      </c>
      <c r="I162" s="4" t="str">
        <f>HYPERLINK("http://141.218.60.56/~jnz1568/getInfo.php?workbook=07_01.xlsx&amp;sheet=A0&amp;row=162&amp;col=9&amp;number=0.7547&amp;sourceID=11","0.7547")</f>
        <v>0.7547</v>
      </c>
      <c r="J162" s="4" t="str">
        <f>HYPERLINK("http://141.218.60.56/~jnz1568/getInfo.php?workbook=07_01.xlsx&amp;sheet=A0&amp;row=162&amp;col=10&amp;number=&amp;sourceID=11","")</f>
        <v/>
      </c>
      <c r="K162" s="4" t="str">
        <f>HYPERLINK("http://141.218.60.56/~jnz1568/getInfo.php?workbook=07_01.xlsx&amp;sheet=A0&amp;row=162&amp;col=11&amp;number=&amp;sourceID=11","")</f>
        <v/>
      </c>
      <c r="L162" s="4" t="str">
        <f>HYPERLINK("http://141.218.60.56/~jnz1568/getInfo.php?workbook=07_01.xlsx&amp;sheet=A0&amp;row=162&amp;col=12&amp;number=&amp;sourceID=11","")</f>
        <v/>
      </c>
      <c r="M162" s="4" t="str">
        <f>HYPERLINK("http://141.218.60.56/~jnz1568/getInfo.php?workbook=07_01.xlsx&amp;sheet=A0&amp;row=162&amp;col=13&amp;number=595150000&amp;sourceID=12","595150000")</f>
        <v>595150000</v>
      </c>
      <c r="N162" s="4" t="str">
        <f>HYPERLINK("http://141.218.60.56/~jnz1568/getInfo.php?workbook=07_01.xlsx&amp;sheet=A0&amp;row=162&amp;col=14&amp;number=595150000&amp;sourceID=12","595150000")</f>
        <v>595150000</v>
      </c>
      <c r="O162" s="4" t="str">
        <f>HYPERLINK("http://141.218.60.56/~jnz1568/getInfo.php?workbook=07_01.xlsx&amp;sheet=A0&amp;row=162&amp;col=15&amp;number=&amp;sourceID=12","")</f>
        <v/>
      </c>
      <c r="P162" s="4" t="str">
        <f>HYPERLINK("http://141.218.60.56/~jnz1568/getInfo.php?workbook=07_01.xlsx&amp;sheet=A0&amp;row=162&amp;col=16&amp;number=0.75473&amp;sourceID=12","0.75473")</f>
        <v>0.75473</v>
      </c>
      <c r="Q162" s="4" t="str">
        <f>HYPERLINK("http://141.218.60.56/~jnz1568/getInfo.php?workbook=07_01.xlsx&amp;sheet=A0&amp;row=162&amp;col=17&amp;number=&amp;sourceID=12","")</f>
        <v/>
      </c>
      <c r="R162" s="4" t="str">
        <f>HYPERLINK("http://141.218.60.56/~jnz1568/getInfo.php?workbook=07_01.xlsx&amp;sheet=A0&amp;row=162&amp;col=18&amp;number=&amp;sourceID=12","")</f>
        <v/>
      </c>
      <c r="S162" s="4" t="str">
        <f>HYPERLINK("http://141.218.60.56/~jnz1568/getInfo.php?workbook=07_01.xlsx&amp;sheet=A0&amp;row=162&amp;col=19&amp;number=&amp;sourceID=12","")</f>
        <v/>
      </c>
      <c r="T162" s="4" t="str">
        <f>HYPERLINK("http://141.218.60.56/~jnz1568/getInfo.php?workbook=07_01.xlsx&amp;sheet=A0&amp;row=162&amp;col=20&amp;number==&amp;sourceID=30","=")</f>
        <v>=</v>
      </c>
      <c r="U162" s="4" t="str">
        <f>HYPERLINK("http://141.218.60.56/~jnz1568/getInfo.php?workbook=07_01.xlsx&amp;sheet=A0&amp;row=162&amp;col=21&amp;number=595200000&amp;sourceID=30","595200000")</f>
        <v>595200000</v>
      </c>
      <c r="V162" s="4" t="str">
        <f>HYPERLINK("http://141.218.60.56/~jnz1568/getInfo.php?workbook=07_01.xlsx&amp;sheet=A0&amp;row=162&amp;col=22&amp;number=&amp;sourceID=30","")</f>
        <v/>
      </c>
      <c r="W162" s="4" t="str">
        <f>HYPERLINK("http://141.218.60.56/~jnz1568/getInfo.php?workbook=07_01.xlsx&amp;sheet=A0&amp;row=162&amp;col=23&amp;number=&amp;sourceID=30","")</f>
        <v/>
      </c>
      <c r="X162" s="4" t="str">
        <f>HYPERLINK("http://141.218.60.56/~jnz1568/getInfo.php?workbook=07_01.xlsx&amp;sheet=A0&amp;row=162&amp;col=24&amp;number=&amp;sourceID=30","")</f>
        <v/>
      </c>
      <c r="Y162" s="4" t="str">
        <f>HYPERLINK("http://141.218.60.56/~jnz1568/getInfo.php?workbook=07_01.xlsx&amp;sheet=A0&amp;row=162&amp;col=25&amp;number=&amp;sourceID=13","")</f>
        <v/>
      </c>
      <c r="Z162" s="4" t="str">
        <f>HYPERLINK("http://141.218.60.56/~jnz1568/getInfo.php?workbook=07_01.xlsx&amp;sheet=A0&amp;row=162&amp;col=26&amp;number=&amp;sourceID=13","")</f>
        <v/>
      </c>
      <c r="AA162" s="4" t="str">
        <f>HYPERLINK("http://141.218.60.56/~jnz1568/getInfo.php?workbook=07_01.xlsx&amp;sheet=A0&amp;row=162&amp;col=27&amp;number=&amp;sourceID=13","")</f>
        <v/>
      </c>
      <c r="AB162" s="4" t="str">
        <f>HYPERLINK("http://141.218.60.56/~jnz1568/getInfo.php?workbook=07_01.xlsx&amp;sheet=A0&amp;row=162&amp;col=28&amp;number=&amp;sourceID=13","")</f>
        <v/>
      </c>
      <c r="AC162" s="4" t="str">
        <f>HYPERLINK("http://141.218.60.56/~jnz1568/getInfo.php?workbook=07_01.xlsx&amp;sheet=A0&amp;row=162&amp;col=29&amp;number=&amp;sourceID=13","")</f>
        <v/>
      </c>
      <c r="AD162" s="4" t="str">
        <f>HYPERLINK("http://141.218.60.56/~jnz1568/getInfo.php?workbook=07_01.xlsx&amp;sheet=A0&amp;row=162&amp;col=30&amp;number=&amp;sourceID=13","")</f>
        <v/>
      </c>
    </row>
    <row r="163" spans="1:30">
      <c r="A163" s="3">
        <v>7</v>
      </c>
      <c r="B163" s="3">
        <v>1</v>
      </c>
      <c r="C163" s="3">
        <v>19</v>
      </c>
      <c r="D163" s="3">
        <v>14</v>
      </c>
      <c r="E163" s="3">
        <f>((1/(INDEX(E0!J$4:J$28,C163,1)-INDEX(E0!J$4:J$28,D163,1))))*100000000</f>
        <v>0</v>
      </c>
      <c r="F163" s="4" t="str">
        <f>HYPERLINK("http://141.218.60.56/~jnz1568/getInfo.php?workbook=07_01.xlsx&amp;sheet=A0&amp;row=163&amp;col=6&amp;number==&amp;sourceID=11","=")</f>
        <v>=</v>
      </c>
      <c r="G163" s="4" t="str">
        <f>HYPERLINK("http://141.218.60.56/~jnz1568/getInfo.php?workbook=07_01.xlsx&amp;sheet=A0&amp;row=163&amp;col=7&amp;number=121610000&amp;sourceID=11","121610000")</f>
        <v>121610000</v>
      </c>
      <c r="H163" s="4" t="str">
        <f>HYPERLINK("http://141.218.60.56/~jnz1568/getInfo.php?workbook=07_01.xlsx&amp;sheet=A0&amp;row=163&amp;col=8&amp;number=&amp;sourceID=11","")</f>
        <v/>
      </c>
      <c r="I163" s="4" t="str">
        <f>HYPERLINK("http://141.218.60.56/~jnz1568/getInfo.php?workbook=07_01.xlsx&amp;sheet=A0&amp;row=163&amp;col=9&amp;number=0.067908&amp;sourceID=11","0.067908")</f>
        <v>0.067908</v>
      </c>
      <c r="J163" s="4" t="str">
        <f>HYPERLINK("http://141.218.60.56/~jnz1568/getInfo.php?workbook=07_01.xlsx&amp;sheet=A0&amp;row=163&amp;col=10&amp;number=&amp;sourceID=11","")</f>
        <v/>
      </c>
      <c r="K163" s="4" t="str">
        <f>HYPERLINK("http://141.218.60.56/~jnz1568/getInfo.php?workbook=07_01.xlsx&amp;sheet=A0&amp;row=163&amp;col=11&amp;number=0.0046785&amp;sourceID=11","0.0046785")</f>
        <v>0.0046785</v>
      </c>
      <c r="L163" s="4" t="str">
        <f>HYPERLINK("http://141.218.60.56/~jnz1568/getInfo.php?workbook=07_01.xlsx&amp;sheet=A0&amp;row=163&amp;col=12&amp;number=&amp;sourceID=11","")</f>
        <v/>
      </c>
      <c r="M163" s="4" t="str">
        <f>HYPERLINK("http://141.218.60.56/~jnz1568/getInfo.php?workbook=07_01.xlsx&amp;sheet=A0&amp;row=163&amp;col=13&amp;number=121610000&amp;sourceID=12","121610000")</f>
        <v>121610000</v>
      </c>
      <c r="N163" s="4" t="str">
        <f>HYPERLINK("http://141.218.60.56/~jnz1568/getInfo.php?workbook=07_01.xlsx&amp;sheet=A0&amp;row=163&amp;col=14&amp;number=121610000&amp;sourceID=12","121610000")</f>
        <v>121610000</v>
      </c>
      <c r="O163" s="4" t="str">
        <f>HYPERLINK("http://141.218.60.56/~jnz1568/getInfo.php?workbook=07_01.xlsx&amp;sheet=A0&amp;row=163&amp;col=15&amp;number=&amp;sourceID=12","")</f>
        <v/>
      </c>
      <c r="P163" s="4" t="str">
        <f>HYPERLINK("http://141.218.60.56/~jnz1568/getInfo.php?workbook=07_01.xlsx&amp;sheet=A0&amp;row=163&amp;col=16&amp;number=0.067911&amp;sourceID=12","0.067911")</f>
        <v>0.067911</v>
      </c>
      <c r="Q163" s="4" t="str">
        <f>HYPERLINK("http://141.218.60.56/~jnz1568/getInfo.php?workbook=07_01.xlsx&amp;sheet=A0&amp;row=163&amp;col=17&amp;number=&amp;sourceID=12","")</f>
        <v/>
      </c>
      <c r="R163" s="4" t="str">
        <f>HYPERLINK("http://141.218.60.56/~jnz1568/getInfo.php?workbook=07_01.xlsx&amp;sheet=A0&amp;row=163&amp;col=18&amp;number=0.0046787&amp;sourceID=12","0.0046787")</f>
        <v>0.0046787</v>
      </c>
      <c r="S163" s="4" t="str">
        <f>HYPERLINK("http://141.218.60.56/~jnz1568/getInfo.php?workbook=07_01.xlsx&amp;sheet=A0&amp;row=163&amp;col=19&amp;number=&amp;sourceID=12","")</f>
        <v/>
      </c>
      <c r="T163" s="4" t="str">
        <f>HYPERLINK("http://141.218.60.56/~jnz1568/getInfo.php?workbook=07_01.xlsx&amp;sheet=A0&amp;row=163&amp;col=20&amp;number==&amp;sourceID=30","=")</f>
        <v>=</v>
      </c>
      <c r="U163" s="4" t="str">
        <f>HYPERLINK("http://141.218.60.56/~jnz1568/getInfo.php?workbook=07_01.xlsx&amp;sheet=A0&amp;row=163&amp;col=21&amp;number=121600000&amp;sourceID=30","121600000")</f>
        <v>121600000</v>
      </c>
      <c r="V163" s="4" t="str">
        <f>HYPERLINK("http://141.218.60.56/~jnz1568/getInfo.php?workbook=07_01.xlsx&amp;sheet=A0&amp;row=163&amp;col=22&amp;number=&amp;sourceID=30","")</f>
        <v/>
      </c>
      <c r="W163" s="4" t="str">
        <f>HYPERLINK("http://141.218.60.56/~jnz1568/getInfo.php?workbook=07_01.xlsx&amp;sheet=A0&amp;row=163&amp;col=23&amp;number=&amp;sourceID=30","")</f>
        <v/>
      </c>
      <c r="X163" s="4" t="str">
        <f>HYPERLINK("http://141.218.60.56/~jnz1568/getInfo.php?workbook=07_01.xlsx&amp;sheet=A0&amp;row=163&amp;col=24&amp;number=0.004679&amp;sourceID=30","0.004679")</f>
        <v>0.004679</v>
      </c>
      <c r="Y163" s="4" t="str">
        <f>HYPERLINK("http://141.218.60.56/~jnz1568/getInfo.php?workbook=07_01.xlsx&amp;sheet=A0&amp;row=163&amp;col=25&amp;number=&amp;sourceID=13","")</f>
        <v/>
      </c>
      <c r="Z163" s="4" t="str">
        <f>HYPERLINK("http://141.218.60.56/~jnz1568/getInfo.php?workbook=07_01.xlsx&amp;sheet=A0&amp;row=163&amp;col=26&amp;number=&amp;sourceID=13","")</f>
        <v/>
      </c>
      <c r="AA163" s="4" t="str">
        <f>HYPERLINK("http://141.218.60.56/~jnz1568/getInfo.php?workbook=07_01.xlsx&amp;sheet=A0&amp;row=163&amp;col=27&amp;number=&amp;sourceID=13","")</f>
        <v/>
      </c>
      <c r="AB163" s="4" t="str">
        <f>HYPERLINK("http://141.218.60.56/~jnz1568/getInfo.php?workbook=07_01.xlsx&amp;sheet=A0&amp;row=163&amp;col=28&amp;number=&amp;sourceID=13","")</f>
        <v/>
      </c>
      <c r="AC163" s="4" t="str">
        <f>HYPERLINK("http://141.218.60.56/~jnz1568/getInfo.php?workbook=07_01.xlsx&amp;sheet=A0&amp;row=163&amp;col=29&amp;number=&amp;sourceID=13","")</f>
        <v/>
      </c>
      <c r="AD163" s="4" t="str">
        <f>HYPERLINK("http://141.218.60.56/~jnz1568/getInfo.php?workbook=07_01.xlsx&amp;sheet=A0&amp;row=163&amp;col=30&amp;number=&amp;sourceID=13","")</f>
        <v/>
      </c>
    </row>
    <row r="164" spans="1:30">
      <c r="A164" s="3">
        <v>7</v>
      </c>
      <c r="B164" s="3">
        <v>1</v>
      </c>
      <c r="C164" s="3">
        <v>19</v>
      </c>
      <c r="D164" s="3">
        <v>15</v>
      </c>
      <c r="E164" s="3">
        <f>((1/(INDEX(E0!J$4:J$28,C164,1)-INDEX(E0!J$4:J$28,D164,1))))*100000000</f>
        <v>0</v>
      </c>
      <c r="F164" s="4" t="str">
        <f>HYPERLINK("http://141.218.60.56/~jnz1568/getInfo.php?workbook=07_01.xlsx&amp;sheet=A0&amp;row=164&amp;col=6&amp;number==&amp;sourceID=11","=")</f>
        <v>=</v>
      </c>
      <c r="G164" s="4" t="str">
        <f>HYPERLINK("http://141.218.60.56/~jnz1568/getInfo.php?workbook=07_01.xlsx&amp;sheet=A0&amp;row=164&amp;col=7&amp;number=&amp;sourceID=11","")</f>
        <v/>
      </c>
      <c r="H164" s="4" t="str">
        <f>HYPERLINK("http://141.218.60.56/~jnz1568/getInfo.php?workbook=07_01.xlsx&amp;sheet=A0&amp;row=164&amp;col=8&amp;number=9381&amp;sourceID=11","9381")</f>
        <v>9381</v>
      </c>
      <c r="I164" s="4" t="str">
        <f>HYPERLINK("http://141.218.60.56/~jnz1568/getInfo.php?workbook=07_01.xlsx&amp;sheet=A0&amp;row=164&amp;col=9&amp;number=&amp;sourceID=11","")</f>
        <v/>
      </c>
      <c r="J164" s="4" t="str">
        <f>HYPERLINK("http://141.218.60.56/~jnz1568/getInfo.php?workbook=07_01.xlsx&amp;sheet=A0&amp;row=164&amp;col=10&amp;number=0.0015922&amp;sourceID=11","0.0015922")</f>
        <v>0.0015922</v>
      </c>
      <c r="K164" s="4" t="str">
        <f>HYPERLINK("http://141.218.60.56/~jnz1568/getInfo.php?workbook=07_01.xlsx&amp;sheet=A0&amp;row=164&amp;col=11&amp;number=&amp;sourceID=11","")</f>
        <v/>
      </c>
      <c r="L164" s="4" t="str">
        <f>HYPERLINK("http://141.218.60.56/~jnz1568/getInfo.php?workbook=07_01.xlsx&amp;sheet=A0&amp;row=164&amp;col=12&amp;number=1.0264e-07&amp;sourceID=11","1.0264e-07")</f>
        <v>1.0264e-07</v>
      </c>
      <c r="M164" s="4" t="str">
        <f>HYPERLINK("http://141.218.60.56/~jnz1568/getInfo.php?workbook=07_01.xlsx&amp;sheet=A0&amp;row=164&amp;col=13&amp;number=9381.3&amp;sourceID=12","9381.3")</f>
        <v>9381.3</v>
      </c>
      <c r="N164" s="4" t="str">
        <f>HYPERLINK("http://141.218.60.56/~jnz1568/getInfo.php?workbook=07_01.xlsx&amp;sheet=A0&amp;row=164&amp;col=14&amp;number=&amp;sourceID=12","")</f>
        <v/>
      </c>
      <c r="O164" s="4" t="str">
        <f>HYPERLINK("http://141.218.60.56/~jnz1568/getInfo.php?workbook=07_01.xlsx&amp;sheet=A0&amp;row=164&amp;col=15&amp;number=9381.3&amp;sourceID=12","9381.3")</f>
        <v>9381.3</v>
      </c>
      <c r="P164" s="4" t="str">
        <f>HYPERLINK("http://141.218.60.56/~jnz1568/getInfo.php?workbook=07_01.xlsx&amp;sheet=A0&amp;row=164&amp;col=16&amp;number=&amp;sourceID=12","")</f>
        <v/>
      </c>
      <c r="Q164" s="4" t="str">
        <f>HYPERLINK("http://141.218.60.56/~jnz1568/getInfo.php?workbook=07_01.xlsx&amp;sheet=A0&amp;row=164&amp;col=17&amp;number=0.0015924&amp;sourceID=12","0.0015924")</f>
        <v>0.0015924</v>
      </c>
      <c r="R164" s="4" t="str">
        <f>HYPERLINK("http://141.218.60.56/~jnz1568/getInfo.php?workbook=07_01.xlsx&amp;sheet=A0&amp;row=164&amp;col=18&amp;number=&amp;sourceID=12","")</f>
        <v/>
      </c>
      <c r="S164" s="4" t="str">
        <f>HYPERLINK("http://141.218.60.56/~jnz1568/getInfo.php?workbook=07_01.xlsx&amp;sheet=A0&amp;row=164&amp;col=19&amp;number=1.0264e-07&amp;sourceID=12","1.0264e-07")</f>
        <v>1.0264e-07</v>
      </c>
      <c r="T164" s="4" t="str">
        <f>HYPERLINK("http://141.218.60.56/~jnz1568/getInfo.php?workbook=07_01.xlsx&amp;sheet=A0&amp;row=164&amp;col=20&amp;number==&amp;sourceID=30","=")</f>
        <v>=</v>
      </c>
      <c r="U164" s="4" t="str">
        <f>HYPERLINK("http://141.218.60.56/~jnz1568/getInfo.php?workbook=07_01.xlsx&amp;sheet=A0&amp;row=164&amp;col=21&amp;number=&amp;sourceID=30","")</f>
        <v/>
      </c>
      <c r="V164" s="4" t="str">
        <f>HYPERLINK("http://141.218.60.56/~jnz1568/getInfo.php?workbook=07_01.xlsx&amp;sheet=A0&amp;row=164&amp;col=22&amp;number=9381&amp;sourceID=30","9381")</f>
        <v>9381</v>
      </c>
      <c r="W164" s="4" t="str">
        <f>HYPERLINK("http://141.218.60.56/~jnz1568/getInfo.php?workbook=07_01.xlsx&amp;sheet=A0&amp;row=164&amp;col=23&amp;number=0.001591&amp;sourceID=30","0.001591")</f>
        <v>0.001591</v>
      </c>
      <c r="X164" s="4" t="str">
        <f>HYPERLINK("http://141.218.60.56/~jnz1568/getInfo.php?workbook=07_01.xlsx&amp;sheet=A0&amp;row=164&amp;col=24&amp;number=&amp;sourceID=30","")</f>
        <v/>
      </c>
      <c r="Y164" s="4" t="str">
        <f>HYPERLINK("http://141.218.60.56/~jnz1568/getInfo.php?workbook=07_01.xlsx&amp;sheet=A0&amp;row=164&amp;col=25&amp;number=&amp;sourceID=13","")</f>
        <v/>
      </c>
      <c r="Z164" s="4" t="str">
        <f>HYPERLINK("http://141.218.60.56/~jnz1568/getInfo.php?workbook=07_01.xlsx&amp;sheet=A0&amp;row=164&amp;col=26&amp;number=&amp;sourceID=13","")</f>
        <v/>
      </c>
      <c r="AA164" s="4" t="str">
        <f>HYPERLINK("http://141.218.60.56/~jnz1568/getInfo.php?workbook=07_01.xlsx&amp;sheet=A0&amp;row=164&amp;col=27&amp;number=&amp;sourceID=13","")</f>
        <v/>
      </c>
      <c r="AB164" s="4" t="str">
        <f>HYPERLINK("http://141.218.60.56/~jnz1568/getInfo.php?workbook=07_01.xlsx&amp;sheet=A0&amp;row=164&amp;col=28&amp;number=&amp;sourceID=13","")</f>
        <v/>
      </c>
      <c r="AC164" s="4" t="str">
        <f>HYPERLINK("http://141.218.60.56/~jnz1568/getInfo.php?workbook=07_01.xlsx&amp;sheet=A0&amp;row=164&amp;col=29&amp;number=&amp;sourceID=13","")</f>
        <v/>
      </c>
      <c r="AD164" s="4" t="str">
        <f>HYPERLINK("http://141.218.60.56/~jnz1568/getInfo.php?workbook=07_01.xlsx&amp;sheet=A0&amp;row=164&amp;col=30&amp;number=&amp;sourceID=13","")</f>
        <v/>
      </c>
    </row>
    <row r="165" spans="1:30">
      <c r="A165" s="3">
        <v>7</v>
      </c>
      <c r="B165" s="3">
        <v>1</v>
      </c>
      <c r="C165" s="3">
        <v>19</v>
      </c>
      <c r="D165" s="3">
        <v>16</v>
      </c>
      <c r="E165" s="3">
        <f>((1/(INDEX(E0!J$4:J$28,C165,1)-INDEX(E0!J$4:J$28,D165,1))))*100000000</f>
        <v>0</v>
      </c>
      <c r="F165" s="4" t="str">
        <f>HYPERLINK("http://141.218.60.56/~jnz1568/getInfo.php?workbook=07_01.xlsx&amp;sheet=A0&amp;row=165&amp;col=6&amp;number==&amp;sourceID=11","=")</f>
        <v>=</v>
      </c>
      <c r="G165" s="4" t="str">
        <f>HYPERLINK("http://141.218.60.56/~jnz1568/getInfo.php?workbook=07_01.xlsx&amp;sheet=A0&amp;row=165&amp;col=7&amp;number=&amp;sourceID=11","")</f>
        <v/>
      </c>
      <c r="H165" s="4" t="str">
        <f>HYPERLINK("http://141.218.60.56/~jnz1568/getInfo.php?workbook=07_01.xlsx&amp;sheet=A0&amp;row=165&amp;col=8&amp;number=&amp;sourceID=11","")</f>
        <v/>
      </c>
      <c r="I165" s="4" t="str">
        <f>HYPERLINK("http://141.218.60.56/~jnz1568/getInfo.php?workbook=07_01.xlsx&amp;sheet=A0&amp;row=165&amp;col=9&amp;number=0.037712&amp;sourceID=11","0.037712")</f>
        <v>0.037712</v>
      </c>
      <c r="J165" s="4" t="str">
        <f>HYPERLINK("http://141.218.60.56/~jnz1568/getInfo.php?workbook=07_01.xlsx&amp;sheet=A0&amp;row=165&amp;col=10&amp;number=&amp;sourceID=11","")</f>
        <v/>
      </c>
      <c r="K165" s="4" t="str">
        <f>HYPERLINK("http://141.218.60.56/~jnz1568/getInfo.php?workbook=07_01.xlsx&amp;sheet=A0&amp;row=165&amp;col=11&amp;number=0.0079921&amp;sourceID=11","0.0079921")</f>
        <v>0.0079921</v>
      </c>
      <c r="L165" s="4" t="str">
        <f>HYPERLINK("http://141.218.60.56/~jnz1568/getInfo.php?workbook=07_01.xlsx&amp;sheet=A0&amp;row=165&amp;col=12&amp;number=&amp;sourceID=11","")</f>
        <v/>
      </c>
      <c r="M165" s="4" t="str">
        <f>HYPERLINK("http://141.218.60.56/~jnz1568/getInfo.php?workbook=07_01.xlsx&amp;sheet=A0&amp;row=165&amp;col=13&amp;number=0.045705&amp;sourceID=12","0.045705")</f>
        <v>0.045705</v>
      </c>
      <c r="N165" s="4" t="str">
        <f>HYPERLINK("http://141.218.60.56/~jnz1568/getInfo.php?workbook=07_01.xlsx&amp;sheet=A0&amp;row=165&amp;col=14&amp;number=&amp;sourceID=12","")</f>
        <v/>
      </c>
      <c r="O165" s="4" t="str">
        <f>HYPERLINK("http://141.218.60.56/~jnz1568/getInfo.php?workbook=07_01.xlsx&amp;sheet=A0&amp;row=165&amp;col=15&amp;number=&amp;sourceID=12","")</f>
        <v/>
      </c>
      <c r="P165" s="4" t="str">
        <f>HYPERLINK("http://141.218.60.56/~jnz1568/getInfo.php?workbook=07_01.xlsx&amp;sheet=A0&amp;row=165&amp;col=16&amp;number=0.037713&amp;sourceID=12","0.037713")</f>
        <v>0.037713</v>
      </c>
      <c r="Q165" s="4" t="str">
        <f>HYPERLINK("http://141.218.60.56/~jnz1568/getInfo.php?workbook=07_01.xlsx&amp;sheet=A0&amp;row=165&amp;col=17&amp;number=&amp;sourceID=12","")</f>
        <v/>
      </c>
      <c r="R165" s="4" t="str">
        <f>HYPERLINK("http://141.218.60.56/~jnz1568/getInfo.php?workbook=07_01.xlsx&amp;sheet=A0&amp;row=165&amp;col=18&amp;number=0.0079924&amp;sourceID=12","0.0079924")</f>
        <v>0.0079924</v>
      </c>
      <c r="S165" s="4" t="str">
        <f>HYPERLINK("http://141.218.60.56/~jnz1568/getInfo.php?workbook=07_01.xlsx&amp;sheet=A0&amp;row=165&amp;col=19&amp;number=&amp;sourceID=12","")</f>
        <v/>
      </c>
      <c r="T165" s="4" t="str">
        <f>HYPERLINK("http://141.218.60.56/~jnz1568/getInfo.php?workbook=07_01.xlsx&amp;sheet=A0&amp;row=165&amp;col=20&amp;number==&amp;sourceID=30","=")</f>
        <v>=</v>
      </c>
      <c r="U165" s="4" t="str">
        <f>HYPERLINK("http://141.218.60.56/~jnz1568/getInfo.php?workbook=07_01.xlsx&amp;sheet=A0&amp;row=165&amp;col=21&amp;number=&amp;sourceID=30","")</f>
        <v/>
      </c>
      <c r="V165" s="4" t="str">
        <f>HYPERLINK("http://141.218.60.56/~jnz1568/getInfo.php?workbook=07_01.xlsx&amp;sheet=A0&amp;row=165&amp;col=22&amp;number=&amp;sourceID=30","")</f>
        <v/>
      </c>
      <c r="W165" s="4" t="str">
        <f>HYPERLINK("http://141.218.60.56/~jnz1568/getInfo.php?workbook=07_01.xlsx&amp;sheet=A0&amp;row=165&amp;col=23&amp;number=&amp;sourceID=30","")</f>
        <v/>
      </c>
      <c r="X165" s="4" t="str">
        <f>HYPERLINK("http://141.218.60.56/~jnz1568/getInfo.php?workbook=07_01.xlsx&amp;sheet=A0&amp;row=165&amp;col=24&amp;number=0.007992&amp;sourceID=30","0.007992")</f>
        <v>0.007992</v>
      </c>
      <c r="Y165" s="4" t="str">
        <f>HYPERLINK("http://141.218.60.56/~jnz1568/getInfo.php?workbook=07_01.xlsx&amp;sheet=A0&amp;row=165&amp;col=25&amp;number=&amp;sourceID=13","")</f>
        <v/>
      </c>
      <c r="Z165" s="4" t="str">
        <f>HYPERLINK("http://141.218.60.56/~jnz1568/getInfo.php?workbook=07_01.xlsx&amp;sheet=A0&amp;row=165&amp;col=26&amp;number=&amp;sourceID=13","")</f>
        <v/>
      </c>
      <c r="AA165" s="4" t="str">
        <f>HYPERLINK("http://141.218.60.56/~jnz1568/getInfo.php?workbook=07_01.xlsx&amp;sheet=A0&amp;row=165&amp;col=27&amp;number=&amp;sourceID=13","")</f>
        <v/>
      </c>
      <c r="AB165" s="4" t="str">
        <f>HYPERLINK("http://141.218.60.56/~jnz1568/getInfo.php?workbook=07_01.xlsx&amp;sheet=A0&amp;row=165&amp;col=28&amp;number=&amp;sourceID=13","")</f>
        <v/>
      </c>
      <c r="AC165" s="4" t="str">
        <f>HYPERLINK("http://141.218.60.56/~jnz1568/getInfo.php?workbook=07_01.xlsx&amp;sheet=A0&amp;row=165&amp;col=29&amp;number=&amp;sourceID=13","")</f>
        <v/>
      </c>
      <c r="AD165" s="4" t="str">
        <f>HYPERLINK("http://141.218.60.56/~jnz1568/getInfo.php?workbook=07_01.xlsx&amp;sheet=A0&amp;row=165&amp;col=30&amp;number=&amp;sourceID=13","")</f>
        <v/>
      </c>
    </row>
    <row r="166" spans="1:30">
      <c r="A166" s="3">
        <v>7</v>
      </c>
      <c r="B166" s="3">
        <v>1</v>
      </c>
      <c r="C166" s="3">
        <v>19</v>
      </c>
      <c r="D166" s="3">
        <v>17</v>
      </c>
      <c r="E166" s="3">
        <f>((1/(INDEX(E0!J$4:J$28,C166,1)-INDEX(E0!J$4:J$28,D166,1))))*100000000</f>
        <v>0</v>
      </c>
      <c r="F166" s="4" t="str">
        <f>HYPERLINK("http://141.218.60.56/~jnz1568/getInfo.php?workbook=07_01.xlsx&amp;sheet=A0&amp;row=166&amp;col=6&amp;number==&amp;sourceID=11","=")</f>
        <v>=</v>
      </c>
      <c r="G166" s="4" t="str">
        <f>HYPERLINK("http://141.218.60.56/~jnz1568/getInfo.php?workbook=07_01.xlsx&amp;sheet=A0&amp;row=166&amp;col=7&amp;number=2.8908&amp;sourceID=11","2.8908")</f>
        <v>2.8908</v>
      </c>
      <c r="H166" s="4" t="str">
        <f>HYPERLINK("http://141.218.60.56/~jnz1568/getInfo.php?workbook=07_01.xlsx&amp;sheet=A0&amp;row=166&amp;col=8&amp;number=&amp;sourceID=11","")</f>
        <v/>
      </c>
      <c r="I166" s="4" t="str">
        <f>HYPERLINK("http://141.218.60.56/~jnz1568/getInfo.php?workbook=07_01.xlsx&amp;sheet=A0&amp;row=166&amp;col=9&amp;number=&amp;sourceID=11","")</f>
        <v/>
      </c>
      <c r="J166" s="4" t="str">
        <f>HYPERLINK("http://141.218.60.56/~jnz1568/getInfo.php?workbook=07_01.xlsx&amp;sheet=A0&amp;row=166&amp;col=10&amp;number=&amp;sourceID=11","")</f>
        <v/>
      </c>
      <c r="K166" s="4" t="str">
        <f>HYPERLINK("http://141.218.60.56/~jnz1568/getInfo.php?workbook=07_01.xlsx&amp;sheet=A0&amp;row=166&amp;col=11&amp;number=0&amp;sourceID=11","0")</f>
        <v>0</v>
      </c>
      <c r="L166" s="4" t="str">
        <f>HYPERLINK("http://141.218.60.56/~jnz1568/getInfo.php?workbook=07_01.xlsx&amp;sheet=A0&amp;row=166&amp;col=12&amp;number=&amp;sourceID=11","")</f>
        <v/>
      </c>
      <c r="M166" s="4" t="str">
        <f>HYPERLINK("http://141.218.60.56/~jnz1568/getInfo.php?workbook=07_01.xlsx&amp;sheet=A0&amp;row=166&amp;col=13&amp;number=2.8912&amp;sourceID=12","2.8912")</f>
        <v>2.8912</v>
      </c>
      <c r="N166" s="4" t="str">
        <f>HYPERLINK("http://141.218.60.56/~jnz1568/getInfo.php?workbook=07_01.xlsx&amp;sheet=A0&amp;row=166&amp;col=14&amp;number=2.8912&amp;sourceID=12","2.8912")</f>
        <v>2.8912</v>
      </c>
      <c r="O166" s="4" t="str">
        <f>HYPERLINK("http://141.218.60.56/~jnz1568/getInfo.php?workbook=07_01.xlsx&amp;sheet=A0&amp;row=166&amp;col=15&amp;number=&amp;sourceID=12","")</f>
        <v/>
      </c>
      <c r="P166" s="4" t="str">
        <f>HYPERLINK("http://141.218.60.56/~jnz1568/getInfo.php?workbook=07_01.xlsx&amp;sheet=A0&amp;row=166&amp;col=16&amp;number=&amp;sourceID=12","")</f>
        <v/>
      </c>
      <c r="Q166" s="4" t="str">
        <f>HYPERLINK("http://141.218.60.56/~jnz1568/getInfo.php?workbook=07_01.xlsx&amp;sheet=A0&amp;row=166&amp;col=17&amp;number=&amp;sourceID=12","")</f>
        <v/>
      </c>
      <c r="R166" s="4" t="str">
        <f>HYPERLINK("http://141.218.60.56/~jnz1568/getInfo.php?workbook=07_01.xlsx&amp;sheet=A0&amp;row=166&amp;col=18&amp;number=0&amp;sourceID=12","0")</f>
        <v>0</v>
      </c>
      <c r="S166" s="4" t="str">
        <f>HYPERLINK("http://141.218.60.56/~jnz1568/getInfo.php?workbook=07_01.xlsx&amp;sheet=A0&amp;row=166&amp;col=19&amp;number=&amp;sourceID=12","")</f>
        <v/>
      </c>
      <c r="T166" s="4" t="str">
        <f>HYPERLINK("http://141.218.60.56/~jnz1568/getInfo.php?workbook=07_01.xlsx&amp;sheet=A0&amp;row=166&amp;col=20&amp;number==&amp;sourceID=30","=")</f>
        <v>=</v>
      </c>
      <c r="U166" s="4" t="str">
        <f>HYPERLINK("http://141.218.60.56/~jnz1568/getInfo.php?workbook=07_01.xlsx&amp;sheet=A0&amp;row=166&amp;col=21&amp;number=2.891&amp;sourceID=30","2.891")</f>
        <v>2.891</v>
      </c>
      <c r="V166" s="4" t="str">
        <f>HYPERLINK("http://141.218.60.56/~jnz1568/getInfo.php?workbook=07_01.xlsx&amp;sheet=A0&amp;row=166&amp;col=22&amp;number=&amp;sourceID=30","")</f>
        <v/>
      </c>
      <c r="W166" s="4" t="str">
        <f>HYPERLINK("http://141.218.60.56/~jnz1568/getInfo.php?workbook=07_01.xlsx&amp;sheet=A0&amp;row=166&amp;col=23&amp;number=&amp;sourceID=30","")</f>
        <v/>
      </c>
      <c r="X166" s="4" t="str">
        <f>HYPERLINK("http://141.218.60.56/~jnz1568/getInfo.php?workbook=07_01.xlsx&amp;sheet=A0&amp;row=166&amp;col=24&amp;number=0&amp;sourceID=30","0")</f>
        <v>0</v>
      </c>
      <c r="Y166" s="4" t="str">
        <f>HYPERLINK("http://141.218.60.56/~jnz1568/getInfo.php?workbook=07_01.xlsx&amp;sheet=A0&amp;row=166&amp;col=25&amp;number=&amp;sourceID=13","")</f>
        <v/>
      </c>
      <c r="Z166" s="4" t="str">
        <f>HYPERLINK("http://141.218.60.56/~jnz1568/getInfo.php?workbook=07_01.xlsx&amp;sheet=A0&amp;row=166&amp;col=26&amp;number=&amp;sourceID=13","")</f>
        <v/>
      </c>
      <c r="AA166" s="4" t="str">
        <f>HYPERLINK("http://141.218.60.56/~jnz1568/getInfo.php?workbook=07_01.xlsx&amp;sheet=A0&amp;row=166&amp;col=27&amp;number=&amp;sourceID=13","")</f>
        <v/>
      </c>
      <c r="AB166" s="4" t="str">
        <f>HYPERLINK("http://141.218.60.56/~jnz1568/getInfo.php?workbook=07_01.xlsx&amp;sheet=A0&amp;row=166&amp;col=28&amp;number=&amp;sourceID=13","")</f>
        <v/>
      </c>
      <c r="AC166" s="4" t="str">
        <f>HYPERLINK("http://141.218.60.56/~jnz1568/getInfo.php?workbook=07_01.xlsx&amp;sheet=A0&amp;row=166&amp;col=29&amp;number=&amp;sourceID=13","")</f>
        <v/>
      </c>
      <c r="AD166" s="4" t="str">
        <f>HYPERLINK("http://141.218.60.56/~jnz1568/getInfo.php?workbook=07_01.xlsx&amp;sheet=A0&amp;row=166&amp;col=30&amp;number=&amp;sourceID=13","")</f>
        <v/>
      </c>
    </row>
    <row r="167" spans="1:30">
      <c r="A167" s="3">
        <v>7</v>
      </c>
      <c r="B167" s="3">
        <v>1</v>
      </c>
      <c r="C167" s="3">
        <v>19</v>
      </c>
      <c r="D167" s="3">
        <v>18</v>
      </c>
      <c r="E167" s="3">
        <f>((1/(INDEX(E0!J$4:J$28,C167,1)-INDEX(E0!J$4:J$28,D167,1))))*100000000</f>
        <v>0</v>
      </c>
      <c r="F167" s="4" t="str">
        <f>HYPERLINK("http://141.218.60.56/~jnz1568/getInfo.php?workbook=07_01.xlsx&amp;sheet=A0&amp;row=167&amp;col=6&amp;number==&amp;sourceID=11","=")</f>
        <v>=</v>
      </c>
      <c r="G167" s="4" t="str">
        <f>HYPERLINK("http://141.218.60.56/~jnz1568/getInfo.php?workbook=07_01.xlsx&amp;sheet=A0&amp;row=167&amp;col=7&amp;number=&amp;sourceID=11","")</f>
        <v/>
      </c>
      <c r="H167" s="4" t="str">
        <f>HYPERLINK("http://141.218.60.56/~jnz1568/getInfo.php?workbook=07_01.xlsx&amp;sheet=A0&amp;row=167&amp;col=8&amp;number=1.0297e-11&amp;sourceID=11","1.0297e-11")</f>
        <v>1.0297e-11</v>
      </c>
      <c r="I167" s="4" t="str">
        <f>HYPERLINK("http://141.218.60.56/~jnz1568/getInfo.php?workbook=07_01.xlsx&amp;sheet=A0&amp;row=167&amp;col=9&amp;number=&amp;sourceID=11","")</f>
        <v/>
      </c>
      <c r="J167" s="4" t="str">
        <f>HYPERLINK("http://141.218.60.56/~jnz1568/getInfo.php?workbook=07_01.xlsx&amp;sheet=A0&amp;row=167&amp;col=10&amp;number=0&amp;sourceID=11","0")</f>
        <v>0</v>
      </c>
      <c r="K167" s="4" t="str">
        <f>HYPERLINK("http://141.218.60.56/~jnz1568/getInfo.php?workbook=07_01.xlsx&amp;sheet=A0&amp;row=167&amp;col=11&amp;number=&amp;sourceID=11","")</f>
        <v/>
      </c>
      <c r="L167" s="4" t="str">
        <f>HYPERLINK("http://141.218.60.56/~jnz1568/getInfo.php?workbook=07_01.xlsx&amp;sheet=A0&amp;row=167&amp;col=12&amp;number=&amp;sourceID=11","")</f>
        <v/>
      </c>
      <c r="M167" s="4" t="str">
        <f>HYPERLINK("http://141.218.60.56/~jnz1568/getInfo.php?workbook=07_01.xlsx&amp;sheet=A0&amp;row=167&amp;col=13&amp;number=1.0299e-11&amp;sourceID=12","1.0299e-11")</f>
        <v>1.0299e-11</v>
      </c>
      <c r="N167" s="4" t="str">
        <f>HYPERLINK("http://141.218.60.56/~jnz1568/getInfo.php?workbook=07_01.xlsx&amp;sheet=A0&amp;row=167&amp;col=14&amp;number=&amp;sourceID=12","")</f>
        <v/>
      </c>
      <c r="O167" s="4" t="str">
        <f>HYPERLINK("http://141.218.60.56/~jnz1568/getInfo.php?workbook=07_01.xlsx&amp;sheet=A0&amp;row=167&amp;col=15&amp;number=1.0299e-11&amp;sourceID=12","1.0299e-11")</f>
        <v>1.0299e-11</v>
      </c>
      <c r="P167" s="4" t="str">
        <f>HYPERLINK("http://141.218.60.56/~jnz1568/getInfo.php?workbook=07_01.xlsx&amp;sheet=A0&amp;row=167&amp;col=16&amp;number=&amp;sourceID=12","")</f>
        <v/>
      </c>
      <c r="Q167" s="4" t="str">
        <f>HYPERLINK("http://141.218.60.56/~jnz1568/getInfo.php?workbook=07_01.xlsx&amp;sheet=A0&amp;row=167&amp;col=17&amp;number=0&amp;sourceID=12","0")</f>
        <v>0</v>
      </c>
      <c r="R167" s="4" t="str">
        <f>HYPERLINK("http://141.218.60.56/~jnz1568/getInfo.php?workbook=07_01.xlsx&amp;sheet=A0&amp;row=167&amp;col=18&amp;number=&amp;sourceID=12","")</f>
        <v/>
      </c>
      <c r="S167" s="4" t="str">
        <f>HYPERLINK("http://141.218.60.56/~jnz1568/getInfo.php?workbook=07_01.xlsx&amp;sheet=A0&amp;row=167&amp;col=19&amp;number=&amp;sourceID=12","")</f>
        <v/>
      </c>
      <c r="T167" s="4" t="str">
        <f>HYPERLINK("http://141.218.60.56/~jnz1568/getInfo.php?workbook=07_01.xlsx&amp;sheet=A0&amp;row=167&amp;col=20&amp;number==&amp;sourceID=30","=")</f>
        <v>=</v>
      </c>
      <c r="U167" s="4" t="str">
        <f>HYPERLINK("http://141.218.60.56/~jnz1568/getInfo.php?workbook=07_01.xlsx&amp;sheet=A0&amp;row=167&amp;col=21&amp;number=&amp;sourceID=30","")</f>
        <v/>
      </c>
      <c r="V167" s="4" t="str">
        <f>HYPERLINK("http://141.218.60.56/~jnz1568/getInfo.php?workbook=07_01.xlsx&amp;sheet=A0&amp;row=167&amp;col=22&amp;number=1.03e-11&amp;sourceID=30","1.03e-11")</f>
        <v>1.03e-11</v>
      </c>
      <c r="W167" s="4" t="str">
        <f>HYPERLINK("http://141.218.60.56/~jnz1568/getInfo.php?workbook=07_01.xlsx&amp;sheet=A0&amp;row=167&amp;col=23&amp;number=0&amp;sourceID=30","0")</f>
        <v>0</v>
      </c>
      <c r="X167" s="4" t="str">
        <f>HYPERLINK("http://141.218.60.56/~jnz1568/getInfo.php?workbook=07_01.xlsx&amp;sheet=A0&amp;row=167&amp;col=24&amp;number=&amp;sourceID=30","")</f>
        <v/>
      </c>
      <c r="Y167" s="4" t="str">
        <f>HYPERLINK("http://141.218.60.56/~jnz1568/getInfo.php?workbook=07_01.xlsx&amp;sheet=A0&amp;row=167&amp;col=25&amp;number=&amp;sourceID=13","")</f>
        <v/>
      </c>
      <c r="Z167" s="4" t="str">
        <f>HYPERLINK("http://141.218.60.56/~jnz1568/getInfo.php?workbook=07_01.xlsx&amp;sheet=A0&amp;row=167&amp;col=26&amp;number=&amp;sourceID=13","")</f>
        <v/>
      </c>
      <c r="AA167" s="4" t="str">
        <f>HYPERLINK("http://141.218.60.56/~jnz1568/getInfo.php?workbook=07_01.xlsx&amp;sheet=A0&amp;row=167&amp;col=27&amp;number=&amp;sourceID=13","")</f>
        <v/>
      </c>
      <c r="AB167" s="4" t="str">
        <f>HYPERLINK("http://141.218.60.56/~jnz1568/getInfo.php?workbook=07_01.xlsx&amp;sheet=A0&amp;row=167&amp;col=28&amp;number=&amp;sourceID=13","")</f>
        <v/>
      </c>
      <c r="AC167" s="4" t="str">
        <f>HYPERLINK("http://141.218.60.56/~jnz1568/getInfo.php?workbook=07_01.xlsx&amp;sheet=A0&amp;row=167&amp;col=29&amp;number=&amp;sourceID=13","")</f>
        <v/>
      </c>
      <c r="AD167" s="4" t="str">
        <f>HYPERLINK("http://141.218.60.56/~jnz1568/getInfo.php?workbook=07_01.xlsx&amp;sheet=A0&amp;row=167&amp;col=30&amp;number=&amp;sourceID=13","")</f>
        <v/>
      </c>
    </row>
    <row r="168" spans="1:30">
      <c r="A168" s="3">
        <v>7</v>
      </c>
      <c r="B168" s="3">
        <v>1</v>
      </c>
      <c r="C168" s="3">
        <v>20</v>
      </c>
      <c r="D168" s="3">
        <v>1</v>
      </c>
      <c r="E168" s="3">
        <f>((1/(INDEX(E0!J$4:J$28,C168,1)-INDEX(E0!J$4:J$28,D168,1))))*100000000</f>
        <v>0</v>
      </c>
      <c r="F168" s="4" t="str">
        <f>HYPERLINK("http://141.218.60.56/~jnz1568/getInfo.php?workbook=07_01.xlsx&amp;sheet=A0&amp;row=168&amp;col=6&amp;number==&amp;sourceID=11","=")</f>
        <v>=</v>
      </c>
      <c r="G168" s="4" t="str">
        <f>HYPERLINK("http://141.218.60.56/~jnz1568/getInfo.php?workbook=07_01.xlsx&amp;sheet=A0&amp;row=168&amp;col=7&amp;number=82557000000&amp;sourceID=11","82557000000")</f>
        <v>82557000000</v>
      </c>
      <c r="H168" s="4" t="str">
        <f>HYPERLINK("http://141.218.60.56/~jnz1568/getInfo.php?workbook=07_01.xlsx&amp;sheet=A0&amp;row=168&amp;col=8&amp;number=&amp;sourceID=11","")</f>
        <v/>
      </c>
      <c r="I168" s="4" t="str">
        <f>HYPERLINK("http://141.218.60.56/~jnz1568/getInfo.php?workbook=07_01.xlsx&amp;sheet=A0&amp;row=168&amp;col=9&amp;number=&amp;sourceID=11","")</f>
        <v/>
      </c>
      <c r="J168" s="4" t="str">
        <f>HYPERLINK("http://141.218.60.56/~jnz1568/getInfo.php?workbook=07_01.xlsx&amp;sheet=A0&amp;row=168&amp;col=10&amp;number=&amp;sourceID=11","")</f>
        <v/>
      </c>
      <c r="K168" s="4" t="str">
        <f>HYPERLINK("http://141.218.60.56/~jnz1568/getInfo.php?workbook=07_01.xlsx&amp;sheet=A0&amp;row=168&amp;col=11&amp;number=24295&amp;sourceID=11","24295")</f>
        <v>24295</v>
      </c>
      <c r="L168" s="4" t="str">
        <f>HYPERLINK("http://141.218.60.56/~jnz1568/getInfo.php?workbook=07_01.xlsx&amp;sheet=A0&amp;row=168&amp;col=12&amp;number=&amp;sourceID=11","")</f>
        <v/>
      </c>
      <c r="M168" s="4" t="str">
        <f>HYPERLINK("http://141.218.60.56/~jnz1568/getInfo.php?workbook=07_01.xlsx&amp;sheet=A0&amp;row=168&amp;col=13&amp;number=82560000000&amp;sourceID=12","82560000000")</f>
        <v>82560000000</v>
      </c>
      <c r="N168" s="4" t="str">
        <f>HYPERLINK("http://141.218.60.56/~jnz1568/getInfo.php?workbook=07_01.xlsx&amp;sheet=A0&amp;row=168&amp;col=14&amp;number=82560000000&amp;sourceID=12","82560000000")</f>
        <v>82560000000</v>
      </c>
      <c r="O168" s="4" t="str">
        <f>HYPERLINK("http://141.218.60.56/~jnz1568/getInfo.php?workbook=07_01.xlsx&amp;sheet=A0&amp;row=168&amp;col=15&amp;number=&amp;sourceID=12","")</f>
        <v/>
      </c>
      <c r="P168" s="4" t="str">
        <f>HYPERLINK("http://141.218.60.56/~jnz1568/getInfo.php?workbook=07_01.xlsx&amp;sheet=A0&amp;row=168&amp;col=16&amp;number=&amp;sourceID=12","")</f>
        <v/>
      </c>
      <c r="Q168" s="4" t="str">
        <f>HYPERLINK("http://141.218.60.56/~jnz1568/getInfo.php?workbook=07_01.xlsx&amp;sheet=A0&amp;row=168&amp;col=17&amp;number=&amp;sourceID=12","")</f>
        <v/>
      </c>
      <c r="R168" s="4" t="str">
        <f>HYPERLINK("http://141.218.60.56/~jnz1568/getInfo.php?workbook=07_01.xlsx&amp;sheet=A0&amp;row=168&amp;col=18&amp;number=24296&amp;sourceID=12","24296")</f>
        <v>24296</v>
      </c>
      <c r="S168" s="4" t="str">
        <f>HYPERLINK("http://141.218.60.56/~jnz1568/getInfo.php?workbook=07_01.xlsx&amp;sheet=A0&amp;row=168&amp;col=19&amp;number=&amp;sourceID=12","")</f>
        <v/>
      </c>
      <c r="T168" s="4" t="str">
        <f>HYPERLINK("http://141.218.60.56/~jnz1568/getInfo.php?workbook=07_01.xlsx&amp;sheet=A0&amp;row=168&amp;col=20&amp;number==&amp;sourceID=30","=")</f>
        <v>=</v>
      </c>
      <c r="U168" s="4" t="str">
        <f>HYPERLINK("http://141.218.60.56/~jnz1568/getInfo.php?workbook=07_01.xlsx&amp;sheet=A0&amp;row=168&amp;col=21&amp;number=82560000000&amp;sourceID=30","82560000000")</f>
        <v>82560000000</v>
      </c>
      <c r="V168" s="4" t="str">
        <f>HYPERLINK("http://141.218.60.56/~jnz1568/getInfo.php?workbook=07_01.xlsx&amp;sheet=A0&amp;row=168&amp;col=22&amp;number=&amp;sourceID=30","")</f>
        <v/>
      </c>
      <c r="W168" s="4" t="str">
        <f>HYPERLINK("http://141.218.60.56/~jnz1568/getInfo.php?workbook=07_01.xlsx&amp;sheet=A0&amp;row=168&amp;col=23&amp;number=&amp;sourceID=30","")</f>
        <v/>
      </c>
      <c r="X168" s="4" t="str">
        <f>HYPERLINK("http://141.218.60.56/~jnz1568/getInfo.php?workbook=07_01.xlsx&amp;sheet=A0&amp;row=168&amp;col=24&amp;number=24300&amp;sourceID=30","24300")</f>
        <v>24300</v>
      </c>
      <c r="Y168" s="4" t="str">
        <f>HYPERLINK("http://141.218.60.56/~jnz1568/getInfo.php?workbook=07_01.xlsx&amp;sheet=A0&amp;row=168&amp;col=25&amp;number=&amp;sourceID=13","")</f>
        <v/>
      </c>
      <c r="Z168" s="4" t="str">
        <f>HYPERLINK("http://141.218.60.56/~jnz1568/getInfo.php?workbook=07_01.xlsx&amp;sheet=A0&amp;row=168&amp;col=26&amp;number=&amp;sourceID=13","")</f>
        <v/>
      </c>
      <c r="AA168" s="4" t="str">
        <f>HYPERLINK("http://141.218.60.56/~jnz1568/getInfo.php?workbook=07_01.xlsx&amp;sheet=A0&amp;row=168&amp;col=27&amp;number=&amp;sourceID=13","")</f>
        <v/>
      </c>
      <c r="AB168" s="4" t="str">
        <f>HYPERLINK("http://141.218.60.56/~jnz1568/getInfo.php?workbook=07_01.xlsx&amp;sheet=A0&amp;row=168&amp;col=28&amp;number=&amp;sourceID=13","")</f>
        <v/>
      </c>
      <c r="AC168" s="4" t="str">
        <f>HYPERLINK("http://141.218.60.56/~jnz1568/getInfo.php?workbook=07_01.xlsx&amp;sheet=A0&amp;row=168&amp;col=29&amp;number=&amp;sourceID=13","")</f>
        <v/>
      </c>
      <c r="AD168" s="4" t="str">
        <f>HYPERLINK("http://141.218.60.56/~jnz1568/getInfo.php?workbook=07_01.xlsx&amp;sheet=A0&amp;row=168&amp;col=30&amp;number=&amp;sourceID=13","")</f>
        <v/>
      </c>
    </row>
    <row r="169" spans="1:30">
      <c r="A169" s="3">
        <v>7</v>
      </c>
      <c r="B169" s="3">
        <v>1</v>
      </c>
      <c r="C169" s="3">
        <v>20</v>
      </c>
      <c r="D169" s="3">
        <v>2</v>
      </c>
      <c r="E169" s="3">
        <f>((1/(INDEX(E0!J$4:J$28,C169,1)-INDEX(E0!J$4:J$28,D169,1))))*100000000</f>
        <v>0</v>
      </c>
      <c r="F169" s="4" t="str">
        <f>HYPERLINK("http://141.218.60.56/~jnz1568/getInfo.php?workbook=07_01.xlsx&amp;sheet=A0&amp;row=169&amp;col=6&amp;number==&amp;sourceID=11","=")</f>
        <v>=</v>
      </c>
      <c r="G169" s="4" t="str">
        <f>HYPERLINK("http://141.218.60.56/~jnz1568/getInfo.php?workbook=07_01.xlsx&amp;sheet=A0&amp;row=169&amp;col=7&amp;number=&amp;sourceID=11","")</f>
        <v/>
      </c>
      <c r="H169" s="4" t="str">
        <f>HYPERLINK("http://141.218.60.56/~jnz1568/getInfo.php?workbook=07_01.xlsx&amp;sheet=A0&amp;row=169&amp;col=8&amp;number=310740&amp;sourceID=11","310740")</f>
        <v>310740</v>
      </c>
      <c r="I169" s="4" t="str">
        <f>HYPERLINK("http://141.218.60.56/~jnz1568/getInfo.php?workbook=07_01.xlsx&amp;sheet=A0&amp;row=169&amp;col=9&amp;number=&amp;sourceID=11","")</f>
        <v/>
      </c>
      <c r="J169" s="4" t="str">
        <f>HYPERLINK("http://141.218.60.56/~jnz1568/getInfo.php?workbook=07_01.xlsx&amp;sheet=A0&amp;row=169&amp;col=10&amp;number=0.27133&amp;sourceID=11","0.27133")</f>
        <v>0.27133</v>
      </c>
      <c r="K169" s="4" t="str">
        <f>HYPERLINK("http://141.218.60.56/~jnz1568/getInfo.php?workbook=07_01.xlsx&amp;sheet=A0&amp;row=169&amp;col=11&amp;number=&amp;sourceID=11","")</f>
        <v/>
      </c>
      <c r="L169" s="4" t="str">
        <f>HYPERLINK("http://141.218.60.56/~jnz1568/getInfo.php?workbook=07_01.xlsx&amp;sheet=A0&amp;row=169&amp;col=12&amp;number=&amp;sourceID=11","")</f>
        <v/>
      </c>
      <c r="M169" s="4" t="str">
        <f>HYPERLINK("http://141.218.60.56/~jnz1568/getInfo.php?workbook=07_01.xlsx&amp;sheet=A0&amp;row=169&amp;col=13&amp;number=310750&amp;sourceID=12","310750")</f>
        <v>310750</v>
      </c>
      <c r="N169" s="4" t="str">
        <f>HYPERLINK("http://141.218.60.56/~jnz1568/getInfo.php?workbook=07_01.xlsx&amp;sheet=A0&amp;row=169&amp;col=14&amp;number=&amp;sourceID=12","")</f>
        <v/>
      </c>
      <c r="O169" s="4" t="str">
        <f>HYPERLINK("http://141.218.60.56/~jnz1568/getInfo.php?workbook=07_01.xlsx&amp;sheet=A0&amp;row=169&amp;col=15&amp;number=310750&amp;sourceID=12","310750")</f>
        <v>310750</v>
      </c>
      <c r="P169" s="4" t="str">
        <f>HYPERLINK("http://141.218.60.56/~jnz1568/getInfo.php?workbook=07_01.xlsx&amp;sheet=A0&amp;row=169&amp;col=16&amp;number=&amp;sourceID=12","")</f>
        <v/>
      </c>
      <c r="Q169" s="4" t="str">
        <f>HYPERLINK("http://141.218.60.56/~jnz1568/getInfo.php?workbook=07_01.xlsx&amp;sheet=A0&amp;row=169&amp;col=17&amp;number=0.2714&amp;sourceID=12","0.2714")</f>
        <v>0.2714</v>
      </c>
      <c r="R169" s="4" t="str">
        <f>HYPERLINK("http://141.218.60.56/~jnz1568/getInfo.php?workbook=07_01.xlsx&amp;sheet=A0&amp;row=169&amp;col=18&amp;number=&amp;sourceID=12","")</f>
        <v/>
      </c>
      <c r="S169" s="4" t="str">
        <f>HYPERLINK("http://141.218.60.56/~jnz1568/getInfo.php?workbook=07_01.xlsx&amp;sheet=A0&amp;row=169&amp;col=19&amp;number=&amp;sourceID=12","")</f>
        <v/>
      </c>
      <c r="T169" s="4" t="str">
        <f>HYPERLINK("http://141.218.60.56/~jnz1568/getInfo.php?workbook=07_01.xlsx&amp;sheet=A0&amp;row=169&amp;col=20&amp;number==&amp;sourceID=30","=")</f>
        <v>=</v>
      </c>
      <c r="U169" s="4" t="str">
        <f>HYPERLINK("http://141.218.60.56/~jnz1568/getInfo.php?workbook=07_01.xlsx&amp;sheet=A0&amp;row=169&amp;col=21&amp;number=&amp;sourceID=30","")</f>
        <v/>
      </c>
      <c r="V169" s="4" t="str">
        <f>HYPERLINK("http://141.218.60.56/~jnz1568/getInfo.php?workbook=07_01.xlsx&amp;sheet=A0&amp;row=169&amp;col=22&amp;number=310800&amp;sourceID=30","310800")</f>
        <v>310800</v>
      </c>
      <c r="W169" s="4" t="str">
        <f>HYPERLINK("http://141.218.60.56/~jnz1568/getInfo.php?workbook=07_01.xlsx&amp;sheet=A0&amp;row=169&amp;col=23&amp;number=0.2714&amp;sourceID=30","0.2714")</f>
        <v>0.2714</v>
      </c>
      <c r="X169" s="4" t="str">
        <f>HYPERLINK("http://141.218.60.56/~jnz1568/getInfo.php?workbook=07_01.xlsx&amp;sheet=A0&amp;row=169&amp;col=24&amp;number=&amp;sourceID=30","")</f>
        <v/>
      </c>
      <c r="Y169" s="4" t="str">
        <f>HYPERLINK("http://141.218.60.56/~jnz1568/getInfo.php?workbook=07_01.xlsx&amp;sheet=A0&amp;row=169&amp;col=25&amp;number=&amp;sourceID=13","")</f>
        <v/>
      </c>
      <c r="Z169" s="4" t="str">
        <f>HYPERLINK("http://141.218.60.56/~jnz1568/getInfo.php?workbook=07_01.xlsx&amp;sheet=A0&amp;row=169&amp;col=26&amp;number=&amp;sourceID=13","")</f>
        <v/>
      </c>
      <c r="AA169" s="4" t="str">
        <f>HYPERLINK("http://141.218.60.56/~jnz1568/getInfo.php?workbook=07_01.xlsx&amp;sheet=A0&amp;row=169&amp;col=27&amp;number=&amp;sourceID=13","")</f>
        <v/>
      </c>
      <c r="AB169" s="4" t="str">
        <f>HYPERLINK("http://141.218.60.56/~jnz1568/getInfo.php?workbook=07_01.xlsx&amp;sheet=A0&amp;row=169&amp;col=28&amp;number=&amp;sourceID=13","")</f>
        <v/>
      </c>
      <c r="AC169" s="4" t="str">
        <f>HYPERLINK("http://141.218.60.56/~jnz1568/getInfo.php?workbook=07_01.xlsx&amp;sheet=A0&amp;row=169&amp;col=29&amp;number=&amp;sourceID=13","")</f>
        <v/>
      </c>
      <c r="AD169" s="4" t="str">
        <f>HYPERLINK("http://141.218.60.56/~jnz1568/getInfo.php?workbook=07_01.xlsx&amp;sheet=A0&amp;row=169&amp;col=30&amp;number=&amp;sourceID=13","")</f>
        <v/>
      </c>
    </row>
    <row r="170" spans="1:30">
      <c r="A170" s="3">
        <v>7</v>
      </c>
      <c r="B170" s="3">
        <v>1</v>
      </c>
      <c r="C170" s="3">
        <v>20</v>
      </c>
      <c r="D170" s="3">
        <v>3</v>
      </c>
      <c r="E170" s="3">
        <f>((1/(INDEX(E0!J$4:J$28,C170,1)-INDEX(E0!J$4:J$28,D170,1))))*100000000</f>
        <v>0</v>
      </c>
      <c r="F170" s="4" t="str">
        <f>HYPERLINK("http://141.218.60.56/~jnz1568/getInfo.php?workbook=07_01.xlsx&amp;sheet=A0&amp;row=170&amp;col=6&amp;number==&amp;sourceID=11","=")</f>
        <v>=</v>
      </c>
      <c r="G170" s="4" t="str">
        <f>HYPERLINK("http://141.218.60.56/~jnz1568/getInfo.php?workbook=07_01.xlsx&amp;sheet=A0&amp;row=170&amp;col=7&amp;number=11888000000&amp;sourceID=11","11888000000")</f>
        <v>11888000000</v>
      </c>
      <c r="H170" s="4" t="str">
        <f>HYPERLINK("http://141.218.60.56/~jnz1568/getInfo.php?workbook=07_01.xlsx&amp;sheet=A0&amp;row=170&amp;col=8&amp;number=&amp;sourceID=11","")</f>
        <v/>
      </c>
      <c r="I170" s="4" t="str">
        <f>HYPERLINK("http://141.218.60.56/~jnz1568/getInfo.php?workbook=07_01.xlsx&amp;sheet=A0&amp;row=170&amp;col=9&amp;number=&amp;sourceID=11","")</f>
        <v/>
      </c>
      <c r="J170" s="4" t="str">
        <f>HYPERLINK("http://141.218.60.56/~jnz1568/getInfo.php?workbook=07_01.xlsx&amp;sheet=A0&amp;row=170&amp;col=10&amp;number=&amp;sourceID=11","")</f>
        <v/>
      </c>
      <c r="K170" s="4" t="str">
        <f>HYPERLINK("http://141.218.60.56/~jnz1568/getInfo.php?workbook=07_01.xlsx&amp;sheet=A0&amp;row=170&amp;col=11&amp;number=167.61&amp;sourceID=11","167.61")</f>
        <v>167.61</v>
      </c>
      <c r="L170" s="4" t="str">
        <f>HYPERLINK("http://141.218.60.56/~jnz1568/getInfo.php?workbook=07_01.xlsx&amp;sheet=A0&amp;row=170&amp;col=12&amp;number=&amp;sourceID=11","")</f>
        <v/>
      </c>
      <c r="M170" s="4" t="str">
        <f>HYPERLINK("http://141.218.60.56/~jnz1568/getInfo.php?workbook=07_01.xlsx&amp;sheet=A0&amp;row=170&amp;col=13&amp;number=11888000000&amp;sourceID=12","11888000000")</f>
        <v>11888000000</v>
      </c>
      <c r="N170" s="4" t="str">
        <f>HYPERLINK("http://141.218.60.56/~jnz1568/getInfo.php?workbook=07_01.xlsx&amp;sheet=A0&amp;row=170&amp;col=14&amp;number=11888000000&amp;sourceID=12","11888000000")</f>
        <v>11888000000</v>
      </c>
      <c r="O170" s="4" t="str">
        <f>HYPERLINK("http://141.218.60.56/~jnz1568/getInfo.php?workbook=07_01.xlsx&amp;sheet=A0&amp;row=170&amp;col=15&amp;number=&amp;sourceID=12","")</f>
        <v/>
      </c>
      <c r="P170" s="4" t="str">
        <f>HYPERLINK("http://141.218.60.56/~jnz1568/getInfo.php?workbook=07_01.xlsx&amp;sheet=A0&amp;row=170&amp;col=16&amp;number=&amp;sourceID=12","")</f>
        <v/>
      </c>
      <c r="Q170" s="4" t="str">
        <f>HYPERLINK("http://141.218.60.56/~jnz1568/getInfo.php?workbook=07_01.xlsx&amp;sheet=A0&amp;row=170&amp;col=17&amp;number=&amp;sourceID=12","")</f>
        <v/>
      </c>
      <c r="R170" s="4" t="str">
        <f>HYPERLINK("http://141.218.60.56/~jnz1568/getInfo.php?workbook=07_01.xlsx&amp;sheet=A0&amp;row=170&amp;col=18&amp;number=167.62&amp;sourceID=12","167.62")</f>
        <v>167.62</v>
      </c>
      <c r="S170" s="4" t="str">
        <f>HYPERLINK("http://141.218.60.56/~jnz1568/getInfo.php?workbook=07_01.xlsx&amp;sheet=A0&amp;row=170&amp;col=19&amp;number=&amp;sourceID=12","")</f>
        <v/>
      </c>
      <c r="T170" s="4" t="str">
        <f>HYPERLINK("http://141.218.60.56/~jnz1568/getInfo.php?workbook=07_01.xlsx&amp;sheet=A0&amp;row=170&amp;col=20&amp;number==&amp;sourceID=30","=")</f>
        <v>=</v>
      </c>
      <c r="U170" s="4" t="str">
        <f>HYPERLINK("http://141.218.60.56/~jnz1568/getInfo.php?workbook=07_01.xlsx&amp;sheet=A0&amp;row=170&amp;col=21&amp;number=11890000000&amp;sourceID=30","11890000000")</f>
        <v>11890000000</v>
      </c>
      <c r="V170" s="4" t="str">
        <f>HYPERLINK("http://141.218.60.56/~jnz1568/getInfo.php?workbook=07_01.xlsx&amp;sheet=A0&amp;row=170&amp;col=22&amp;number=&amp;sourceID=30","")</f>
        <v/>
      </c>
      <c r="W170" s="4" t="str">
        <f>HYPERLINK("http://141.218.60.56/~jnz1568/getInfo.php?workbook=07_01.xlsx&amp;sheet=A0&amp;row=170&amp;col=23&amp;number=&amp;sourceID=30","")</f>
        <v/>
      </c>
      <c r="X170" s="4" t="str">
        <f>HYPERLINK("http://141.218.60.56/~jnz1568/getInfo.php?workbook=07_01.xlsx&amp;sheet=A0&amp;row=170&amp;col=24&amp;number=167.6&amp;sourceID=30","167.6")</f>
        <v>167.6</v>
      </c>
      <c r="Y170" s="4" t="str">
        <f>HYPERLINK("http://141.218.60.56/~jnz1568/getInfo.php?workbook=07_01.xlsx&amp;sheet=A0&amp;row=170&amp;col=25&amp;number=&amp;sourceID=13","")</f>
        <v/>
      </c>
      <c r="Z170" s="4" t="str">
        <f>HYPERLINK("http://141.218.60.56/~jnz1568/getInfo.php?workbook=07_01.xlsx&amp;sheet=A0&amp;row=170&amp;col=26&amp;number=&amp;sourceID=13","")</f>
        <v/>
      </c>
      <c r="AA170" s="4" t="str">
        <f>HYPERLINK("http://141.218.60.56/~jnz1568/getInfo.php?workbook=07_01.xlsx&amp;sheet=A0&amp;row=170&amp;col=27&amp;number=&amp;sourceID=13","")</f>
        <v/>
      </c>
      <c r="AB170" s="4" t="str">
        <f>HYPERLINK("http://141.218.60.56/~jnz1568/getInfo.php?workbook=07_01.xlsx&amp;sheet=A0&amp;row=170&amp;col=28&amp;number=&amp;sourceID=13","")</f>
        <v/>
      </c>
      <c r="AC170" s="4" t="str">
        <f>HYPERLINK("http://141.218.60.56/~jnz1568/getInfo.php?workbook=07_01.xlsx&amp;sheet=A0&amp;row=170&amp;col=29&amp;number=&amp;sourceID=13","")</f>
        <v/>
      </c>
      <c r="AD170" s="4" t="str">
        <f>HYPERLINK("http://141.218.60.56/~jnz1568/getInfo.php?workbook=07_01.xlsx&amp;sheet=A0&amp;row=170&amp;col=30&amp;number=&amp;sourceID=13","")</f>
        <v/>
      </c>
    </row>
    <row r="171" spans="1:30">
      <c r="A171" s="3">
        <v>7</v>
      </c>
      <c r="B171" s="3">
        <v>1</v>
      </c>
      <c r="C171" s="3">
        <v>20</v>
      </c>
      <c r="D171" s="3">
        <v>4</v>
      </c>
      <c r="E171" s="3">
        <f>((1/(INDEX(E0!J$4:J$28,C171,1)-INDEX(E0!J$4:J$28,D171,1))))*100000000</f>
        <v>0</v>
      </c>
      <c r="F171" s="4" t="str">
        <f>HYPERLINK("http://141.218.60.56/~jnz1568/getInfo.php?workbook=07_01.xlsx&amp;sheet=A0&amp;row=171&amp;col=6&amp;number==&amp;sourceID=11","=")</f>
        <v>=</v>
      </c>
      <c r="G171" s="4" t="str">
        <f>HYPERLINK("http://141.218.60.56/~jnz1568/getInfo.php?workbook=07_01.xlsx&amp;sheet=A0&amp;row=171&amp;col=7&amp;number=&amp;sourceID=11","")</f>
        <v/>
      </c>
      <c r="H171" s="4" t="str">
        <f>HYPERLINK("http://141.218.60.56/~jnz1568/getInfo.php?workbook=07_01.xlsx&amp;sheet=A0&amp;row=171&amp;col=8&amp;number=309960&amp;sourceID=11","309960")</f>
        <v>309960</v>
      </c>
      <c r="I171" s="4" t="str">
        <f>HYPERLINK("http://141.218.60.56/~jnz1568/getInfo.php?workbook=07_01.xlsx&amp;sheet=A0&amp;row=171&amp;col=9&amp;number=&amp;sourceID=11","")</f>
        <v/>
      </c>
      <c r="J171" s="4" t="str">
        <f>HYPERLINK("http://141.218.60.56/~jnz1568/getInfo.php?workbook=07_01.xlsx&amp;sheet=A0&amp;row=171&amp;col=10&amp;number=0.5031&amp;sourceID=11","0.5031")</f>
        <v>0.5031</v>
      </c>
      <c r="K171" s="4" t="str">
        <f>HYPERLINK("http://141.218.60.56/~jnz1568/getInfo.php?workbook=07_01.xlsx&amp;sheet=A0&amp;row=171&amp;col=11&amp;number=&amp;sourceID=11","")</f>
        <v/>
      </c>
      <c r="L171" s="4" t="str">
        <f>HYPERLINK("http://141.218.60.56/~jnz1568/getInfo.php?workbook=07_01.xlsx&amp;sheet=A0&amp;row=171&amp;col=12&amp;number=0.0093088&amp;sourceID=11","0.0093088")</f>
        <v>0.0093088</v>
      </c>
      <c r="M171" s="4" t="str">
        <f>HYPERLINK("http://141.218.60.56/~jnz1568/getInfo.php?workbook=07_01.xlsx&amp;sheet=A0&amp;row=171&amp;col=13&amp;number=309970&amp;sourceID=12","309970")</f>
        <v>309970</v>
      </c>
      <c r="N171" s="4" t="str">
        <f>HYPERLINK("http://141.218.60.56/~jnz1568/getInfo.php?workbook=07_01.xlsx&amp;sheet=A0&amp;row=171&amp;col=14&amp;number=&amp;sourceID=12","")</f>
        <v/>
      </c>
      <c r="O171" s="4" t="str">
        <f>HYPERLINK("http://141.218.60.56/~jnz1568/getInfo.php?workbook=07_01.xlsx&amp;sheet=A0&amp;row=171&amp;col=15&amp;number=309970&amp;sourceID=12","309970")</f>
        <v>309970</v>
      </c>
      <c r="P171" s="4" t="str">
        <f>HYPERLINK("http://141.218.60.56/~jnz1568/getInfo.php?workbook=07_01.xlsx&amp;sheet=A0&amp;row=171&amp;col=16&amp;number=&amp;sourceID=12","")</f>
        <v/>
      </c>
      <c r="Q171" s="4" t="str">
        <f>HYPERLINK("http://141.218.60.56/~jnz1568/getInfo.php?workbook=07_01.xlsx&amp;sheet=A0&amp;row=171&amp;col=17&amp;number=0.50297&amp;sourceID=12","0.50297")</f>
        <v>0.50297</v>
      </c>
      <c r="R171" s="4" t="str">
        <f>HYPERLINK("http://141.218.60.56/~jnz1568/getInfo.php?workbook=07_01.xlsx&amp;sheet=A0&amp;row=171&amp;col=18&amp;number=&amp;sourceID=12","")</f>
        <v/>
      </c>
      <c r="S171" s="4" t="str">
        <f>HYPERLINK("http://141.218.60.56/~jnz1568/getInfo.php?workbook=07_01.xlsx&amp;sheet=A0&amp;row=171&amp;col=19&amp;number=0.0093091&amp;sourceID=12","0.0093091")</f>
        <v>0.0093091</v>
      </c>
      <c r="T171" s="4" t="str">
        <f>HYPERLINK("http://141.218.60.56/~jnz1568/getInfo.php?workbook=07_01.xlsx&amp;sheet=A0&amp;row=171&amp;col=20&amp;number==&amp;sourceID=30","=")</f>
        <v>=</v>
      </c>
      <c r="U171" s="4" t="str">
        <f>HYPERLINK("http://141.218.60.56/~jnz1568/getInfo.php?workbook=07_01.xlsx&amp;sheet=A0&amp;row=171&amp;col=21&amp;number=&amp;sourceID=30","")</f>
        <v/>
      </c>
      <c r="V171" s="4" t="str">
        <f>HYPERLINK("http://141.218.60.56/~jnz1568/getInfo.php?workbook=07_01.xlsx&amp;sheet=A0&amp;row=171&amp;col=22&amp;number=310000&amp;sourceID=30","310000")</f>
        <v>310000</v>
      </c>
      <c r="W171" s="4" t="str">
        <f>HYPERLINK("http://141.218.60.56/~jnz1568/getInfo.php?workbook=07_01.xlsx&amp;sheet=A0&amp;row=171&amp;col=23&amp;number=0.5031&amp;sourceID=30","0.5031")</f>
        <v>0.5031</v>
      </c>
      <c r="X171" s="4" t="str">
        <f>HYPERLINK("http://141.218.60.56/~jnz1568/getInfo.php?workbook=07_01.xlsx&amp;sheet=A0&amp;row=171&amp;col=24&amp;number=&amp;sourceID=30","")</f>
        <v/>
      </c>
      <c r="Y171" s="4" t="str">
        <f>HYPERLINK("http://141.218.60.56/~jnz1568/getInfo.php?workbook=07_01.xlsx&amp;sheet=A0&amp;row=171&amp;col=25&amp;number=&amp;sourceID=13","")</f>
        <v/>
      </c>
      <c r="Z171" s="4" t="str">
        <f>HYPERLINK("http://141.218.60.56/~jnz1568/getInfo.php?workbook=07_01.xlsx&amp;sheet=A0&amp;row=171&amp;col=26&amp;number=&amp;sourceID=13","")</f>
        <v/>
      </c>
      <c r="AA171" s="4" t="str">
        <f>HYPERLINK("http://141.218.60.56/~jnz1568/getInfo.php?workbook=07_01.xlsx&amp;sheet=A0&amp;row=171&amp;col=27&amp;number=&amp;sourceID=13","")</f>
        <v/>
      </c>
      <c r="AB171" s="4" t="str">
        <f>HYPERLINK("http://141.218.60.56/~jnz1568/getInfo.php?workbook=07_01.xlsx&amp;sheet=A0&amp;row=171&amp;col=28&amp;number=&amp;sourceID=13","")</f>
        <v/>
      </c>
      <c r="AC171" s="4" t="str">
        <f>HYPERLINK("http://141.218.60.56/~jnz1568/getInfo.php?workbook=07_01.xlsx&amp;sheet=A0&amp;row=171&amp;col=29&amp;number=&amp;sourceID=13","")</f>
        <v/>
      </c>
      <c r="AD171" s="4" t="str">
        <f>HYPERLINK("http://141.218.60.56/~jnz1568/getInfo.php?workbook=07_01.xlsx&amp;sheet=A0&amp;row=171&amp;col=30&amp;number=&amp;sourceID=13","")</f>
        <v/>
      </c>
    </row>
    <row r="172" spans="1:30">
      <c r="A172" s="3">
        <v>7</v>
      </c>
      <c r="B172" s="3">
        <v>1</v>
      </c>
      <c r="C172" s="3">
        <v>20</v>
      </c>
      <c r="D172" s="3">
        <v>5</v>
      </c>
      <c r="E172" s="3">
        <f>((1/(INDEX(E0!J$4:J$28,C172,1)-INDEX(E0!J$4:J$28,D172,1))))*100000000</f>
        <v>0</v>
      </c>
      <c r="F172" s="4" t="str">
        <f>HYPERLINK("http://141.218.60.56/~jnz1568/getInfo.php?workbook=07_01.xlsx&amp;sheet=A0&amp;row=172&amp;col=6&amp;number==&amp;sourceID=11","=")</f>
        <v>=</v>
      </c>
      <c r="G172" s="4" t="str">
        <f>HYPERLINK("http://141.218.60.56/~jnz1568/getInfo.php?workbook=07_01.xlsx&amp;sheet=A0&amp;row=172&amp;col=7&amp;number=&amp;sourceID=11","")</f>
        <v/>
      </c>
      <c r="H172" s="4" t="str">
        <f>HYPERLINK("http://141.218.60.56/~jnz1568/getInfo.php?workbook=07_01.xlsx&amp;sheet=A0&amp;row=172&amp;col=8&amp;number=84190&amp;sourceID=11","84190")</f>
        <v>84190</v>
      </c>
      <c r="I172" s="4" t="str">
        <f>HYPERLINK("http://141.218.60.56/~jnz1568/getInfo.php?workbook=07_01.xlsx&amp;sheet=A0&amp;row=172&amp;col=9&amp;number=&amp;sourceID=11","")</f>
        <v/>
      </c>
      <c r="J172" s="4" t="str">
        <f>HYPERLINK("http://141.218.60.56/~jnz1568/getInfo.php?workbook=07_01.xlsx&amp;sheet=A0&amp;row=172&amp;col=10&amp;number=0.038355&amp;sourceID=11","0.038355")</f>
        <v>0.038355</v>
      </c>
      <c r="K172" s="4" t="str">
        <f>HYPERLINK("http://141.218.60.56/~jnz1568/getInfo.php?workbook=07_01.xlsx&amp;sheet=A0&amp;row=172&amp;col=11&amp;number=&amp;sourceID=11","")</f>
        <v/>
      </c>
      <c r="L172" s="4" t="str">
        <f>HYPERLINK("http://141.218.60.56/~jnz1568/getInfo.php?workbook=07_01.xlsx&amp;sheet=A0&amp;row=172&amp;col=12&amp;number=&amp;sourceID=11","")</f>
        <v/>
      </c>
      <c r="M172" s="4" t="str">
        <f>HYPERLINK("http://141.218.60.56/~jnz1568/getInfo.php?workbook=07_01.xlsx&amp;sheet=A0&amp;row=172&amp;col=13&amp;number=84193&amp;sourceID=12","84193")</f>
        <v>84193</v>
      </c>
      <c r="N172" s="4" t="str">
        <f>HYPERLINK("http://141.218.60.56/~jnz1568/getInfo.php?workbook=07_01.xlsx&amp;sheet=A0&amp;row=172&amp;col=14&amp;number=&amp;sourceID=12","")</f>
        <v/>
      </c>
      <c r="O172" s="4" t="str">
        <f>HYPERLINK("http://141.218.60.56/~jnz1568/getInfo.php?workbook=07_01.xlsx&amp;sheet=A0&amp;row=172&amp;col=15&amp;number=84193&amp;sourceID=12","84193")</f>
        <v>84193</v>
      </c>
      <c r="P172" s="4" t="str">
        <f>HYPERLINK("http://141.218.60.56/~jnz1568/getInfo.php?workbook=07_01.xlsx&amp;sheet=A0&amp;row=172&amp;col=16&amp;number=&amp;sourceID=12","")</f>
        <v/>
      </c>
      <c r="Q172" s="4" t="str">
        <f>HYPERLINK("http://141.218.60.56/~jnz1568/getInfo.php?workbook=07_01.xlsx&amp;sheet=A0&amp;row=172&amp;col=17&amp;number=0.038356&amp;sourceID=12","0.038356")</f>
        <v>0.038356</v>
      </c>
      <c r="R172" s="4" t="str">
        <f>HYPERLINK("http://141.218.60.56/~jnz1568/getInfo.php?workbook=07_01.xlsx&amp;sheet=A0&amp;row=172&amp;col=18&amp;number=&amp;sourceID=12","")</f>
        <v/>
      </c>
      <c r="S172" s="4" t="str">
        <f>HYPERLINK("http://141.218.60.56/~jnz1568/getInfo.php?workbook=07_01.xlsx&amp;sheet=A0&amp;row=172&amp;col=19&amp;number=&amp;sourceID=12","")</f>
        <v/>
      </c>
      <c r="T172" s="4" t="str">
        <f>HYPERLINK("http://141.218.60.56/~jnz1568/getInfo.php?workbook=07_01.xlsx&amp;sheet=A0&amp;row=172&amp;col=20&amp;number==&amp;sourceID=30","=")</f>
        <v>=</v>
      </c>
      <c r="U172" s="4" t="str">
        <f>HYPERLINK("http://141.218.60.56/~jnz1568/getInfo.php?workbook=07_01.xlsx&amp;sheet=A0&amp;row=172&amp;col=21&amp;number=&amp;sourceID=30","")</f>
        <v/>
      </c>
      <c r="V172" s="4" t="str">
        <f>HYPERLINK("http://141.218.60.56/~jnz1568/getInfo.php?workbook=07_01.xlsx&amp;sheet=A0&amp;row=172&amp;col=22&amp;number=84190&amp;sourceID=30","84190")</f>
        <v>84190</v>
      </c>
      <c r="W172" s="4" t="str">
        <f>HYPERLINK("http://141.218.60.56/~jnz1568/getInfo.php?workbook=07_01.xlsx&amp;sheet=A0&amp;row=172&amp;col=23&amp;number=0.03837&amp;sourceID=30","0.03837")</f>
        <v>0.03837</v>
      </c>
      <c r="X172" s="4" t="str">
        <f>HYPERLINK("http://141.218.60.56/~jnz1568/getInfo.php?workbook=07_01.xlsx&amp;sheet=A0&amp;row=172&amp;col=24&amp;number=&amp;sourceID=30","")</f>
        <v/>
      </c>
      <c r="Y172" s="4" t="str">
        <f>HYPERLINK("http://141.218.60.56/~jnz1568/getInfo.php?workbook=07_01.xlsx&amp;sheet=A0&amp;row=172&amp;col=25&amp;number=&amp;sourceID=13","")</f>
        <v/>
      </c>
      <c r="Z172" s="4" t="str">
        <f>HYPERLINK("http://141.218.60.56/~jnz1568/getInfo.php?workbook=07_01.xlsx&amp;sheet=A0&amp;row=172&amp;col=26&amp;number=&amp;sourceID=13","")</f>
        <v/>
      </c>
      <c r="AA172" s="4" t="str">
        <f>HYPERLINK("http://141.218.60.56/~jnz1568/getInfo.php?workbook=07_01.xlsx&amp;sheet=A0&amp;row=172&amp;col=27&amp;number=&amp;sourceID=13","")</f>
        <v/>
      </c>
      <c r="AB172" s="4" t="str">
        <f>HYPERLINK("http://141.218.60.56/~jnz1568/getInfo.php?workbook=07_01.xlsx&amp;sheet=A0&amp;row=172&amp;col=28&amp;number=&amp;sourceID=13","")</f>
        <v/>
      </c>
      <c r="AC172" s="4" t="str">
        <f>HYPERLINK("http://141.218.60.56/~jnz1568/getInfo.php?workbook=07_01.xlsx&amp;sheet=A0&amp;row=172&amp;col=29&amp;number=&amp;sourceID=13","")</f>
        <v/>
      </c>
      <c r="AD172" s="4" t="str">
        <f>HYPERLINK("http://141.218.60.56/~jnz1568/getInfo.php?workbook=07_01.xlsx&amp;sheet=A0&amp;row=172&amp;col=30&amp;number=&amp;sourceID=13","")</f>
        <v/>
      </c>
    </row>
    <row r="173" spans="1:30">
      <c r="A173" s="3">
        <v>7</v>
      </c>
      <c r="B173" s="3">
        <v>1</v>
      </c>
      <c r="C173" s="3">
        <v>20</v>
      </c>
      <c r="D173" s="3">
        <v>6</v>
      </c>
      <c r="E173" s="3">
        <f>((1/(INDEX(E0!J$4:J$28,C173,1)-INDEX(E0!J$4:J$28,D173,1))))*100000000</f>
        <v>0</v>
      </c>
      <c r="F173" s="4" t="str">
        <f>HYPERLINK("http://141.218.60.56/~jnz1568/getInfo.php?workbook=07_01.xlsx&amp;sheet=A0&amp;row=173&amp;col=6&amp;number==&amp;sourceID=11","=")</f>
        <v>=</v>
      </c>
      <c r="G173" s="4" t="str">
        <f>HYPERLINK("http://141.218.60.56/~jnz1568/getInfo.php?workbook=07_01.xlsx&amp;sheet=A0&amp;row=173&amp;col=7&amp;number=3931500000&amp;sourceID=11","3931500000")</f>
        <v>3931500000</v>
      </c>
      <c r="H173" s="4" t="str">
        <f>HYPERLINK("http://141.218.60.56/~jnz1568/getInfo.php?workbook=07_01.xlsx&amp;sheet=A0&amp;row=173&amp;col=8&amp;number=&amp;sourceID=11","")</f>
        <v/>
      </c>
      <c r="I173" s="4" t="str">
        <f>HYPERLINK("http://141.218.60.56/~jnz1568/getInfo.php?workbook=07_01.xlsx&amp;sheet=A0&amp;row=173&amp;col=9&amp;number=&amp;sourceID=11","")</f>
        <v/>
      </c>
      <c r="J173" s="4" t="str">
        <f>HYPERLINK("http://141.218.60.56/~jnz1568/getInfo.php?workbook=07_01.xlsx&amp;sheet=A0&amp;row=173&amp;col=10&amp;number=&amp;sourceID=11","")</f>
        <v/>
      </c>
      <c r="K173" s="4" t="str">
        <f>HYPERLINK("http://141.218.60.56/~jnz1568/getInfo.php?workbook=07_01.xlsx&amp;sheet=A0&amp;row=173&amp;col=11&amp;number=6.3566&amp;sourceID=11","6.3566")</f>
        <v>6.3566</v>
      </c>
      <c r="L173" s="4" t="str">
        <f>HYPERLINK("http://141.218.60.56/~jnz1568/getInfo.php?workbook=07_01.xlsx&amp;sheet=A0&amp;row=173&amp;col=12&amp;number=&amp;sourceID=11","")</f>
        <v/>
      </c>
      <c r="M173" s="4" t="str">
        <f>HYPERLINK("http://141.218.60.56/~jnz1568/getInfo.php?workbook=07_01.xlsx&amp;sheet=A0&amp;row=173&amp;col=13&amp;number=3931600000&amp;sourceID=12","3931600000")</f>
        <v>3931600000</v>
      </c>
      <c r="N173" s="4" t="str">
        <f>HYPERLINK("http://141.218.60.56/~jnz1568/getInfo.php?workbook=07_01.xlsx&amp;sheet=A0&amp;row=173&amp;col=14&amp;number=3931600000&amp;sourceID=12","3931600000")</f>
        <v>3931600000</v>
      </c>
      <c r="O173" s="4" t="str">
        <f>HYPERLINK("http://141.218.60.56/~jnz1568/getInfo.php?workbook=07_01.xlsx&amp;sheet=A0&amp;row=173&amp;col=15&amp;number=&amp;sourceID=12","")</f>
        <v/>
      </c>
      <c r="P173" s="4" t="str">
        <f>HYPERLINK("http://141.218.60.56/~jnz1568/getInfo.php?workbook=07_01.xlsx&amp;sheet=A0&amp;row=173&amp;col=16&amp;number=&amp;sourceID=12","")</f>
        <v/>
      </c>
      <c r="Q173" s="4" t="str">
        <f>HYPERLINK("http://141.218.60.56/~jnz1568/getInfo.php?workbook=07_01.xlsx&amp;sheet=A0&amp;row=173&amp;col=17&amp;number=&amp;sourceID=12","")</f>
        <v/>
      </c>
      <c r="R173" s="4" t="str">
        <f>HYPERLINK("http://141.218.60.56/~jnz1568/getInfo.php?workbook=07_01.xlsx&amp;sheet=A0&amp;row=173&amp;col=18&amp;number=6.3568&amp;sourceID=12","6.3568")</f>
        <v>6.3568</v>
      </c>
      <c r="S173" s="4" t="str">
        <f>HYPERLINK("http://141.218.60.56/~jnz1568/getInfo.php?workbook=07_01.xlsx&amp;sheet=A0&amp;row=173&amp;col=19&amp;number=&amp;sourceID=12","")</f>
        <v/>
      </c>
      <c r="T173" s="4" t="str">
        <f>HYPERLINK("http://141.218.60.56/~jnz1568/getInfo.php?workbook=07_01.xlsx&amp;sheet=A0&amp;row=173&amp;col=20&amp;number==&amp;sourceID=30","=")</f>
        <v>=</v>
      </c>
      <c r="U173" s="4" t="str">
        <f>HYPERLINK("http://141.218.60.56/~jnz1568/getInfo.php?workbook=07_01.xlsx&amp;sheet=A0&amp;row=173&amp;col=21&amp;number=3932000000&amp;sourceID=30","3932000000")</f>
        <v>3932000000</v>
      </c>
      <c r="V173" s="4" t="str">
        <f>HYPERLINK("http://141.218.60.56/~jnz1568/getInfo.php?workbook=07_01.xlsx&amp;sheet=A0&amp;row=173&amp;col=22&amp;number=&amp;sourceID=30","")</f>
        <v/>
      </c>
      <c r="W173" s="4" t="str">
        <f>HYPERLINK("http://141.218.60.56/~jnz1568/getInfo.php?workbook=07_01.xlsx&amp;sheet=A0&amp;row=173&amp;col=23&amp;number=&amp;sourceID=30","")</f>
        <v/>
      </c>
      <c r="X173" s="4" t="str">
        <f>HYPERLINK("http://141.218.60.56/~jnz1568/getInfo.php?workbook=07_01.xlsx&amp;sheet=A0&amp;row=173&amp;col=24&amp;number=6.357&amp;sourceID=30","6.357")</f>
        <v>6.357</v>
      </c>
      <c r="Y173" s="4" t="str">
        <f>HYPERLINK("http://141.218.60.56/~jnz1568/getInfo.php?workbook=07_01.xlsx&amp;sheet=A0&amp;row=173&amp;col=25&amp;number=&amp;sourceID=13","")</f>
        <v/>
      </c>
      <c r="Z173" s="4" t="str">
        <f>HYPERLINK("http://141.218.60.56/~jnz1568/getInfo.php?workbook=07_01.xlsx&amp;sheet=A0&amp;row=173&amp;col=26&amp;number=&amp;sourceID=13","")</f>
        <v/>
      </c>
      <c r="AA173" s="4" t="str">
        <f>HYPERLINK("http://141.218.60.56/~jnz1568/getInfo.php?workbook=07_01.xlsx&amp;sheet=A0&amp;row=173&amp;col=27&amp;number=&amp;sourceID=13","")</f>
        <v/>
      </c>
      <c r="AB173" s="4" t="str">
        <f>HYPERLINK("http://141.218.60.56/~jnz1568/getInfo.php?workbook=07_01.xlsx&amp;sheet=A0&amp;row=173&amp;col=28&amp;number=&amp;sourceID=13","")</f>
        <v/>
      </c>
      <c r="AC173" s="4" t="str">
        <f>HYPERLINK("http://141.218.60.56/~jnz1568/getInfo.php?workbook=07_01.xlsx&amp;sheet=A0&amp;row=173&amp;col=29&amp;number=&amp;sourceID=13","")</f>
        <v/>
      </c>
      <c r="AD173" s="4" t="str">
        <f>HYPERLINK("http://141.218.60.56/~jnz1568/getInfo.php?workbook=07_01.xlsx&amp;sheet=A0&amp;row=173&amp;col=30&amp;number=&amp;sourceID=13","")</f>
        <v/>
      </c>
    </row>
    <row r="174" spans="1:30">
      <c r="A174" s="3">
        <v>7</v>
      </c>
      <c r="B174" s="3">
        <v>1</v>
      </c>
      <c r="C174" s="3">
        <v>20</v>
      </c>
      <c r="D174" s="3">
        <v>7</v>
      </c>
      <c r="E174" s="3">
        <f>((1/(INDEX(E0!J$4:J$28,C174,1)-INDEX(E0!J$4:J$28,D174,1))))*100000000</f>
        <v>0</v>
      </c>
      <c r="F174" s="4" t="str">
        <f>HYPERLINK("http://141.218.60.56/~jnz1568/getInfo.php?workbook=07_01.xlsx&amp;sheet=A0&amp;row=174&amp;col=6&amp;number==&amp;sourceID=11","=")</f>
        <v>=</v>
      </c>
      <c r="G174" s="4" t="str">
        <f>HYPERLINK("http://141.218.60.56/~jnz1568/getInfo.php?workbook=07_01.xlsx&amp;sheet=A0&amp;row=174&amp;col=7&amp;number=35943000&amp;sourceID=11","35943000")</f>
        <v>35943000</v>
      </c>
      <c r="H174" s="4" t="str">
        <f>HYPERLINK("http://141.218.60.56/~jnz1568/getInfo.php?workbook=07_01.xlsx&amp;sheet=A0&amp;row=174&amp;col=8&amp;number=&amp;sourceID=11","")</f>
        <v/>
      </c>
      <c r="I174" s="4" t="str">
        <f>HYPERLINK("http://141.218.60.56/~jnz1568/getInfo.php?workbook=07_01.xlsx&amp;sheet=A0&amp;row=174&amp;col=9&amp;number=0.78363&amp;sourceID=11","0.78363")</f>
        <v>0.78363</v>
      </c>
      <c r="J174" s="4" t="str">
        <f>HYPERLINK("http://141.218.60.56/~jnz1568/getInfo.php?workbook=07_01.xlsx&amp;sheet=A0&amp;row=174&amp;col=10&amp;number=&amp;sourceID=11","")</f>
        <v/>
      </c>
      <c r="K174" s="4" t="str">
        <f>HYPERLINK("http://141.218.60.56/~jnz1568/getInfo.php?workbook=07_01.xlsx&amp;sheet=A0&amp;row=174&amp;col=11&amp;number=&amp;sourceID=11","")</f>
        <v/>
      </c>
      <c r="L174" s="4" t="str">
        <f>HYPERLINK("http://141.218.60.56/~jnz1568/getInfo.php?workbook=07_01.xlsx&amp;sheet=A0&amp;row=174&amp;col=12&amp;number=&amp;sourceID=11","")</f>
        <v/>
      </c>
      <c r="M174" s="4" t="str">
        <f>HYPERLINK("http://141.218.60.56/~jnz1568/getInfo.php?workbook=07_01.xlsx&amp;sheet=A0&amp;row=174&amp;col=13&amp;number=35944000&amp;sourceID=12","35944000")</f>
        <v>35944000</v>
      </c>
      <c r="N174" s="4" t="str">
        <f>HYPERLINK("http://141.218.60.56/~jnz1568/getInfo.php?workbook=07_01.xlsx&amp;sheet=A0&amp;row=174&amp;col=14&amp;number=35944000&amp;sourceID=12","35944000")</f>
        <v>35944000</v>
      </c>
      <c r="O174" s="4" t="str">
        <f>HYPERLINK("http://141.218.60.56/~jnz1568/getInfo.php?workbook=07_01.xlsx&amp;sheet=A0&amp;row=174&amp;col=15&amp;number=&amp;sourceID=12","")</f>
        <v/>
      </c>
      <c r="P174" s="4" t="str">
        <f>HYPERLINK("http://141.218.60.56/~jnz1568/getInfo.php?workbook=07_01.xlsx&amp;sheet=A0&amp;row=174&amp;col=16&amp;number=0.78366&amp;sourceID=12","0.78366")</f>
        <v>0.78366</v>
      </c>
      <c r="Q174" s="4" t="str">
        <f>HYPERLINK("http://141.218.60.56/~jnz1568/getInfo.php?workbook=07_01.xlsx&amp;sheet=A0&amp;row=174&amp;col=17&amp;number=&amp;sourceID=12","")</f>
        <v/>
      </c>
      <c r="R174" s="4" t="str">
        <f>HYPERLINK("http://141.218.60.56/~jnz1568/getInfo.php?workbook=07_01.xlsx&amp;sheet=A0&amp;row=174&amp;col=18&amp;number=&amp;sourceID=12","")</f>
        <v/>
      </c>
      <c r="S174" s="4" t="str">
        <f>HYPERLINK("http://141.218.60.56/~jnz1568/getInfo.php?workbook=07_01.xlsx&amp;sheet=A0&amp;row=174&amp;col=19&amp;number=&amp;sourceID=12","")</f>
        <v/>
      </c>
      <c r="T174" s="4" t="str">
        <f>HYPERLINK("http://141.218.60.56/~jnz1568/getInfo.php?workbook=07_01.xlsx&amp;sheet=A0&amp;row=174&amp;col=20&amp;number==&amp;sourceID=30","=")</f>
        <v>=</v>
      </c>
      <c r="U174" s="4" t="str">
        <f>HYPERLINK("http://141.218.60.56/~jnz1568/getInfo.php?workbook=07_01.xlsx&amp;sheet=A0&amp;row=174&amp;col=21&amp;number=35940000&amp;sourceID=30","35940000")</f>
        <v>35940000</v>
      </c>
      <c r="V174" s="4" t="str">
        <f>HYPERLINK("http://141.218.60.56/~jnz1568/getInfo.php?workbook=07_01.xlsx&amp;sheet=A0&amp;row=174&amp;col=22&amp;number=&amp;sourceID=30","")</f>
        <v/>
      </c>
      <c r="W174" s="4" t="str">
        <f>HYPERLINK("http://141.218.60.56/~jnz1568/getInfo.php?workbook=07_01.xlsx&amp;sheet=A0&amp;row=174&amp;col=23&amp;number=&amp;sourceID=30","")</f>
        <v/>
      </c>
      <c r="X174" s="4" t="str">
        <f>HYPERLINK("http://141.218.60.56/~jnz1568/getInfo.php?workbook=07_01.xlsx&amp;sheet=A0&amp;row=174&amp;col=24&amp;number=&amp;sourceID=30","")</f>
        <v/>
      </c>
      <c r="Y174" s="4" t="str">
        <f>HYPERLINK("http://141.218.60.56/~jnz1568/getInfo.php?workbook=07_01.xlsx&amp;sheet=A0&amp;row=174&amp;col=25&amp;number=&amp;sourceID=13","")</f>
        <v/>
      </c>
      <c r="Z174" s="4" t="str">
        <f>HYPERLINK("http://141.218.60.56/~jnz1568/getInfo.php?workbook=07_01.xlsx&amp;sheet=A0&amp;row=174&amp;col=26&amp;number=&amp;sourceID=13","")</f>
        <v/>
      </c>
      <c r="AA174" s="4" t="str">
        <f>HYPERLINK("http://141.218.60.56/~jnz1568/getInfo.php?workbook=07_01.xlsx&amp;sheet=A0&amp;row=174&amp;col=27&amp;number=&amp;sourceID=13","")</f>
        <v/>
      </c>
      <c r="AB174" s="4" t="str">
        <f>HYPERLINK("http://141.218.60.56/~jnz1568/getInfo.php?workbook=07_01.xlsx&amp;sheet=A0&amp;row=174&amp;col=28&amp;number=&amp;sourceID=13","")</f>
        <v/>
      </c>
      <c r="AC174" s="4" t="str">
        <f>HYPERLINK("http://141.218.60.56/~jnz1568/getInfo.php?workbook=07_01.xlsx&amp;sheet=A0&amp;row=174&amp;col=29&amp;number=&amp;sourceID=13","")</f>
        <v/>
      </c>
      <c r="AD174" s="4" t="str">
        <f>HYPERLINK("http://141.218.60.56/~jnz1568/getInfo.php?workbook=07_01.xlsx&amp;sheet=A0&amp;row=174&amp;col=30&amp;number=&amp;sourceID=13","")</f>
        <v/>
      </c>
    </row>
    <row r="175" spans="1:30">
      <c r="A175" s="3">
        <v>7</v>
      </c>
      <c r="B175" s="3">
        <v>1</v>
      </c>
      <c r="C175" s="3">
        <v>20</v>
      </c>
      <c r="D175" s="3">
        <v>8</v>
      </c>
      <c r="E175" s="3">
        <f>((1/(INDEX(E0!J$4:J$28,C175,1)-INDEX(E0!J$4:J$28,D175,1))))*100000000</f>
        <v>0</v>
      </c>
      <c r="F175" s="4" t="str">
        <f>HYPERLINK("http://141.218.60.56/~jnz1568/getInfo.php?workbook=07_01.xlsx&amp;sheet=A0&amp;row=175&amp;col=6&amp;number==&amp;sourceID=11","=")</f>
        <v>=</v>
      </c>
      <c r="G175" s="4" t="str">
        <f>HYPERLINK("http://141.218.60.56/~jnz1568/getInfo.php?workbook=07_01.xlsx&amp;sheet=A0&amp;row=175&amp;col=7&amp;number=&amp;sourceID=11","")</f>
        <v/>
      </c>
      <c r="H175" s="4" t="str">
        <f>HYPERLINK("http://141.218.60.56/~jnz1568/getInfo.php?workbook=07_01.xlsx&amp;sheet=A0&amp;row=175&amp;col=8&amp;number=84046&amp;sourceID=11","84046")</f>
        <v>84046</v>
      </c>
      <c r="I175" s="4" t="str">
        <f>HYPERLINK("http://141.218.60.56/~jnz1568/getInfo.php?workbook=07_01.xlsx&amp;sheet=A0&amp;row=175&amp;col=9&amp;number=&amp;sourceID=11","")</f>
        <v/>
      </c>
      <c r="J175" s="4" t="str">
        <f>HYPERLINK("http://141.218.60.56/~jnz1568/getInfo.php?workbook=07_01.xlsx&amp;sheet=A0&amp;row=175&amp;col=10&amp;number=0.015638&amp;sourceID=11","0.015638")</f>
        <v>0.015638</v>
      </c>
      <c r="K175" s="4" t="str">
        <f>HYPERLINK("http://141.218.60.56/~jnz1568/getInfo.php?workbook=07_01.xlsx&amp;sheet=A0&amp;row=175&amp;col=11&amp;number=&amp;sourceID=11","")</f>
        <v/>
      </c>
      <c r="L175" s="4" t="str">
        <f>HYPERLINK("http://141.218.60.56/~jnz1568/getInfo.php?workbook=07_01.xlsx&amp;sheet=A0&amp;row=175&amp;col=12&amp;number=0.00028949&amp;sourceID=11","0.00028949")</f>
        <v>0.00028949</v>
      </c>
      <c r="M175" s="4" t="str">
        <f>HYPERLINK("http://141.218.60.56/~jnz1568/getInfo.php?workbook=07_01.xlsx&amp;sheet=A0&amp;row=175&amp;col=13&amp;number=84049&amp;sourceID=12","84049")</f>
        <v>84049</v>
      </c>
      <c r="N175" s="4" t="str">
        <f>HYPERLINK("http://141.218.60.56/~jnz1568/getInfo.php?workbook=07_01.xlsx&amp;sheet=A0&amp;row=175&amp;col=14&amp;number=&amp;sourceID=12","")</f>
        <v/>
      </c>
      <c r="O175" s="4" t="str">
        <f>HYPERLINK("http://141.218.60.56/~jnz1568/getInfo.php?workbook=07_01.xlsx&amp;sheet=A0&amp;row=175&amp;col=15&amp;number=84049&amp;sourceID=12","84049")</f>
        <v>84049</v>
      </c>
      <c r="P175" s="4" t="str">
        <f>HYPERLINK("http://141.218.60.56/~jnz1568/getInfo.php?workbook=07_01.xlsx&amp;sheet=A0&amp;row=175&amp;col=16&amp;number=&amp;sourceID=12","")</f>
        <v/>
      </c>
      <c r="Q175" s="4" t="str">
        <f>HYPERLINK("http://141.218.60.56/~jnz1568/getInfo.php?workbook=07_01.xlsx&amp;sheet=A0&amp;row=175&amp;col=17&amp;number=0.015639&amp;sourceID=12","0.015639")</f>
        <v>0.015639</v>
      </c>
      <c r="R175" s="4" t="str">
        <f>HYPERLINK("http://141.218.60.56/~jnz1568/getInfo.php?workbook=07_01.xlsx&amp;sheet=A0&amp;row=175&amp;col=18&amp;number=&amp;sourceID=12","")</f>
        <v/>
      </c>
      <c r="S175" s="4" t="str">
        <f>HYPERLINK("http://141.218.60.56/~jnz1568/getInfo.php?workbook=07_01.xlsx&amp;sheet=A0&amp;row=175&amp;col=19&amp;number=0.0002895&amp;sourceID=12","0.0002895")</f>
        <v>0.0002895</v>
      </c>
      <c r="T175" s="4" t="str">
        <f>HYPERLINK("http://141.218.60.56/~jnz1568/getInfo.php?workbook=07_01.xlsx&amp;sheet=A0&amp;row=175&amp;col=20&amp;number==&amp;sourceID=30","=")</f>
        <v>=</v>
      </c>
      <c r="U175" s="4" t="str">
        <f>HYPERLINK("http://141.218.60.56/~jnz1568/getInfo.php?workbook=07_01.xlsx&amp;sheet=A0&amp;row=175&amp;col=21&amp;number=&amp;sourceID=30","")</f>
        <v/>
      </c>
      <c r="V175" s="4" t="str">
        <f>HYPERLINK("http://141.218.60.56/~jnz1568/getInfo.php?workbook=07_01.xlsx&amp;sheet=A0&amp;row=175&amp;col=22&amp;number=84050&amp;sourceID=30","84050")</f>
        <v>84050</v>
      </c>
      <c r="W175" s="4" t="str">
        <f>HYPERLINK("http://141.218.60.56/~jnz1568/getInfo.php?workbook=07_01.xlsx&amp;sheet=A0&amp;row=175&amp;col=23&amp;number=0.01563&amp;sourceID=30","0.01563")</f>
        <v>0.01563</v>
      </c>
      <c r="X175" s="4" t="str">
        <f>HYPERLINK("http://141.218.60.56/~jnz1568/getInfo.php?workbook=07_01.xlsx&amp;sheet=A0&amp;row=175&amp;col=24&amp;number=&amp;sourceID=30","")</f>
        <v/>
      </c>
      <c r="Y175" s="4" t="str">
        <f>HYPERLINK("http://141.218.60.56/~jnz1568/getInfo.php?workbook=07_01.xlsx&amp;sheet=A0&amp;row=175&amp;col=25&amp;number=&amp;sourceID=13","")</f>
        <v/>
      </c>
      <c r="Z175" s="4" t="str">
        <f>HYPERLINK("http://141.218.60.56/~jnz1568/getInfo.php?workbook=07_01.xlsx&amp;sheet=A0&amp;row=175&amp;col=26&amp;number=&amp;sourceID=13","")</f>
        <v/>
      </c>
      <c r="AA175" s="4" t="str">
        <f>HYPERLINK("http://141.218.60.56/~jnz1568/getInfo.php?workbook=07_01.xlsx&amp;sheet=A0&amp;row=175&amp;col=27&amp;number=&amp;sourceID=13","")</f>
        <v/>
      </c>
      <c r="AB175" s="4" t="str">
        <f>HYPERLINK("http://141.218.60.56/~jnz1568/getInfo.php?workbook=07_01.xlsx&amp;sheet=A0&amp;row=175&amp;col=28&amp;number=&amp;sourceID=13","")</f>
        <v/>
      </c>
      <c r="AC175" s="4" t="str">
        <f>HYPERLINK("http://141.218.60.56/~jnz1568/getInfo.php?workbook=07_01.xlsx&amp;sheet=A0&amp;row=175&amp;col=29&amp;number=&amp;sourceID=13","")</f>
        <v/>
      </c>
      <c r="AD175" s="4" t="str">
        <f>HYPERLINK("http://141.218.60.56/~jnz1568/getInfo.php?workbook=07_01.xlsx&amp;sheet=A0&amp;row=175&amp;col=30&amp;number=&amp;sourceID=13","")</f>
        <v/>
      </c>
    </row>
    <row r="176" spans="1:30">
      <c r="A176" s="3">
        <v>7</v>
      </c>
      <c r="B176" s="3">
        <v>1</v>
      </c>
      <c r="C176" s="3">
        <v>20</v>
      </c>
      <c r="D176" s="3">
        <v>9</v>
      </c>
      <c r="E176" s="3">
        <f>((1/(INDEX(E0!J$4:J$28,C176,1)-INDEX(E0!J$4:J$28,D176,1))))*100000000</f>
        <v>0</v>
      </c>
      <c r="F176" s="4" t="str">
        <f>HYPERLINK("http://141.218.60.56/~jnz1568/getInfo.php?workbook=07_01.xlsx&amp;sheet=A0&amp;row=176&amp;col=6&amp;number==&amp;sourceID=11","=")</f>
        <v>=</v>
      </c>
      <c r="G176" s="4" t="str">
        <f>HYPERLINK("http://141.218.60.56/~jnz1568/getInfo.php?workbook=07_01.xlsx&amp;sheet=A0&amp;row=176&amp;col=7&amp;number=324190000&amp;sourceID=11","324190000")</f>
        <v>324190000</v>
      </c>
      <c r="H176" s="4" t="str">
        <f>HYPERLINK("http://141.218.60.56/~jnz1568/getInfo.php?workbook=07_01.xlsx&amp;sheet=A0&amp;row=176&amp;col=8&amp;number=&amp;sourceID=11","")</f>
        <v/>
      </c>
      <c r="I176" s="4" t="str">
        <f>HYPERLINK("http://141.218.60.56/~jnz1568/getInfo.php?workbook=07_01.xlsx&amp;sheet=A0&amp;row=176&amp;col=9&amp;number=0.52165&amp;sourceID=11","0.52165")</f>
        <v>0.52165</v>
      </c>
      <c r="J176" s="4" t="str">
        <f>HYPERLINK("http://141.218.60.56/~jnz1568/getInfo.php?workbook=07_01.xlsx&amp;sheet=A0&amp;row=176&amp;col=10&amp;number=&amp;sourceID=11","")</f>
        <v/>
      </c>
      <c r="K176" s="4" t="str">
        <f>HYPERLINK("http://141.218.60.56/~jnz1568/getInfo.php?workbook=07_01.xlsx&amp;sheet=A0&amp;row=176&amp;col=11&amp;number=0.67847&amp;sourceID=11","0.67847")</f>
        <v>0.67847</v>
      </c>
      <c r="L176" s="4" t="str">
        <f>HYPERLINK("http://141.218.60.56/~jnz1568/getInfo.php?workbook=07_01.xlsx&amp;sheet=A0&amp;row=176&amp;col=12&amp;number=&amp;sourceID=11","")</f>
        <v/>
      </c>
      <c r="M176" s="4" t="str">
        <f>HYPERLINK("http://141.218.60.56/~jnz1568/getInfo.php?workbook=07_01.xlsx&amp;sheet=A0&amp;row=176&amp;col=13&amp;number=324200000&amp;sourceID=12","324200000")</f>
        <v>324200000</v>
      </c>
      <c r="N176" s="4" t="str">
        <f>HYPERLINK("http://141.218.60.56/~jnz1568/getInfo.php?workbook=07_01.xlsx&amp;sheet=A0&amp;row=176&amp;col=14&amp;number=324200000&amp;sourceID=12","324200000")</f>
        <v>324200000</v>
      </c>
      <c r="O176" s="4" t="str">
        <f>HYPERLINK("http://141.218.60.56/~jnz1568/getInfo.php?workbook=07_01.xlsx&amp;sheet=A0&amp;row=176&amp;col=15&amp;number=&amp;sourceID=12","")</f>
        <v/>
      </c>
      <c r="P176" s="4" t="str">
        <f>HYPERLINK("http://141.218.60.56/~jnz1568/getInfo.php?workbook=07_01.xlsx&amp;sheet=A0&amp;row=176&amp;col=16&amp;number=0.52167&amp;sourceID=12","0.52167")</f>
        <v>0.52167</v>
      </c>
      <c r="Q176" s="4" t="str">
        <f>HYPERLINK("http://141.218.60.56/~jnz1568/getInfo.php?workbook=07_01.xlsx&amp;sheet=A0&amp;row=176&amp;col=17&amp;number=&amp;sourceID=12","")</f>
        <v/>
      </c>
      <c r="R176" s="4" t="str">
        <f>HYPERLINK("http://141.218.60.56/~jnz1568/getInfo.php?workbook=07_01.xlsx&amp;sheet=A0&amp;row=176&amp;col=18&amp;number=0.67849&amp;sourceID=12","0.67849")</f>
        <v>0.67849</v>
      </c>
      <c r="S176" s="4" t="str">
        <f>HYPERLINK("http://141.218.60.56/~jnz1568/getInfo.php?workbook=07_01.xlsx&amp;sheet=A0&amp;row=176&amp;col=19&amp;number=&amp;sourceID=12","")</f>
        <v/>
      </c>
      <c r="T176" s="4" t="str">
        <f>HYPERLINK("http://141.218.60.56/~jnz1568/getInfo.php?workbook=07_01.xlsx&amp;sheet=A0&amp;row=176&amp;col=20&amp;number==&amp;sourceID=30","=")</f>
        <v>=</v>
      </c>
      <c r="U176" s="4" t="str">
        <f>HYPERLINK("http://141.218.60.56/~jnz1568/getInfo.php?workbook=07_01.xlsx&amp;sheet=A0&amp;row=176&amp;col=21&amp;number=324200000&amp;sourceID=30","324200000")</f>
        <v>324200000</v>
      </c>
      <c r="V176" s="4" t="str">
        <f>HYPERLINK("http://141.218.60.56/~jnz1568/getInfo.php?workbook=07_01.xlsx&amp;sheet=A0&amp;row=176&amp;col=22&amp;number=&amp;sourceID=30","")</f>
        <v/>
      </c>
      <c r="W176" s="4" t="str">
        <f>HYPERLINK("http://141.218.60.56/~jnz1568/getInfo.php?workbook=07_01.xlsx&amp;sheet=A0&amp;row=176&amp;col=23&amp;number=&amp;sourceID=30","")</f>
        <v/>
      </c>
      <c r="X176" s="4" t="str">
        <f>HYPERLINK("http://141.218.60.56/~jnz1568/getInfo.php?workbook=07_01.xlsx&amp;sheet=A0&amp;row=176&amp;col=24&amp;number=0.6785&amp;sourceID=30","0.6785")</f>
        <v>0.6785</v>
      </c>
      <c r="Y176" s="4" t="str">
        <f>HYPERLINK("http://141.218.60.56/~jnz1568/getInfo.php?workbook=07_01.xlsx&amp;sheet=A0&amp;row=176&amp;col=25&amp;number=&amp;sourceID=13","")</f>
        <v/>
      </c>
      <c r="Z176" s="4" t="str">
        <f>HYPERLINK("http://141.218.60.56/~jnz1568/getInfo.php?workbook=07_01.xlsx&amp;sheet=A0&amp;row=176&amp;col=26&amp;number=&amp;sourceID=13","")</f>
        <v/>
      </c>
      <c r="AA176" s="4" t="str">
        <f>HYPERLINK("http://141.218.60.56/~jnz1568/getInfo.php?workbook=07_01.xlsx&amp;sheet=A0&amp;row=176&amp;col=27&amp;number=&amp;sourceID=13","")</f>
        <v/>
      </c>
      <c r="AB176" s="4" t="str">
        <f>HYPERLINK("http://141.218.60.56/~jnz1568/getInfo.php?workbook=07_01.xlsx&amp;sheet=A0&amp;row=176&amp;col=28&amp;number=&amp;sourceID=13","")</f>
        <v/>
      </c>
      <c r="AC176" s="4" t="str">
        <f>HYPERLINK("http://141.218.60.56/~jnz1568/getInfo.php?workbook=07_01.xlsx&amp;sheet=A0&amp;row=176&amp;col=29&amp;number=&amp;sourceID=13","")</f>
        <v/>
      </c>
      <c r="AD176" s="4" t="str">
        <f>HYPERLINK("http://141.218.60.56/~jnz1568/getInfo.php?workbook=07_01.xlsx&amp;sheet=A0&amp;row=176&amp;col=30&amp;number=&amp;sourceID=13","")</f>
        <v/>
      </c>
    </row>
    <row r="177" spans="1:30">
      <c r="A177" s="3">
        <v>7</v>
      </c>
      <c r="B177" s="3">
        <v>1</v>
      </c>
      <c r="C177" s="3">
        <v>20</v>
      </c>
      <c r="D177" s="3">
        <v>10</v>
      </c>
      <c r="E177" s="3">
        <f>((1/(INDEX(E0!J$4:J$28,C177,1)-INDEX(E0!J$4:J$28,D177,1))))*100000000</f>
        <v>0</v>
      </c>
      <c r="F177" s="4" t="str">
        <f>HYPERLINK("http://141.218.60.56/~jnz1568/getInfo.php?workbook=07_01.xlsx&amp;sheet=A0&amp;row=177&amp;col=6&amp;number==&amp;sourceID=11","=")</f>
        <v>=</v>
      </c>
      <c r="G177" s="4" t="str">
        <f>HYPERLINK("http://141.218.60.56/~jnz1568/getInfo.php?workbook=07_01.xlsx&amp;sheet=A0&amp;row=177&amp;col=7&amp;number=&amp;sourceID=11","")</f>
        <v/>
      </c>
      <c r="H177" s="4" t="str">
        <f>HYPERLINK("http://141.218.60.56/~jnz1568/getInfo.php?workbook=07_01.xlsx&amp;sheet=A0&amp;row=177&amp;col=8&amp;number=26754&amp;sourceID=11","26754")</f>
        <v>26754</v>
      </c>
      <c r="I177" s="4" t="str">
        <f>HYPERLINK("http://141.218.60.56/~jnz1568/getInfo.php?workbook=07_01.xlsx&amp;sheet=A0&amp;row=177&amp;col=9&amp;number=&amp;sourceID=11","")</f>
        <v/>
      </c>
      <c r="J177" s="4" t="str">
        <f>HYPERLINK("http://141.218.60.56/~jnz1568/getInfo.php?workbook=07_01.xlsx&amp;sheet=A0&amp;row=177&amp;col=10&amp;number=0.0059588&amp;sourceID=11","0.0059588")</f>
        <v>0.0059588</v>
      </c>
      <c r="K177" s="4" t="str">
        <f>HYPERLINK("http://141.218.60.56/~jnz1568/getInfo.php?workbook=07_01.xlsx&amp;sheet=A0&amp;row=177&amp;col=11&amp;number=&amp;sourceID=11","")</f>
        <v/>
      </c>
      <c r="L177" s="4" t="str">
        <f>HYPERLINK("http://141.218.60.56/~jnz1568/getInfo.php?workbook=07_01.xlsx&amp;sheet=A0&amp;row=177&amp;col=12&amp;number=&amp;sourceID=11","")</f>
        <v/>
      </c>
      <c r="M177" s="4" t="str">
        <f>HYPERLINK("http://141.218.60.56/~jnz1568/getInfo.php?workbook=07_01.xlsx&amp;sheet=A0&amp;row=177&amp;col=13&amp;number=26755&amp;sourceID=12","26755")</f>
        <v>26755</v>
      </c>
      <c r="N177" s="4" t="str">
        <f>HYPERLINK("http://141.218.60.56/~jnz1568/getInfo.php?workbook=07_01.xlsx&amp;sheet=A0&amp;row=177&amp;col=14&amp;number=&amp;sourceID=12","")</f>
        <v/>
      </c>
      <c r="O177" s="4" t="str">
        <f>HYPERLINK("http://141.218.60.56/~jnz1568/getInfo.php?workbook=07_01.xlsx&amp;sheet=A0&amp;row=177&amp;col=15&amp;number=26755&amp;sourceID=12","26755")</f>
        <v>26755</v>
      </c>
      <c r="P177" s="4" t="str">
        <f>HYPERLINK("http://141.218.60.56/~jnz1568/getInfo.php?workbook=07_01.xlsx&amp;sheet=A0&amp;row=177&amp;col=16&amp;number=&amp;sourceID=12","")</f>
        <v/>
      </c>
      <c r="Q177" s="4" t="str">
        <f>HYPERLINK("http://141.218.60.56/~jnz1568/getInfo.php?workbook=07_01.xlsx&amp;sheet=A0&amp;row=177&amp;col=17&amp;number=0.0059592&amp;sourceID=12","0.0059592")</f>
        <v>0.0059592</v>
      </c>
      <c r="R177" s="4" t="str">
        <f>HYPERLINK("http://141.218.60.56/~jnz1568/getInfo.php?workbook=07_01.xlsx&amp;sheet=A0&amp;row=177&amp;col=18&amp;number=&amp;sourceID=12","")</f>
        <v/>
      </c>
      <c r="S177" s="4" t="str">
        <f>HYPERLINK("http://141.218.60.56/~jnz1568/getInfo.php?workbook=07_01.xlsx&amp;sheet=A0&amp;row=177&amp;col=19&amp;number=&amp;sourceID=12","")</f>
        <v/>
      </c>
      <c r="T177" s="4" t="str">
        <f>HYPERLINK("http://141.218.60.56/~jnz1568/getInfo.php?workbook=07_01.xlsx&amp;sheet=A0&amp;row=177&amp;col=20&amp;number==&amp;sourceID=30","=")</f>
        <v>=</v>
      </c>
      <c r="U177" s="4" t="str">
        <f>HYPERLINK("http://141.218.60.56/~jnz1568/getInfo.php?workbook=07_01.xlsx&amp;sheet=A0&amp;row=177&amp;col=21&amp;number=&amp;sourceID=30","")</f>
        <v/>
      </c>
      <c r="V177" s="4" t="str">
        <f>HYPERLINK("http://141.218.60.56/~jnz1568/getInfo.php?workbook=07_01.xlsx&amp;sheet=A0&amp;row=177&amp;col=22&amp;number=26760&amp;sourceID=30","26760")</f>
        <v>26760</v>
      </c>
      <c r="W177" s="4" t="str">
        <f>HYPERLINK("http://141.218.60.56/~jnz1568/getInfo.php?workbook=07_01.xlsx&amp;sheet=A0&amp;row=177&amp;col=23&amp;number=0.005962&amp;sourceID=30","0.005962")</f>
        <v>0.005962</v>
      </c>
      <c r="X177" s="4" t="str">
        <f>HYPERLINK("http://141.218.60.56/~jnz1568/getInfo.php?workbook=07_01.xlsx&amp;sheet=A0&amp;row=177&amp;col=24&amp;number=&amp;sourceID=30","")</f>
        <v/>
      </c>
      <c r="Y177" s="4" t="str">
        <f>HYPERLINK("http://141.218.60.56/~jnz1568/getInfo.php?workbook=07_01.xlsx&amp;sheet=A0&amp;row=177&amp;col=25&amp;number=&amp;sourceID=13","")</f>
        <v/>
      </c>
      <c r="Z177" s="4" t="str">
        <f>HYPERLINK("http://141.218.60.56/~jnz1568/getInfo.php?workbook=07_01.xlsx&amp;sheet=A0&amp;row=177&amp;col=26&amp;number=&amp;sourceID=13","")</f>
        <v/>
      </c>
      <c r="AA177" s="4" t="str">
        <f>HYPERLINK("http://141.218.60.56/~jnz1568/getInfo.php?workbook=07_01.xlsx&amp;sheet=A0&amp;row=177&amp;col=27&amp;number=&amp;sourceID=13","")</f>
        <v/>
      </c>
      <c r="AB177" s="4" t="str">
        <f>HYPERLINK("http://141.218.60.56/~jnz1568/getInfo.php?workbook=07_01.xlsx&amp;sheet=A0&amp;row=177&amp;col=28&amp;number=&amp;sourceID=13","")</f>
        <v/>
      </c>
      <c r="AC177" s="4" t="str">
        <f>HYPERLINK("http://141.218.60.56/~jnz1568/getInfo.php?workbook=07_01.xlsx&amp;sheet=A0&amp;row=177&amp;col=29&amp;number=&amp;sourceID=13","")</f>
        <v/>
      </c>
      <c r="AD177" s="4" t="str">
        <f>HYPERLINK("http://141.218.60.56/~jnz1568/getInfo.php?workbook=07_01.xlsx&amp;sheet=A0&amp;row=177&amp;col=30&amp;number=&amp;sourceID=13","")</f>
        <v/>
      </c>
    </row>
    <row r="178" spans="1:30">
      <c r="A178" s="3">
        <v>7</v>
      </c>
      <c r="B178" s="3">
        <v>1</v>
      </c>
      <c r="C178" s="3">
        <v>20</v>
      </c>
      <c r="D178" s="3">
        <v>11</v>
      </c>
      <c r="E178" s="3">
        <f>((1/(INDEX(E0!J$4:J$28,C178,1)-INDEX(E0!J$4:J$28,D178,1))))*100000000</f>
        <v>0</v>
      </c>
      <c r="F178" s="4" t="str">
        <f>HYPERLINK("http://141.218.60.56/~jnz1568/getInfo.php?workbook=07_01.xlsx&amp;sheet=A0&amp;row=178&amp;col=6&amp;number==&amp;sourceID=11","=")</f>
        <v>=</v>
      </c>
      <c r="G178" s="4" t="str">
        <f>HYPERLINK("http://141.218.60.56/~jnz1568/getInfo.php?workbook=07_01.xlsx&amp;sheet=A0&amp;row=178&amp;col=7&amp;number=1767700000&amp;sourceID=11","1767700000")</f>
        <v>1767700000</v>
      </c>
      <c r="H178" s="4" t="str">
        <f>HYPERLINK("http://141.218.60.56/~jnz1568/getInfo.php?workbook=07_01.xlsx&amp;sheet=A0&amp;row=178&amp;col=8&amp;number=&amp;sourceID=11","")</f>
        <v/>
      </c>
      <c r="I178" s="4" t="str">
        <f>HYPERLINK("http://141.218.60.56/~jnz1568/getInfo.php?workbook=07_01.xlsx&amp;sheet=A0&amp;row=178&amp;col=9&amp;number=&amp;sourceID=11","")</f>
        <v/>
      </c>
      <c r="J178" s="4" t="str">
        <f>HYPERLINK("http://141.218.60.56/~jnz1568/getInfo.php?workbook=07_01.xlsx&amp;sheet=A0&amp;row=178&amp;col=10&amp;number=&amp;sourceID=11","")</f>
        <v/>
      </c>
      <c r="K178" s="4" t="str">
        <f>HYPERLINK("http://141.218.60.56/~jnz1568/getInfo.php?workbook=07_01.xlsx&amp;sheet=A0&amp;row=178&amp;col=11&amp;number=0.28628&amp;sourceID=11","0.28628")</f>
        <v>0.28628</v>
      </c>
      <c r="L178" s="4" t="str">
        <f>HYPERLINK("http://141.218.60.56/~jnz1568/getInfo.php?workbook=07_01.xlsx&amp;sheet=A0&amp;row=178&amp;col=12&amp;number=&amp;sourceID=11","")</f>
        <v/>
      </c>
      <c r="M178" s="4" t="str">
        <f>HYPERLINK("http://141.218.60.56/~jnz1568/getInfo.php?workbook=07_01.xlsx&amp;sheet=A0&amp;row=178&amp;col=13&amp;number=1767800000&amp;sourceID=12","1767800000")</f>
        <v>1767800000</v>
      </c>
      <c r="N178" s="4" t="str">
        <f>HYPERLINK("http://141.218.60.56/~jnz1568/getInfo.php?workbook=07_01.xlsx&amp;sheet=A0&amp;row=178&amp;col=14&amp;number=1767800000&amp;sourceID=12","1767800000")</f>
        <v>1767800000</v>
      </c>
      <c r="O178" s="4" t="str">
        <f>HYPERLINK("http://141.218.60.56/~jnz1568/getInfo.php?workbook=07_01.xlsx&amp;sheet=A0&amp;row=178&amp;col=15&amp;number=&amp;sourceID=12","")</f>
        <v/>
      </c>
      <c r="P178" s="4" t="str">
        <f>HYPERLINK("http://141.218.60.56/~jnz1568/getInfo.php?workbook=07_01.xlsx&amp;sheet=A0&amp;row=178&amp;col=16&amp;number=&amp;sourceID=12","")</f>
        <v/>
      </c>
      <c r="Q178" s="4" t="str">
        <f>HYPERLINK("http://141.218.60.56/~jnz1568/getInfo.php?workbook=07_01.xlsx&amp;sheet=A0&amp;row=178&amp;col=17&amp;number=&amp;sourceID=12","")</f>
        <v/>
      </c>
      <c r="R178" s="4" t="str">
        <f>HYPERLINK("http://141.218.60.56/~jnz1568/getInfo.php?workbook=07_01.xlsx&amp;sheet=A0&amp;row=178&amp;col=18&amp;number=0.28629&amp;sourceID=12","0.28629")</f>
        <v>0.28629</v>
      </c>
      <c r="S178" s="4" t="str">
        <f>HYPERLINK("http://141.218.60.56/~jnz1568/getInfo.php?workbook=07_01.xlsx&amp;sheet=A0&amp;row=178&amp;col=19&amp;number=&amp;sourceID=12","")</f>
        <v/>
      </c>
      <c r="T178" s="4" t="str">
        <f>HYPERLINK("http://141.218.60.56/~jnz1568/getInfo.php?workbook=07_01.xlsx&amp;sheet=A0&amp;row=178&amp;col=20&amp;number==&amp;sourceID=30","=")</f>
        <v>=</v>
      </c>
      <c r="U178" s="4" t="str">
        <f>HYPERLINK("http://141.218.60.56/~jnz1568/getInfo.php?workbook=07_01.xlsx&amp;sheet=A0&amp;row=178&amp;col=21&amp;number=1768000000&amp;sourceID=30","1768000000")</f>
        <v>1768000000</v>
      </c>
      <c r="V178" s="4" t="str">
        <f>HYPERLINK("http://141.218.60.56/~jnz1568/getInfo.php?workbook=07_01.xlsx&amp;sheet=A0&amp;row=178&amp;col=22&amp;number=&amp;sourceID=30","")</f>
        <v/>
      </c>
      <c r="W178" s="4" t="str">
        <f>HYPERLINK("http://141.218.60.56/~jnz1568/getInfo.php?workbook=07_01.xlsx&amp;sheet=A0&amp;row=178&amp;col=23&amp;number=&amp;sourceID=30","")</f>
        <v/>
      </c>
      <c r="X178" s="4" t="str">
        <f>HYPERLINK("http://141.218.60.56/~jnz1568/getInfo.php?workbook=07_01.xlsx&amp;sheet=A0&amp;row=178&amp;col=24&amp;number=0.2863&amp;sourceID=30","0.2863")</f>
        <v>0.2863</v>
      </c>
      <c r="Y178" s="4" t="str">
        <f>HYPERLINK("http://141.218.60.56/~jnz1568/getInfo.php?workbook=07_01.xlsx&amp;sheet=A0&amp;row=178&amp;col=25&amp;number=&amp;sourceID=13","")</f>
        <v/>
      </c>
      <c r="Z178" s="4" t="str">
        <f>HYPERLINK("http://141.218.60.56/~jnz1568/getInfo.php?workbook=07_01.xlsx&amp;sheet=A0&amp;row=178&amp;col=26&amp;number=&amp;sourceID=13","")</f>
        <v/>
      </c>
      <c r="AA178" s="4" t="str">
        <f>HYPERLINK("http://141.218.60.56/~jnz1568/getInfo.php?workbook=07_01.xlsx&amp;sheet=A0&amp;row=178&amp;col=27&amp;number=&amp;sourceID=13","")</f>
        <v/>
      </c>
      <c r="AB178" s="4" t="str">
        <f>HYPERLINK("http://141.218.60.56/~jnz1568/getInfo.php?workbook=07_01.xlsx&amp;sheet=A0&amp;row=178&amp;col=28&amp;number=&amp;sourceID=13","")</f>
        <v/>
      </c>
      <c r="AC178" s="4" t="str">
        <f>HYPERLINK("http://141.218.60.56/~jnz1568/getInfo.php?workbook=07_01.xlsx&amp;sheet=A0&amp;row=178&amp;col=29&amp;number=&amp;sourceID=13","")</f>
        <v/>
      </c>
      <c r="AD178" s="4" t="str">
        <f>HYPERLINK("http://141.218.60.56/~jnz1568/getInfo.php?workbook=07_01.xlsx&amp;sheet=A0&amp;row=178&amp;col=30&amp;number=&amp;sourceID=13","")</f>
        <v/>
      </c>
    </row>
    <row r="179" spans="1:30">
      <c r="A179" s="3">
        <v>7</v>
      </c>
      <c r="B179" s="3">
        <v>1</v>
      </c>
      <c r="C179" s="3">
        <v>20</v>
      </c>
      <c r="D179" s="3">
        <v>12</v>
      </c>
      <c r="E179" s="3">
        <f>((1/(INDEX(E0!J$4:J$28,C179,1)-INDEX(E0!J$4:J$28,D179,1))))*100000000</f>
        <v>0</v>
      </c>
      <c r="F179" s="4" t="str">
        <f>HYPERLINK("http://141.218.60.56/~jnz1568/getInfo.php?workbook=07_01.xlsx&amp;sheet=A0&amp;row=179&amp;col=6&amp;number==&amp;sourceID=11","=")</f>
        <v>=</v>
      </c>
      <c r="G179" s="4" t="str">
        <f>HYPERLINK("http://141.218.60.56/~jnz1568/getInfo.php?workbook=07_01.xlsx&amp;sheet=A0&amp;row=179&amp;col=7&amp;number=45292000&amp;sourceID=11","45292000")</f>
        <v>45292000</v>
      </c>
      <c r="H179" s="4" t="str">
        <f>HYPERLINK("http://141.218.60.56/~jnz1568/getInfo.php?workbook=07_01.xlsx&amp;sheet=A0&amp;row=179&amp;col=8&amp;number=&amp;sourceID=11","")</f>
        <v/>
      </c>
      <c r="I179" s="4" t="str">
        <f>HYPERLINK("http://141.218.60.56/~jnz1568/getInfo.php?workbook=07_01.xlsx&amp;sheet=A0&amp;row=179&amp;col=9&amp;number=0.26644&amp;sourceID=11","0.26644")</f>
        <v>0.26644</v>
      </c>
      <c r="J179" s="4" t="str">
        <f>HYPERLINK("http://141.218.60.56/~jnz1568/getInfo.php?workbook=07_01.xlsx&amp;sheet=A0&amp;row=179&amp;col=10&amp;number=&amp;sourceID=11","")</f>
        <v/>
      </c>
      <c r="K179" s="4" t="str">
        <f>HYPERLINK("http://141.218.60.56/~jnz1568/getInfo.php?workbook=07_01.xlsx&amp;sheet=A0&amp;row=179&amp;col=11&amp;number=&amp;sourceID=11","")</f>
        <v/>
      </c>
      <c r="L179" s="4" t="str">
        <f>HYPERLINK("http://141.218.60.56/~jnz1568/getInfo.php?workbook=07_01.xlsx&amp;sheet=A0&amp;row=179&amp;col=12&amp;number=&amp;sourceID=11","")</f>
        <v/>
      </c>
      <c r="M179" s="4" t="str">
        <f>HYPERLINK("http://141.218.60.56/~jnz1568/getInfo.php?workbook=07_01.xlsx&amp;sheet=A0&amp;row=179&amp;col=13&amp;number=45294000&amp;sourceID=12","45294000")</f>
        <v>45294000</v>
      </c>
      <c r="N179" s="4" t="str">
        <f>HYPERLINK("http://141.218.60.56/~jnz1568/getInfo.php?workbook=07_01.xlsx&amp;sheet=A0&amp;row=179&amp;col=14&amp;number=45294000&amp;sourceID=12","45294000")</f>
        <v>45294000</v>
      </c>
      <c r="O179" s="4" t="str">
        <f>HYPERLINK("http://141.218.60.56/~jnz1568/getInfo.php?workbook=07_01.xlsx&amp;sheet=A0&amp;row=179&amp;col=15&amp;number=&amp;sourceID=12","")</f>
        <v/>
      </c>
      <c r="P179" s="4" t="str">
        <f>HYPERLINK("http://141.218.60.56/~jnz1568/getInfo.php?workbook=07_01.xlsx&amp;sheet=A0&amp;row=179&amp;col=16&amp;number=0.26645&amp;sourceID=12","0.26645")</f>
        <v>0.26645</v>
      </c>
      <c r="Q179" s="4" t="str">
        <f>HYPERLINK("http://141.218.60.56/~jnz1568/getInfo.php?workbook=07_01.xlsx&amp;sheet=A0&amp;row=179&amp;col=17&amp;number=&amp;sourceID=12","")</f>
        <v/>
      </c>
      <c r="R179" s="4" t="str">
        <f>HYPERLINK("http://141.218.60.56/~jnz1568/getInfo.php?workbook=07_01.xlsx&amp;sheet=A0&amp;row=179&amp;col=18&amp;number=&amp;sourceID=12","")</f>
        <v/>
      </c>
      <c r="S179" s="4" t="str">
        <f>HYPERLINK("http://141.218.60.56/~jnz1568/getInfo.php?workbook=07_01.xlsx&amp;sheet=A0&amp;row=179&amp;col=19&amp;number=&amp;sourceID=12","")</f>
        <v/>
      </c>
      <c r="T179" s="4" t="str">
        <f>HYPERLINK("http://141.218.60.56/~jnz1568/getInfo.php?workbook=07_01.xlsx&amp;sheet=A0&amp;row=179&amp;col=20&amp;number==&amp;sourceID=30","=")</f>
        <v>=</v>
      </c>
      <c r="U179" s="4" t="str">
        <f>HYPERLINK("http://141.218.60.56/~jnz1568/getInfo.php?workbook=07_01.xlsx&amp;sheet=A0&amp;row=179&amp;col=21&amp;number=45290000&amp;sourceID=30","45290000")</f>
        <v>45290000</v>
      </c>
      <c r="V179" s="4" t="str">
        <f>HYPERLINK("http://141.218.60.56/~jnz1568/getInfo.php?workbook=07_01.xlsx&amp;sheet=A0&amp;row=179&amp;col=22&amp;number=&amp;sourceID=30","")</f>
        <v/>
      </c>
      <c r="W179" s="4" t="str">
        <f>HYPERLINK("http://141.218.60.56/~jnz1568/getInfo.php?workbook=07_01.xlsx&amp;sheet=A0&amp;row=179&amp;col=23&amp;number=&amp;sourceID=30","")</f>
        <v/>
      </c>
      <c r="X179" s="4" t="str">
        <f>HYPERLINK("http://141.218.60.56/~jnz1568/getInfo.php?workbook=07_01.xlsx&amp;sheet=A0&amp;row=179&amp;col=24&amp;number=&amp;sourceID=30","")</f>
        <v/>
      </c>
      <c r="Y179" s="4" t="str">
        <f>HYPERLINK("http://141.218.60.56/~jnz1568/getInfo.php?workbook=07_01.xlsx&amp;sheet=A0&amp;row=179&amp;col=25&amp;number=&amp;sourceID=13","")</f>
        <v/>
      </c>
      <c r="Z179" s="4" t="str">
        <f>HYPERLINK("http://141.218.60.56/~jnz1568/getInfo.php?workbook=07_01.xlsx&amp;sheet=A0&amp;row=179&amp;col=26&amp;number=&amp;sourceID=13","")</f>
        <v/>
      </c>
      <c r="AA179" s="4" t="str">
        <f>HYPERLINK("http://141.218.60.56/~jnz1568/getInfo.php?workbook=07_01.xlsx&amp;sheet=A0&amp;row=179&amp;col=27&amp;number=&amp;sourceID=13","")</f>
        <v/>
      </c>
      <c r="AB179" s="4" t="str">
        <f>HYPERLINK("http://141.218.60.56/~jnz1568/getInfo.php?workbook=07_01.xlsx&amp;sheet=A0&amp;row=179&amp;col=28&amp;number=&amp;sourceID=13","")</f>
        <v/>
      </c>
      <c r="AC179" s="4" t="str">
        <f>HYPERLINK("http://141.218.60.56/~jnz1568/getInfo.php?workbook=07_01.xlsx&amp;sheet=A0&amp;row=179&amp;col=29&amp;number=&amp;sourceID=13","")</f>
        <v/>
      </c>
      <c r="AD179" s="4" t="str">
        <f>HYPERLINK("http://141.218.60.56/~jnz1568/getInfo.php?workbook=07_01.xlsx&amp;sheet=A0&amp;row=179&amp;col=30&amp;number=&amp;sourceID=13","")</f>
        <v/>
      </c>
    </row>
    <row r="180" spans="1:30">
      <c r="A180" s="3">
        <v>7</v>
      </c>
      <c r="B180" s="3">
        <v>1</v>
      </c>
      <c r="C180" s="3">
        <v>20</v>
      </c>
      <c r="D180" s="3">
        <v>13</v>
      </c>
      <c r="E180" s="3">
        <f>((1/(INDEX(E0!J$4:J$28,C180,1)-INDEX(E0!J$4:J$28,D180,1))))*100000000</f>
        <v>0</v>
      </c>
      <c r="F180" s="4" t="str">
        <f>HYPERLINK("http://141.218.60.56/~jnz1568/getInfo.php?workbook=07_01.xlsx&amp;sheet=A0&amp;row=180&amp;col=6&amp;number==&amp;sourceID=11","=")</f>
        <v>=</v>
      </c>
      <c r="G180" s="4" t="str">
        <f>HYPERLINK("http://141.218.60.56/~jnz1568/getInfo.php?workbook=07_01.xlsx&amp;sheet=A0&amp;row=180&amp;col=7&amp;number=&amp;sourceID=11","")</f>
        <v/>
      </c>
      <c r="H180" s="4" t="str">
        <f>HYPERLINK("http://141.218.60.56/~jnz1568/getInfo.php?workbook=07_01.xlsx&amp;sheet=A0&amp;row=180&amp;col=8&amp;number=26738&amp;sourceID=11","26738")</f>
        <v>26738</v>
      </c>
      <c r="I180" s="4" t="str">
        <f>HYPERLINK("http://141.218.60.56/~jnz1568/getInfo.php?workbook=07_01.xlsx&amp;sheet=A0&amp;row=180&amp;col=9&amp;number=&amp;sourceID=11","")</f>
        <v/>
      </c>
      <c r="J180" s="4" t="str">
        <f>HYPERLINK("http://141.218.60.56/~jnz1568/getInfo.php?workbook=07_01.xlsx&amp;sheet=A0&amp;row=180&amp;col=10&amp;number=0.00049797&amp;sourceID=11","0.00049797")</f>
        <v>0.00049797</v>
      </c>
      <c r="K180" s="4" t="str">
        <f>HYPERLINK("http://141.218.60.56/~jnz1568/getInfo.php?workbook=07_01.xlsx&amp;sheet=A0&amp;row=180&amp;col=11&amp;number=&amp;sourceID=11","")</f>
        <v/>
      </c>
      <c r="L180" s="4" t="str">
        <f>HYPERLINK("http://141.218.60.56/~jnz1568/getInfo.php?workbook=07_01.xlsx&amp;sheet=A0&amp;row=180&amp;col=12&amp;number=9.2207e-06&amp;sourceID=11","9.2207e-06")</f>
        <v>9.2207e-06</v>
      </c>
      <c r="M180" s="4" t="str">
        <f>HYPERLINK("http://141.218.60.56/~jnz1568/getInfo.php?workbook=07_01.xlsx&amp;sheet=A0&amp;row=180&amp;col=13&amp;number=26739&amp;sourceID=12","26739")</f>
        <v>26739</v>
      </c>
      <c r="N180" s="4" t="str">
        <f>HYPERLINK("http://141.218.60.56/~jnz1568/getInfo.php?workbook=07_01.xlsx&amp;sheet=A0&amp;row=180&amp;col=14&amp;number=&amp;sourceID=12","")</f>
        <v/>
      </c>
      <c r="O180" s="4" t="str">
        <f>HYPERLINK("http://141.218.60.56/~jnz1568/getInfo.php?workbook=07_01.xlsx&amp;sheet=A0&amp;row=180&amp;col=15&amp;number=26739&amp;sourceID=12","26739")</f>
        <v>26739</v>
      </c>
      <c r="P180" s="4" t="str">
        <f>HYPERLINK("http://141.218.60.56/~jnz1568/getInfo.php?workbook=07_01.xlsx&amp;sheet=A0&amp;row=180&amp;col=16&amp;number=&amp;sourceID=12","")</f>
        <v/>
      </c>
      <c r="Q180" s="4" t="str">
        <f>HYPERLINK("http://141.218.60.56/~jnz1568/getInfo.php?workbook=07_01.xlsx&amp;sheet=A0&amp;row=180&amp;col=17&amp;number=0.00049799&amp;sourceID=12","0.00049799")</f>
        <v>0.00049799</v>
      </c>
      <c r="R180" s="4" t="str">
        <f>HYPERLINK("http://141.218.60.56/~jnz1568/getInfo.php?workbook=07_01.xlsx&amp;sheet=A0&amp;row=180&amp;col=18&amp;number=&amp;sourceID=12","")</f>
        <v/>
      </c>
      <c r="S180" s="4" t="str">
        <f>HYPERLINK("http://141.218.60.56/~jnz1568/getInfo.php?workbook=07_01.xlsx&amp;sheet=A0&amp;row=180&amp;col=19&amp;number=9.2211e-06&amp;sourceID=12","9.2211e-06")</f>
        <v>9.2211e-06</v>
      </c>
      <c r="T180" s="4" t="str">
        <f>HYPERLINK("http://141.218.60.56/~jnz1568/getInfo.php?workbook=07_01.xlsx&amp;sheet=A0&amp;row=180&amp;col=20&amp;number==&amp;sourceID=30","=")</f>
        <v>=</v>
      </c>
      <c r="U180" s="4" t="str">
        <f>HYPERLINK("http://141.218.60.56/~jnz1568/getInfo.php?workbook=07_01.xlsx&amp;sheet=A0&amp;row=180&amp;col=21&amp;number=&amp;sourceID=30","")</f>
        <v/>
      </c>
      <c r="V180" s="4" t="str">
        <f>HYPERLINK("http://141.218.60.56/~jnz1568/getInfo.php?workbook=07_01.xlsx&amp;sheet=A0&amp;row=180&amp;col=22&amp;number=26740&amp;sourceID=30","26740")</f>
        <v>26740</v>
      </c>
      <c r="W180" s="4" t="str">
        <f>HYPERLINK("http://141.218.60.56/~jnz1568/getInfo.php?workbook=07_01.xlsx&amp;sheet=A0&amp;row=180&amp;col=23&amp;number=0.0004965&amp;sourceID=30","0.0004965")</f>
        <v>0.0004965</v>
      </c>
      <c r="X180" s="4" t="str">
        <f>HYPERLINK("http://141.218.60.56/~jnz1568/getInfo.php?workbook=07_01.xlsx&amp;sheet=A0&amp;row=180&amp;col=24&amp;number=&amp;sourceID=30","")</f>
        <v/>
      </c>
      <c r="Y180" s="4" t="str">
        <f>HYPERLINK("http://141.218.60.56/~jnz1568/getInfo.php?workbook=07_01.xlsx&amp;sheet=A0&amp;row=180&amp;col=25&amp;number=&amp;sourceID=13","")</f>
        <v/>
      </c>
      <c r="Z180" s="4" t="str">
        <f>HYPERLINK("http://141.218.60.56/~jnz1568/getInfo.php?workbook=07_01.xlsx&amp;sheet=A0&amp;row=180&amp;col=26&amp;number=&amp;sourceID=13","")</f>
        <v/>
      </c>
      <c r="AA180" s="4" t="str">
        <f>HYPERLINK("http://141.218.60.56/~jnz1568/getInfo.php?workbook=07_01.xlsx&amp;sheet=A0&amp;row=180&amp;col=27&amp;number=&amp;sourceID=13","")</f>
        <v/>
      </c>
      <c r="AB180" s="4" t="str">
        <f>HYPERLINK("http://141.218.60.56/~jnz1568/getInfo.php?workbook=07_01.xlsx&amp;sheet=A0&amp;row=180&amp;col=28&amp;number=&amp;sourceID=13","")</f>
        <v/>
      </c>
      <c r="AC180" s="4" t="str">
        <f>HYPERLINK("http://141.218.60.56/~jnz1568/getInfo.php?workbook=07_01.xlsx&amp;sheet=A0&amp;row=180&amp;col=29&amp;number=&amp;sourceID=13","")</f>
        <v/>
      </c>
      <c r="AD180" s="4" t="str">
        <f>HYPERLINK("http://141.218.60.56/~jnz1568/getInfo.php?workbook=07_01.xlsx&amp;sheet=A0&amp;row=180&amp;col=30&amp;number=&amp;sourceID=13","")</f>
        <v/>
      </c>
    </row>
    <row r="181" spans="1:30">
      <c r="A181" s="3">
        <v>7</v>
      </c>
      <c r="B181" s="3">
        <v>1</v>
      </c>
      <c r="C181" s="3">
        <v>20</v>
      </c>
      <c r="D181" s="3">
        <v>14</v>
      </c>
      <c r="E181" s="3">
        <f>((1/(INDEX(E0!J$4:J$28,C181,1)-INDEX(E0!J$4:J$28,D181,1))))*100000000</f>
        <v>0</v>
      </c>
      <c r="F181" s="4" t="str">
        <f>HYPERLINK("http://141.218.60.56/~jnz1568/getInfo.php?workbook=07_01.xlsx&amp;sheet=A0&amp;row=181&amp;col=6&amp;number==&amp;sourceID=11","=")</f>
        <v>=</v>
      </c>
      <c r="G181" s="4" t="str">
        <f>HYPERLINK("http://141.218.60.56/~jnz1568/getInfo.php?workbook=07_01.xlsx&amp;sheet=A0&amp;row=181&amp;col=7&amp;number=&amp;sourceID=11","")</f>
        <v/>
      </c>
      <c r="H181" s="4" t="str">
        <f>HYPERLINK("http://141.218.60.56/~jnz1568/getInfo.php?workbook=07_01.xlsx&amp;sheet=A0&amp;row=181&amp;col=8&amp;number=792.48&amp;sourceID=11","792.48")</f>
        <v>792.48</v>
      </c>
      <c r="I181" s="4" t="str">
        <f>HYPERLINK("http://141.218.60.56/~jnz1568/getInfo.php?workbook=07_01.xlsx&amp;sheet=A0&amp;row=181&amp;col=9&amp;number=&amp;sourceID=11","")</f>
        <v/>
      </c>
      <c r="J181" s="4" t="str">
        <f>HYPERLINK("http://141.218.60.56/~jnz1568/getInfo.php?workbook=07_01.xlsx&amp;sheet=A0&amp;row=181&amp;col=10&amp;number=1.1832e-08&amp;sourceID=11","1.1832e-08")</f>
        <v>1.1832e-08</v>
      </c>
      <c r="K181" s="4" t="str">
        <f>HYPERLINK("http://141.218.60.56/~jnz1568/getInfo.php?workbook=07_01.xlsx&amp;sheet=A0&amp;row=181&amp;col=11&amp;number=&amp;sourceID=11","")</f>
        <v/>
      </c>
      <c r="L181" s="4" t="str">
        <f>HYPERLINK("http://141.218.60.56/~jnz1568/getInfo.php?workbook=07_01.xlsx&amp;sheet=A0&amp;row=181&amp;col=12&amp;number=2.1677e-09&amp;sourceID=11","2.1677e-09")</f>
        <v>2.1677e-09</v>
      </c>
      <c r="M181" s="4" t="str">
        <f>HYPERLINK("http://141.218.60.56/~jnz1568/getInfo.php?workbook=07_01.xlsx&amp;sheet=A0&amp;row=181&amp;col=13&amp;number=792.51&amp;sourceID=12","792.51")</f>
        <v>792.51</v>
      </c>
      <c r="N181" s="4" t="str">
        <f>HYPERLINK("http://141.218.60.56/~jnz1568/getInfo.php?workbook=07_01.xlsx&amp;sheet=A0&amp;row=181&amp;col=14&amp;number=&amp;sourceID=12","")</f>
        <v/>
      </c>
      <c r="O181" s="4" t="str">
        <f>HYPERLINK("http://141.218.60.56/~jnz1568/getInfo.php?workbook=07_01.xlsx&amp;sheet=A0&amp;row=181&amp;col=15&amp;number=792.51&amp;sourceID=12","792.51")</f>
        <v>792.51</v>
      </c>
      <c r="P181" s="4" t="str">
        <f>HYPERLINK("http://141.218.60.56/~jnz1568/getInfo.php?workbook=07_01.xlsx&amp;sheet=A0&amp;row=181&amp;col=16&amp;number=&amp;sourceID=12","")</f>
        <v/>
      </c>
      <c r="Q181" s="4" t="str">
        <f>HYPERLINK("http://141.218.60.56/~jnz1568/getInfo.php?workbook=07_01.xlsx&amp;sheet=A0&amp;row=181&amp;col=17&amp;number=1.1833e-08&amp;sourceID=12","1.1833e-08")</f>
        <v>1.1833e-08</v>
      </c>
      <c r="R181" s="4" t="str">
        <f>HYPERLINK("http://141.218.60.56/~jnz1568/getInfo.php?workbook=07_01.xlsx&amp;sheet=A0&amp;row=181&amp;col=18&amp;number=&amp;sourceID=12","")</f>
        <v/>
      </c>
      <c r="S181" s="4" t="str">
        <f>HYPERLINK("http://141.218.60.56/~jnz1568/getInfo.php?workbook=07_01.xlsx&amp;sheet=A0&amp;row=181&amp;col=19&amp;number=2.1678e-09&amp;sourceID=12","2.1678e-09")</f>
        <v>2.1678e-09</v>
      </c>
      <c r="T181" s="4" t="str">
        <f>HYPERLINK("http://141.218.60.56/~jnz1568/getInfo.php?workbook=07_01.xlsx&amp;sheet=A0&amp;row=181&amp;col=20&amp;number==&amp;sourceID=30","=")</f>
        <v>=</v>
      </c>
      <c r="U181" s="4" t="str">
        <f>HYPERLINK("http://141.218.60.56/~jnz1568/getInfo.php?workbook=07_01.xlsx&amp;sheet=A0&amp;row=181&amp;col=21&amp;number=&amp;sourceID=30","")</f>
        <v/>
      </c>
      <c r="V181" s="4" t="str">
        <f>HYPERLINK("http://141.218.60.56/~jnz1568/getInfo.php?workbook=07_01.xlsx&amp;sheet=A0&amp;row=181&amp;col=22&amp;number=792.5&amp;sourceID=30","792.5")</f>
        <v>792.5</v>
      </c>
      <c r="W181" s="4" t="str">
        <f>HYPERLINK("http://141.218.60.56/~jnz1568/getInfo.php?workbook=07_01.xlsx&amp;sheet=A0&amp;row=181&amp;col=23&amp;number=1.397e-08&amp;sourceID=30","1.397e-08")</f>
        <v>1.397e-08</v>
      </c>
      <c r="X181" s="4" t="str">
        <f>HYPERLINK("http://141.218.60.56/~jnz1568/getInfo.php?workbook=07_01.xlsx&amp;sheet=A0&amp;row=181&amp;col=24&amp;number=&amp;sourceID=30","")</f>
        <v/>
      </c>
      <c r="Y181" s="4" t="str">
        <f>HYPERLINK("http://141.218.60.56/~jnz1568/getInfo.php?workbook=07_01.xlsx&amp;sheet=A0&amp;row=181&amp;col=25&amp;number=&amp;sourceID=13","")</f>
        <v/>
      </c>
      <c r="Z181" s="4" t="str">
        <f>HYPERLINK("http://141.218.60.56/~jnz1568/getInfo.php?workbook=07_01.xlsx&amp;sheet=A0&amp;row=181&amp;col=26&amp;number=&amp;sourceID=13","")</f>
        <v/>
      </c>
      <c r="AA181" s="4" t="str">
        <f>HYPERLINK("http://141.218.60.56/~jnz1568/getInfo.php?workbook=07_01.xlsx&amp;sheet=A0&amp;row=181&amp;col=27&amp;number=&amp;sourceID=13","")</f>
        <v/>
      </c>
      <c r="AB181" s="4" t="str">
        <f>HYPERLINK("http://141.218.60.56/~jnz1568/getInfo.php?workbook=07_01.xlsx&amp;sheet=A0&amp;row=181&amp;col=28&amp;number=&amp;sourceID=13","")</f>
        <v/>
      </c>
      <c r="AC181" s="4" t="str">
        <f>HYPERLINK("http://141.218.60.56/~jnz1568/getInfo.php?workbook=07_01.xlsx&amp;sheet=A0&amp;row=181&amp;col=29&amp;number=&amp;sourceID=13","")</f>
        <v/>
      </c>
      <c r="AD181" s="4" t="str">
        <f>HYPERLINK("http://141.218.60.56/~jnz1568/getInfo.php?workbook=07_01.xlsx&amp;sheet=A0&amp;row=181&amp;col=30&amp;number=&amp;sourceID=13","")</f>
        <v/>
      </c>
    </row>
    <row r="182" spans="1:30">
      <c r="A182" s="3">
        <v>7</v>
      </c>
      <c r="B182" s="3">
        <v>1</v>
      </c>
      <c r="C182" s="3">
        <v>20</v>
      </c>
      <c r="D182" s="3">
        <v>15</v>
      </c>
      <c r="E182" s="3">
        <f>((1/(INDEX(E0!J$4:J$28,C182,1)-INDEX(E0!J$4:J$28,D182,1))))*100000000</f>
        <v>0</v>
      </c>
      <c r="F182" s="4" t="str">
        <f>HYPERLINK("http://141.218.60.56/~jnz1568/getInfo.php?workbook=07_01.xlsx&amp;sheet=A0&amp;row=182&amp;col=6&amp;number==&amp;sourceID=11","=")</f>
        <v>=</v>
      </c>
      <c r="G182" s="4" t="str">
        <f>HYPERLINK("http://141.218.60.56/~jnz1568/getInfo.php?workbook=07_01.xlsx&amp;sheet=A0&amp;row=182&amp;col=7&amp;number=408430000&amp;sourceID=11","408430000")</f>
        <v>408430000</v>
      </c>
      <c r="H182" s="4" t="str">
        <f>HYPERLINK("http://141.218.60.56/~jnz1568/getInfo.php?workbook=07_01.xlsx&amp;sheet=A0&amp;row=182&amp;col=8&amp;number=&amp;sourceID=11","")</f>
        <v/>
      </c>
      <c r="I182" s="4" t="str">
        <f>HYPERLINK("http://141.218.60.56/~jnz1568/getInfo.php?workbook=07_01.xlsx&amp;sheet=A0&amp;row=182&amp;col=9&amp;number=0.17748&amp;sourceID=11","0.17748")</f>
        <v>0.17748</v>
      </c>
      <c r="J182" s="4" t="str">
        <f>HYPERLINK("http://141.218.60.56/~jnz1568/getInfo.php?workbook=07_01.xlsx&amp;sheet=A0&amp;row=182&amp;col=10&amp;number=&amp;sourceID=11","")</f>
        <v/>
      </c>
      <c r="K182" s="4" t="str">
        <f>HYPERLINK("http://141.218.60.56/~jnz1568/getInfo.php?workbook=07_01.xlsx&amp;sheet=A0&amp;row=182&amp;col=11&amp;number=0.085546&amp;sourceID=11","0.085546")</f>
        <v>0.085546</v>
      </c>
      <c r="L182" s="4" t="str">
        <f>HYPERLINK("http://141.218.60.56/~jnz1568/getInfo.php?workbook=07_01.xlsx&amp;sheet=A0&amp;row=182&amp;col=12&amp;number=&amp;sourceID=11","")</f>
        <v/>
      </c>
      <c r="M182" s="4" t="str">
        <f>HYPERLINK("http://141.218.60.56/~jnz1568/getInfo.php?workbook=07_01.xlsx&amp;sheet=A0&amp;row=182&amp;col=13&amp;number=408450000&amp;sourceID=12","408450000")</f>
        <v>408450000</v>
      </c>
      <c r="N182" s="4" t="str">
        <f>HYPERLINK("http://141.218.60.56/~jnz1568/getInfo.php?workbook=07_01.xlsx&amp;sheet=A0&amp;row=182&amp;col=14&amp;number=408450000&amp;sourceID=12","408450000")</f>
        <v>408450000</v>
      </c>
      <c r="O182" s="4" t="str">
        <f>HYPERLINK("http://141.218.60.56/~jnz1568/getInfo.php?workbook=07_01.xlsx&amp;sheet=A0&amp;row=182&amp;col=15&amp;number=&amp;sourceID=12","")</f>
        <v/>
      </c>
      <c r="P182" s="4" t="str">
        <f>HYPERLINK("http://141.218.60.56/~jnz1568/getInfo.php?workbook=07_01.xlsx&amp;sheet=A0&amp;row=182&amp;col=16&amp;number=0.17748&amp;sourceID=12","0.17748")</f>
        <v>0.17748</v>
      </c>
      <c r="Q182" s="4" t="str">
        <f>HYPERLINK("http://141.218.60.56/~jnz1568/getInfo.php?workbook=07_01.xlsx&amp;sheet=A0&amp;row=182&amp;col=17&amp;number=&amp;sourceID=12","")</f>
        <v/>
      </c>
      <c r="R182" s="4" t="str">
        <f>HYPERLINK("http://141.218.60.56/~jnz1568/getInfo.php?workbook=07_01.xlsx&amp;sheet=A0&amp;row=182&amp;col=18&amp;number=0.085549&amp;sourceID=12","0.085549")</f>
        <v>0.085549</v>
      </c>
      <c r="S182" s="4" t="str">
        <f>HYPERLINK("http://141.218.60.56/~jnz1568/getInfo.php?workbook=07_01.xlsx&amp;sheet=A0&amp;row=182&amp;col=19&amp;number=&amp;sourceID=12","")</f>
        <v/>
      </c>
      <c r="T182" s="4" t="str">
        <f>HYPERLINK("http://141.218.60.56/~jnz1568/getInfo.php?workbook=07_01.xlsx&amp;sheet=A0&amp;row=182&amp;col=20&amp;number==SUM(U182:X182)&amp;sourceID=30","=SUM(U182:X182)")</f>
        <v>=SUM(U182:X182)</v>
      </c>
      <c r="U182" s="4" t="str">
        <f>HYPERLINK("http://141.218.60.56/~jnz1568/getInfo.php?workbook=07_01.xlsx&amp;sheet=A0&amp;row=182&amp;col=21&amp;number=408400000&amp;sourceID=30","408400000")</f>
        <v>408400000</v>
      </c>
      <c r="V182" s="4" t="str">
        <f>HYPERLINK("http://141.218.60.56/~jnz1568/getInfo.php?workbook=07_01.xlsx&amp;sheet=A0&amp;row=182&amp;col=22&amp;number=&amp;sourceID=30","")</f>
        <v/>
      </c>
      <c r="W182" s="4" t="str">
        <f>HYPERLINK("http://141.218.60.56/~jnz1568/getInfo.php?workbook=07_01.xlsx&amp;sheet=A0&amp;row=182&amp;col=23&amp;number=&amp;sourceID=30","")</f>
        <v/>
      </c>
      <c r="X182" s="4" t="str">
        <f>HYPERLINK("http://141.218.60.56/~jnz1568/getInfo.php?workbook=07_01.xlsx&amp;sheet=A0&amp;row=182&amp;col=24&amp;number=0.08555&amp;sourceID=30","0.08555")</f>
        <v>0.08555</v>
      </c>
      <c r="Y182" s="4" t="str">
        <f>HYPERLINK("http://141.218.60.56/~jnz1568/getInfo.php?workbook=07_01.xlsx&amp;sheet=A0&amp;row=182&amp;col=25&amp;number=&amp;sourceID=13","")</f>
        <v/>
      </c>
      <c r="Z182" s="4" t="str">
        <f>HYPERLINK("http://141.218.60.56/~jnz1568/getInfo.php?workbook=07_01.xlsx&amp;sheet=A0&amp;row=182&amp;col=26&amp;number=&amp;sourceID=13","")</f>
        <v/>
      </c>
      <c r="AA182" s="4" t="str">
        <f>HYPERLINK("http://141.218.60.56/~jnz1568/getInfo.php?workbook=07_01.xlsx&amp;sheet=A0&amp;row=182&amp;col=27&amp;number=&amp;sourceID=13","")</f>
        <v/>
      </c>
      <c r="AB182" s="4" t="str">
        <f>HYPERLINK("http://141.218.60.56/~jnz1568/getInfo.php?workbook=07_01.xlsx&amp;sheet=A0&amp;row=182&amp;col=28&amp;number=&amp;sourceID=13","")</f>
        <v/>
      </c>
      <c r="AC182" s="4" t="str">
        <f>HYPERLINK("http://141.218.60.56/~jnz1568/getInfo.php?workbook=07_01.xlsx&amp;sheet=A0&amp;row=182&amp;col=29&amp;number=&amp;sourceID=13","")</f>
        <v/>
      </c>
      <c r="AD182" s="4" t="str">
        <f>HYPERLINK("http://141.218.60.56/~jnz1568/getInfo.php?workbook=07_01.xlsx&amp;sheet=A0&amp;row=182&amp;col=30&amp;number=&amp;sourceID=13","")</f>
        <v/>
      </c>
    </row>
    <row r="183" spans="1:30">
      <c r="A183" s="3">
        <v>7</v>
      </c>
      <c r="B183" s="3">
        <v>1</v>
      </c>
      <c r="C183" s="3">
        <v>20</v>
      </c>
      <c r="D183" s="3">
        <v>16</v>
      </c>
      <c r="E183" s="3">
        <f>((1/(INDEX(E0!J$4:J$28,C183,1)-INDEX(E0!J$4:J$28,D183,1))))*100000000</f>
        <v>0</v>
      </c>
      <c r="F183" s="4" t="str">
        <f>HYPERLINK("http://141.218.60.56/~jnz1568/getInfo.php?workbook=07_01.xlsx&amp;sheet=A0&amp;row=183&amp;col=6&amp;number==&amp;sourceID=11","=")</f>
        <v>=</v>
      </c>
      <c r="G183" s="4" t="str">
        <f>HYPERLINK("http://141.218.60.56/~jnz1568/getInfo.php?workbook=07_01.xlsx&amp;sheet=A0&amp;row=183&amp;col=7&amp;number=&amp;sourceID=11","")</f>
        <v/>
      </c>
      <c r="H183" s="4" t="str">
        <f>HYPERLINK("http://141.218.60.56/~jnz1568/getInfo.php?workbook=07_01.xlsx&amp;sheet=A0&amp;row=183&amp;col=8&amp;number=4756&amp;sourceID=11","4756")</f>
        <v>4756</v>
      </c>
      <c r="I183" s="4" t="str">
        <f>HYPERLINK("http://141.218.60.56/~jnz1568/getInfo.php?workbook=07_01.xlsx&amp;sheet=A0&amp;row=183&amp;col=9&amp;number=&amp;sourceID=11","")</f>
        <v/>
      </c>
      <c r="J183" s="4" t="str">
        <f>HYPERLINK("http://141.218.60.56/~jnz1568/getInfo.php?workbook=07_01.xlsx&amp;sheet=A0&amp;row=183&amp;col=10&amp;number=&amp;sourceID=11","")</f>
        <v/>
      </c>
      <c r="K183" s="4" t="str">
        <f>HYPERLINK("http://141.218.60.56/~jnz1568/getInfo.php?workbook=07_01.xlsx&amp;sheet=A0&amp;row=183&amp;col=11&amp;number=&amp;sourceID=11","")</f>
        <v/>
      </c>
      <c r="L183" s="4" t="str">
        <f>HYPERLINK("http://141.218.60.56/~jnz1568/getInfo.php?workbook=07_01.xlsx&amp;sheet=A0&amp;row=183&amp;col=12&amp;number=8.7788e-07&amp;sourceID=11","8.7788e-07")</f>
        <v>8.7788e-07</v>
      </c>
      <c r="M183" s="4" t="str">
        <f>HYPERLINK("http://141.218.60.56/~jnz1568/getInfo.php?workbook=07_01.xlsx&amp;sheet=A0&amp;row=183&amp;col=13&amp;number=4756.2&amp;sourceID=12","4756.2")</f>
        <v>4756.2</v>
      </c>
      <c r="N183" s="4" t="str">
        <f>HYPERLINK("http://141.218.60.56/~jnz1568/getInfo.php?workbook=07_01.xlsx&amp;sheet=A0&amp;row=183&amp;col=14&amp;number=&amp;sourceID=12","")</f>
        <v/>
      </c>
      <c r="O183" s="4" t="str">
        <f>HYPERLINK("http://141.218.60.56/~jnz1568/getInfo.php?workbook=07_01.xlsx&amp;sheet=A0&amp;row=183&amp;col=15&amp;number=4756.2&amp;sourceID=12","4756.2")</f>
        <v>4756.2</v>
      </c>
      <c r="P183" s="4" t="str">
        <f>HYPERLINK("http://141.218.60.56/~jnz1568/getInfo.php?workbook=07_01.xlsx&amp;sheet=A0&amp;row=183&amp;col=16&amp;number=&amp;sourceID=12","")</f>
        <v/>
      </c>
      <c r="Q183" s="4" t="str">
        <f>HYPERLINK("http://141.218.60.56/~jnz1568/getInfo.php?workbook=07_01.xlsx&amp;sheet=A0&amp;row=183&amp;col=17&amp;number=&amp;sourceID=12","")</f>
        <v/>
      </c>
      <c r="R183" s="4" t="str">
        <f>HYPERLINK("http://141.218.60.56/~jnz1568/getInfo.php?workbook=07_01.xlsx&amp;sheet=A0&amp;row=183&amp;col=18&amp;number=&amp;sourceID=12","")</f>
        <v/>
      </c>
      <c r="S183" s="4" t="str">
        <f>HYPERLINK("http://141.218.60.56/~jnz1568/getInfo.php?workbook=07_01.xlsx&amp;sheet=A0&amp;row=183&amp;col=19&amp;number=8.7792e-07&amp;sourceID=12","8.7792e-07")</f>
        <v>8.7792e-07</v>
      </c>
      <c r="T183" s="4" t="str">
        <f>HYPERLINK("http://141.218.60.56/~jnz1568/getInfo.php?workbook=07_01.xlsx&amp;sheet=A0&amp;row=183&amp;col=20&amp;number==&amp;sourceID=30","=")</f>
        <v>=</v>
      </c>
      <c r="U183" s="4" t="str">
        <f>HYPERLINK("http://141.218.60.56/~jnz1568/getInfo.php?workbook=07_01.xlsx&amp;sheet=A0&amp;row=183&amp;col=21&amp;number=&amp;sourceID=30","")</f>
        <v/>
      </c>
      <c r="V183" s="4" t="str">
        <f>HYPERLINK("http://141.218.60.56/~jnz1568/getInfo.php?workbook=07_01.xlsx&amp;sheet=A0&amp;row=183&amp;col=22&amp;number=4756&amp;sourceID=30","4756")</f>
        <v>4756</v>
      </c>
      <c r="W183" s="4" t="str">
        <f>HYPERLINK("http://141.218.60.56/~jnz1568/getInfo.php?workbook=07_01.xlsx&amp;sheet=A0&amp;row=183&amp;col=23&amp;number=&amp;sourceID=30","")</f>
        <v/>
      </c>
      <c r="X183" s="4" t="str">
        <f>HYPERLINK("http://141.218.60.56/~jnz1568/getInfo.php?workbook=07_01.xlsx&amp;sheet=A0&amp;row=183&amp;col=24&amp;number=&amp;sourceID=30","")</f>
        <v/>
      </c>
      <c r="Y183" s="4" t="str">
        <f>HYPERLINK("http://141.218.60.56/~jnz1568/getInfo.php?workbook=07_01.xlsx&amp;sheet=A0&amp;row=183&amp;col=25&amp;number=&amp;sourceID=13","")</f>
        <v/>
      </c>
      <c r="Z183" s="4" t="str">
        <f>HYPERLINK("http://141.218.60.56/~jnz1568/getInfo.php?workbook=07_01.xlsx&amp;sheet=A0&amp;row=183&amp;col=26&amp;number=&amp;sourceID=13","")</f>
        <v/>
      </c>
      <c r="AA183" s="4" t="str">
        <f>HYPERLINK("http://141.218.60.56/~jnz1568/getInfo.php?workbook=07_01.xlsx&amp;sheet=A0&amp;row=183&amp;col=27&amp;number=&amp;sourceID=13","")</f>
        <v/>
      </c>
      <c r="AB183" s="4" t="str">
        <f>HYPERLINK("http://141.218.60.56/~jnz1568/getInfo.php?workbook=07_01.xlsx&amp;sheet=A0&amp;row=183&amp;col=28&amp;number=&amp;sourceID=13","")</f>
        <v/>
      </c>
      <c r="AC183" s="4" t="str">
        <f>HYPERLINK("http://141.218.60.56/~jnz1568/getInfo.php?workbook=07_01.xlsx&amp;sheet=A0&amp;row=183&amp;col=29&amp;number=&amp;sourceID=13","")</f>
        <v/>
      </c>
      <c r="AD183" s="4" t="str">
        <f>HYPERLINK("http://141.218.60.56/~jnz1568/getInfo.php?workbook=07_01.xlsx&amp;sheet=A0&amp;row=183&amp;col=30&amp;number=&amp;sourceID=13","")</f>
        <v/>
      </c>
    </row>
    <row r="184" spans="1:30">
      <c r="A184" s="3">
        <v>7</v>
      </c>
      <c r="B184" s="3">
        <v>1</v>
      </c>
      <c r="C184" s="3">
        <v>20</v>
      </c>
      <c r="D184" s="3">
        <v>17</v>
      </c>
      <c r="E184" s="3">
        <f>((1/(INDEX(E0!J$4:J$28,C184,1)-INDEX(E0!J$4:J$28,D184,1))))*100000000</f>
        <v>0</v>
      </c>
      <c r="F184" s="4" t="str">
        <f>HYPERLINK("http://141.218.60.56/~jnz1568/getInfo.php?workbook=07_01.xlsx&amp;sheet=A0&amp;row=184&amp;col=6&amp;number==&amp;sourceID=11","=")</f>
        <v>=</v>
      </c>
      <c r="G184" s="4" t="str">
        <f>HYPERLINK("http://141.218.60.56/~jnz1568/getInfo.php?workbook=07_01.xlsx&amp;sheet=A0&amp;row=184&amp;col=7&amp;number=&amp;sourceID=11","")</f>
        <v/>
      </c>
      <c r="H184" s="4" t="str">
        <f>HYPERLINK("http://141.218.60.56/~jnz1568/getInfo.php?workbook=07_01.xlsx&amp;sheet=A0&amp;row=184&amp;col=8&amp;number=1.1763e-11&amp;sourceID=11","1.1763e-11")</f>
        <v>1.1763e-11</v>
      </c>
      <c r="I184" s="4" t="str">
        <f>HYPERLINK("http://141.218.60.56/~jnz1568/getInfo.php?workbook=07_01.xlsx&amp;sheet=A0&amp;row=184&amp;col=9&amp;number=&amp;sourceID=11","")</f>
        <v/>
      </c>
      <c r="J184" s="4" t="str">
        <f>HYPERLINK("http://141.218.60.56/~jnz1568/getInfo.php?workbook=07_01.xlsx&amp;sheet=A0&amp;row=184&amp;col=10&amp;number=1.5968e-06&amp;sourceID=11","1.5968e-06")</f>
        <v>1.5968e-06</v>
      </c>
      <c r="K184" s="4" t="str">
        <f>HYPERLINK("http://141.218.60.56/~jnz1568/getInfo.php?workbook=07_01.xlsx&amp;sheet=A0&amp;row=184&amp;col=11&amp;number=&amp;sourceID=11","")</f>
        <v/>
      </c>
      <c r="L184" s="4" t="str">
        <f>HYPERLINK("http://141.218.60.56/~jnz1568/getInfo.php?workbook=07_01.xlsx&amp;sheet=A0&amp;row=184&amp;col=12&amp;number=&amp;sourceID=11","")</f>
        <v/>
      </c>
      <c r="M184" s="4" t="str">
        <f>HYPERLINK("http://141.218.60.56/~jnz1568/getInfo.php?workbook=07_01.xlsx&amp;sheet=A0&amp;row=184&amp;col=13&amp;number=1.597e-06&amp;sourceID=12","1.597e-06")</f>
        <v>1.597e-06</v>
      </c>
      <c r="N184" s="4" t="str">
        <f>HYPERLINK("http://141.218.60.56/~jnz1568/getInfo.php?workbook=07_01.xlsx&amp;sheet=A0&amp;row=184&amp;col=14&amp;number=&amp;sourceID=12","")</f>
        <v/>
      </c>
      <c r="O184" s="4" t="str">
        <f>HYPERLINK("http://141.218.60.56/~jnz1568/getInfo.php?workbook=07_01.xlsx&amp;sheet=A0&amp;row=184&amp;col=15&amp;number=1.1765e-11&amp;sourceID=12","1.1765e-11")</f>
        <v>1.1765e-11</v>
      </c>
      <c r="P184" s="4" t="str">
        <f>HYPERLINK("http://141.218.60.56/~jnz1568/getInfo.php?workbook=07_01.xlsx&amp;sheet=A0&amp;row=184&amp;col=16&amp;number=&amp;sourceID=12","")</f>
        <v/>
      </c>
      <c r="Q184" s="4" t="str">
        <f>HYPERLINK("http://141.218.60.56/~jnz1568/getInfo.php?workbook=07_01.xlsx&amp;sheet=A0&amp;row=184&amp;col=17&amp;number=1.597e-06&amp;sourceID=12","1.597e-06")</f>
        <v>1.597e-06</v>
      </c>
      <c r="R184" s="4" t="str">
        <f>HYPERLINK("http://141.218.60.56/~jnz1568/getInfo.php?workbook=07_01.xlsx&amp;sheet=A0&amp;row=184&amp;col=18&amp;number=&amp;sourceID=12","")</f>
        <v/>
      </c>
      <c r="S184" s="4" t="str">
        <f>HYPERLINK("http://141.218.60.56/~jnz1568/getInfo.php?workbook=07_01.xlsx&amp;sheet=A0&amp;row=184&amp;col=19&amp;number=&amp;sourceID=12","")</f>
        <v/>
      </c>
      <c r="T184" s="4" t="str">
        <f>HYPERLINK("http://141.218.60.56/~jnz1568/getInfo.php?workbook=07_01.xlsx&amp;sheet=A0&amp;row=184&amp;col=20&amp;number==&amp;sourceID=30","=")</f>
        <v>=</v>
      </c>
      <c r="U184" s="4" t="str">
        <f>HYPERLINK("http://141.218.60.56/~jnz1568/getInfo.php?workbook=07_01.xlsx&amp;sheet=A0&amp;row=184&amp;col=21&amp;number=&amp;sourceID=30","")</f>
        <v/>
      </c>
      <c r="V184" s="4" t="str">
        <f>HYPERLINK("http://141.218.60.56/~jnz1568/getInfo.php?workbook=07_01.xlsx&amp;sheet=A0&amp;row=184&amp;col=22&amp;number=1.177e-11&amp;sourceID=30","1.177e-11")</f>
        <v>1.177e-11</v>
      </c>
      <c r="W184" s="4" t="str">
        <f>HYPERLINK("http://141.218.60.56/~jnz1568/getInfo.php?workbook=07_01.xlsx&amp;sheet=A0&amp;row=184&amp;col=23&amp;number=1.597e-06&amp;sourceID=30","1.597e-06")</f>
        <v>1.597e-06</v>
      </c>
      <c r="X184" s="4" t="str">
        <f>HYPERLINK("http://141.218.60.56/~jnz1568/getInfo.php?workbook=07_01.xlsx&amp;sheet=A0&amp;row=184&amp;col=24&amp;number=&amp;sourceID=30","")</f>
        <v/>
      </c>
      <c r="Y184" s="4" t="str">
        <f>HYPERLINK("http://141.218.60.56/~jnz1568/getInfo.php?workbook=07_01.xlsx&amp;sheet=A0&amp;row=184&amp;col=25&amp;number=&amp;sourceID=13","")</f>
        <v/>
      </c>
      <c r="Z184" s="4" t="str">
        <f>HYPERLINK("http://141.218.60.56/~jnz1568/getInfo.php?workbook=07_01.xlsx&amp;sheet=A0&amp;row=184&amp;col=26&amp;number=&amp;sourceID=13","")</f>
        <v/>
      </c>
      <c r="AA184" s="4" t="str">
        <f>HYPERLINK("http://141.218.60.56/~jnz1568/getInfo.php?workbook=07_01.xlsx&amp;sheet=A0&amp;row=184&amp;col=27&amp;number=&amp;sourceID=13","")</f>
        <v/>
      </c>
      <c r="AB184" s="4" t="str">
        <f>HYPERLINK("http://141.218.60.56/~jnz1568/getInfo.php?workbook=07_01.xlsx&amp;sheet=A0&amp;row=184&amp;col=28&amp;number=&amp;sourceID=13","")</f>
        <v/>
      </c>
      <c r="AC184" s="4" t="str">
        <f>HYPERLINK("http://141.218.60.56/~jnz1568/getInfo.php?workbook=07_01.xlsx&amp;sheet=A0&amp;row=184&amp;col=29&amp;number=&amp;sourceID=13","")</f>
        <v/>
      </c>
      <c r="AD184" s="4" t="str">
        <f>HYPERLINK("http://141.218.60.56/~jnz1568/getInfo.php?workbook=07_01.xlsx&amp;sheet=A0&amp;row=184&amp;col=30&amp;number=&amp;sourceID=13","")</f>
        <v/>
      </c>
    </row>
    <row r="185" spans="1:30">
      <c r="A185" s="3">
        <v>7</v>
      </c>
      <c r="B185" s="3">
        <v>1</v>
      </c>
      <c r="C185" s="3">
        <v>20</v>
      </c>
      <c r="D185" s="3">
        <v>18</v>
      </c>
      <c r="E185" s="3">
        <f>((1/(INDEX(E0!J$4:J$28,C185,1)-INDEX(E0!J$4:J$28,D185,1))))*100000000</f>
        <v>0</v>
      </c>
      <c r="F185" s="4" t="str">
        <f>HYPERLINK("http://141.218.60.56/~jnz1568/getInfo.php?workbook=07_01.xlsx&amp;sheet=A0&amp;row=185&amp;col=6&amp;number==&amp;sourceID=11","=")</f>
        <v>=</v>
      </c>
      <c r="G185" s="4" t="str">
        <f>HYPERLINK("http://141.218.60.56/~jnz1568/getInfo.php?workbook=07_01.xlsx&amp;sheet=A0&amp;row=185&amp;col=7&amp;number=3.3031&amp;sourceID=11","3.3031")</f>
        <v>3.3031</v>
      </c>
      <c r="H185" s="4" t="str">
        <f>HYPERLINK("http://141.218.60.56/~jnz1568/getInfo.php?workbook=07_01.xlsx&amp;sheet=A0&amp;row=185&amp;col=8&amp;number=&amp;sourceID=11","")</f>
        <v/>
      </c>
      <c r="I185" s="4" t="str">
        <f>HYPERLINK("http://141.218.60.56/~jnz1568/getInfo.php?workbook=07_01.xlsx&amp;sheet=A0&amp;row=185&amp;col=9&amp;number=&amp;sourceID=11","")</f>
        <v/>
      </c>
      <c r="J185" s="4" t="str">
        <f>HYPERLINK("http://141.218.60.56/~jnz1568/getInfo.php?workbook=07_01.xlsx&amp;sheet=A0&amp;row=185&amp;col=10&amp;number=&amp;sourceID=11","")</f>
        <v/>
      </c>
      <c r="K185" s="4" t="str">
        <f>HYPERLINK("http://141.218.60.56/~jnz1568/getInfo.php?workbook=07_01.xlsx&amp;sheet=A0&amp;row=185&amp;col=11&amp;number=0&amp;sourceID=11","0")</f>
        <v>0</v>
      </c>
      <c r="L185" s="4" t="str">
        <f>HYPERLINK("http://141.218.60.56/~jnz1568/getInfo.php?workbook=07_01.xlsx&amp;sheet=A0&amp;row=185&amp;col=12&amp;number=&amp;sourceID=11","")</f>
        <v/>
      </c>
      <c r="M185" s="4" t="str">
        <f>HYPERLINK("http://141.218.60.56/~jnz1568/getInfo.php?workbook=07_01.xlsx&amp;sheet=A0&amp;row=185&amp;col=13&amp;number=3.3035&amp;sourceID=12","3.3035")</f>
        <v>3.3035</v>
      </c>
      <c r="N185" s="4" t="str">
        <f>HYPERLINK("http://141.218.60.56/~jnz1568/getInfo.php?workbook=07_01.xlsx&amp;sheet=A0&amp;row=185&amp;col=14&amp;number=3.3035&amp;sourceID=12","3.3035")</f>
        <v>3.3035</v>
      </c>
      <c r="O185" s="4" t="str">
        <f>HYPERLINK("http://141.218.60.56/~jnz1568/getInfo.php?workbook=07_01.xlsx&amp;sheet=A0&amp;row=185&amp;col=15&amp;number=&amp;sourceID=12","")</f>
        <v/>
      </c>
      <c r="P185" s="4" t="str">
        <f>HYPERLINK("http://141.218.60.56/~jnz1568/getInfo.php?workbook=07_01.xlsx&amp;sheet=A0&amp;row=185&amp;col=16&amp;number=&amp;sourceID=12","")</f>
        <v/>
      </c>
      <c r="Q185" s="4" t="str">
        <f>HYPERLINK("http://141.218.60.56/~jnz1568/getInfo.php?workbook=07_01.xlsx&amp;sheet=A0&amp;row=185&amp;col=17&amp;number=&amp;sourceID=12","")</f>
        <v/>
      </c>
      <c r="R185" s="4" t="str">
        <f>HYPERLINK("http://141.218.60.56/~jnz1568/getInfo.php?workbook=07_01.xlsx&amp;sheet=A0&amp;row=185&amp;col=18&amp;number=0&amp;sourceID=12","0")</f>
        <v>0</v>
      </c>
      <c r="S185" s="4" t="str">
        <f>HYPERLINK("http://141.218.60.56/~jnz1568/getInfo.php?workbook=07_01.xlsx&amp;sheet=A0&amp;row=185&amp;col=19&amp;number=&amp;sourceID=12","")</f>
        <v/>
      </c>
      <c r="T185" s="4" t="str">
        <f>HYPERLINK("http://141.218.60.56/~jnz1568/getInfo.php?workbook=07_01.xlsx&amp;sheet=A0&amp;row=185&amp;col=20&amp;number==&amp;sourceID=30","=")</f>
        <v>=</v>
      </c>
      <c r="U185" s="4" t="str">
        <f>HYPERLINK("http://141.218.60.56/~jnz1568/getInfo.php?workbook=07_01.xlsx&amp;sheet=A0&amp;row=185&amp;col=21&amp;number=3.304&amp;sourceID=30","3.304")</f>
        <v>3.304</v>
      </c>
      <c r="V185" s="4" t="str">
        <f>HYPERLINK("http://141.218.60.56/~jnz1568/getInfo.php?workbook=07_01.xlsx&amp;sheet=A0&amp;row=185&amp;col=22&amp;number=&amp;sourceID=30","")</f>
        <v/>
      </c>
      <c r="W185" s="4" t="str">
        <f>HYPERLINK("http://141.218.60.56/~jnz1568/getInfo.php?workbook=07_01.xlsx&amp;sheet=A0&amp;row=185&amp;col=23&amp;number=&amp;sourceID=30","")</f>
        <v/>
      </c>
      <c r="X185" s="4" t="str">
        <f>HYPERLINK("http://141.218.60.56/~jnz1568/getInfo.php?workbook=07_01.xlsx&amp;sheet=A0&amp;row=185&amp;col=24&amp;number=0&amp;sourceID=30","0")</f>
        <v>0</v>
      </c>
      <c r="Y185" s="4" t="str">
        <f>HYPERLINK("http://141.218.60.56/~jnz1568/getInfo.php?workbook=07_01.xlsx&amp;sheet=A0&amp;row=185&amp;col=25&amp;number=&amp;sourceID=13","")</f>
        <v/>
      </c>
      <c r="Z185" s="4" t="str">
        <f>HYPERLINK("http://141.218.60.56/~jnz1568/getInfo.php?workbook=07_01.xlsx&amp;sheet=A0&amp;row=185&amp;col=26&amp;number=&amp;sourceID=13","")</f>
        <v/>
      </c>
      <c r="AA185" s="4" t="str">
        <f>HYPERLINK("http://141.218.60.56/~jnz1568/getInfo.php?workbook=07_01.xlsx&amp;sheet=A0&amp;row=185&amp;col=27&amp;number=&amp;sourceID=13","")</f>
        <v/>
      </c>
      <c r="AB185" s="4" t="str">
        <f>HYPERLINK("http://141.218.60.56/~jnz1568/getInfo.php?workbook=07_01.xlsx&amp;sheet=A0&amp;row=185&amp;col=28&amp;number=&amp;sourceID=13","")</f>
        <v/>
      </c>
      <c r="AC185" s="4" t="str">
        <f>HYPERLINK("http://141.218.60.56/~jnz1568/getInfo.php?workbook=07_01.xlsx&amp;sheet=A0&amp;row=185&amp;col=29&amp;number=&amp;sourceID=13","")</f>
        <v/>
      </c>
      <c r="AD185" s="4" t="str">
        <f>HYPERLINK("http://141.218.60.56/~jnz1568/getInfo.php?workbook=07_01.xlsx&amp;sheet=A0&amp;row=185&amp;col=30&amp;number=&amp;sourceID=13","")</f>
        <v/>
      </c>
    </row>
    <row r="186" spans="1:30">
      <c r="A186" s="3">
        <v>7</v>
      </c>
      <c r="B186" s="3">
        <v>1</v>
      </c>
      <c r="C186" s="3">
        <v>21</v>
      </c>
      <c r="D186" s="3">
        <v>1</v>
      </c>
      <c r="E186" s="3">
        <f>((1/(INDEX(E0!J$4:J$28,C186,1)-INDEX(E0!J$4:J$28,D186,1))))*100000000</f>
        <v>0</v>
      </c>
      <c r="F186" s="4" t="str">
        <f>HYPERLINK("http://141.218.60.56/~jnz1568/getInfo.php?workbook=07_01.xlsx&amp;sheet=A0&amp;row=186&amp;col=6&amp;number==&amp;sourceID=11","=")</f>
        <v>=</v>
      </c>
      <c r="G186" s="4" t="str">
        <f>HYPERLINK("http://141.218.60.56/~jnz1568/getInfo.php?workbook=07_01.xlsx&amp;sheet=A0&amp;row=186&amp;col=7&amp;number=&amp;sourceID=11","")</f>
        <v/>
      </c>
      <c r="H186" s="4" t="str">
        <f>HYPERLINK("http://141.218.60.56/~jnz1568/getInfo.php?workbook=07_01.xlsx&amp;sheet=A0&amp;row=186&amp;col=8&amp;number=&amp;sourceID=11","")</f>
        <v/>
      </c>
      <c r="I186" s="4" t="str">
        <f>HYPERLINK("http://141.218.60.56/~jnz1568/getInfo.php?workbook=07_01.xlsx&amp;sheet=A0&amp;row=186&amp;col=9&amp;number=1477.7&amp;sourceID=11","1477.7")</f>
        <v>1477.7</v>
      </c>
      <c r="J186" s="4" t="str">
        <f>HYPERLINK("http://141.218.60.56/~jnz1568/getInfo.php?workbook=07_01.xlsx&amp;sheet=A0&amp;row=186&amp;col=10&amp;number=&amp;sourceID=11","")</f>
        <v/>
      </c>
      <c r="K186" s="4" t="str">
        <f>HYPERLINK("http://141.218.60.56/~jnz1568/getInfo.php?workbook=07_01.xlsx&amp;sheet=A0&amp;row=186&amp;col=11&amp;number=1.9677e-05&amp;sourceID=11","1.9677e-05")</f>
        <v>1.9677e-05</v>
      </c>
      <c r="L186" s="4" t="str">
        <f>HYPERLINK("http://141.218.60.56/~jnz1568/getInfo.php?workbook=07_01.xlsx&amp;sheet=A0&amp;row=186&amp;col=12&amp;number=&amp;sourceID=11","")</f>
        <v/>
      </c>
      <c r="M186" s="4" t="str">
        <f>HYPERLINK("http://141.218.60.56/~jnz1568/getInfo.php?workbook=07_01.xlsx&amp;sheet=A0&amp;row=186&amp;col=13&amp;number=1477.8&amp;sourceID=12","1477.8")</f>
        <v>1477.8</v>
      </c>
      <c r="N186" s="4" t="str">
        <f>HYPERLINK("http://141.218.60.56/~jnz1568/getInfo.php?workbook=07_01.xlsx&amp;sheet=A0&amp;row=186&amp;col=14&amp;number=&amp;sourceID=12","")</f>
        <v/>
      </c>
      <c r="O186" s="4" t="str">
        <f>HYPERLINK("http://141.218.60.56/~jnz1568/getInfo.php?workbook=07_01.xlsx&amp;sheet=A0&amp;row=186&amp;col=15&amp;number=&amp;sourceID=12","")</f>
        <v/>
      </c>
      <c r="P186" s="4" t="str">
        <f>HYPERLINK("http://141.218.60.56/~jnz1568/getInfo.php?workbook=07_01.xlsx&amp;sheet=A0&amp;row=186&amp;col=16&amp;number=1477.8&amp;sourceID=12","1477.8")</f>
        <v>1477.8</v>
      </c>
      <c r="Q186" s="4" t="str">
        <f>HYPERLINK("http://141.218.60.56/~jnz1568/getInfo.php?workbook=07_01.xlsx&amp;sheet=A0&amp;row=186&amp;col=17&amp;number=&amp;sourceID=12","")</f>
        <v/>
      </c>
      <c r="R186" s="4" t="str">
        <f>HYPERLINK("http://141.218.60.56/~jnz1568/getInfo.php?workbook=07_01.xlsx&amp;sheet=A0&amp;row=186&amp;col=18&amp;number=1.9869e-05&amp;sourceID=12","1.9869e-05")</f>
        <v>1.9869e-05</v>
      </c>
      <c r="S186" s="4" t="str">
        <f>HYPERLINK("http://141.218.60.56/~jnz1568/getInfo.php?workbook=07_01.xlsx&amp;sheet=A0&amp;row=186&amp;col=19&amp;number=&amp;sourceID=12","")</f>
        <v/>
      </c>
      <c r="T186" s="4" t="str">
        <f>HYPERLINK("http://141.218.60.56/~jnz1568/getInfo.php?workbook=07_01.xlsx&amp;sheet=A0&amp;row=186&amp;col=20&amp;number==&amp;sourceID=30","=")</f>
        <v>=</v>
      </c>
      <c r="U186" s="4" t="str">
        <f>HYPERLINK("http://141.218.60.56/~jnz1568/getInfo.php?workbook=07_01.xlsx&amp;sheet=A0&amp;row=186&amp;col=21&amp;number=&amp;sourceID=30","")</f>
        <v/>
      </c>
      <c r="V186" s="4" t="str">
        <f>HYPERLINK("http://141.218.60.56/~jnz1568/getInfo.php?workbook=07_01.xlsx&amp;sheet=A0&amp;row=186&amp;col=22&amp;number=&amp;sourceID=30","")</f>
        <v/>
      </c>
      <c r="W186" s="4" t="str">
        <f>HYPERLINK("http://141.218.60.56/~jnz1568/getInfo.php?workbook=07_01.xlsx&amp;sheet=A0&amp;row=186&amp;col=23&amp;number=&amp;sourceID=30","")</f>
        <v/>
      </c>
      <c r="X186" s="4" t="str">
        <f>HYPERLINK("http://141.218.60.56/~jnz1568/getInfo.php?workbook=07_01.xlsx&amp;sheet=A0&amp;row=186&amp;col=24&amp;number=1.968e-05&amp;sourceID=30","1.968e-05")</f>
        <v>1.968e-05</v>
      </c>
      <c r="Y186" s="4" t="str">
        <f>HYPERLINK("http://141.218.60.56/~jnz1568/getInfo.php?workbook=07_01.xlsx&amp;sheet=A0&amp;row=186&amp;col=25&amp;number=&amp;sourceID=13","")</f>
        <v/>
      </c>
      <c r="Z186" s="4" t="str">
        <f>HYPERLINK("http://141.218.60.56/~jnz1568/getInfo.php?workbook=07_01.xlsx&amp;sheet=A0&amp;row=186&amp;col=26&amp;number=&amp;sourceID=13","")</f>
        <v/>
      </c>
      <c r="AA186" s="4" t="str">
        <f>HYPERLINK("http://141.218.60.56/~jnz1568/getInfo.php?workbook=07_01.xlsx&amp;sheet=A0&amp;row=186&amp;col=27&amp;number=&amp;sourceID=13","")</f>
        <v/>
      </c>
      <c r="AB186" s="4" t="str">
        <f>HYPERLINK("http://141.218.60.56/~jnz1568/getInfo.php?workbook=07_01.xlsx&amp;sheet=A0&amp;row=186&amp;col=28&amp;number=&amp;sourceID=13","")</f>
        <v/>
      </c>
      <c r="AC186" s="4" t="str">
        <f>HYPERLINK("http://141.218.60.56/~jnz1568/getInfo.php?workbook=07_01.xlsx&amp;sheet=A0&amp;row=186&amp;col=29&amp;number=&amp;sourceID=13","")</f>
        <v/>
      </c>
      <c r="AD186" s="4" t="str">
        <f>HYPERLINK("http://141.218.60.56/~jnz1568/getInfo.php?workbook=07_01.xlsx&amp;sheet=A0&amp;row=186&amp;col=30&amp;number=&amp;sourceID=13","")</f>
        <v/>
      </c>
    </row>
    <row r="187" spans="1:30">
      <c r="A187" s="3">
        <v>7</v>
      </c>
      <c r="B187" s="3">
        <v>1</v>
      </c>
      <c r="C187" s="3">
        <v>21</v>
      </c>
      <c r="D187" s="3">
        <v>2</v>
      </c>
      <c r="E187" s="3">
        <f>((1/(INDEX(E0!J$4:J$28,C187,1)-INDEX(E0!J$4:J$28,D187,1))))*100000000</f>
        <v>0</v>
      </c>
      <c r="F187" s="4" t="str">
        <f>HYPERLINK("http://141.218.60.56/~jnz1568/getInfo.php?workbook=07_01.xlsx&amp;sheet=A0&amp;row=187&amp;col=6&amp;number==&amp;sourceID=11","=")</f>
        <v>=</v>
      </c>
      <c r="G187" s="4" t="str">
        <f>HYPERLINK("http://141.218.60.56/~jnz1568/getInfo.php?workbook=07_01.xlsx&amp;sheet=A0&amp;row=187&amp;col=7&amp;number=&amp;sourceID=11","")</f>
        <v/>
      </c>
      <c r="H187" s="4" t="str">
        <f>HYPERLINK("http://141.218.60.56/~jnz1568/getInfo.php?workbook=07_01.xlsx&amp;sheet=A0&amp;row=187&amp;col=8&amp;number=3781800&amp;sourceID=11","3781800")</f>
        <v>3781800</v>
      </c>
      <c r="I187" s="4" t="str">
        <f>HYPERLINK("http://141.218.60.56/~jnz1568/getInfo.php?workbook=07_01.xlsx&amp;sheet=A0&amp;row=187&amp;col=9&amp;number=&amp;sourceID=11","")</f>
        <v/>
      </c>
      <c r="J187" s="4" t="str">
        <f>HYPERLINK("http://141.218.60.56/~jnz1568/getInfo.php?workbook=07_01.xlsx&amp;sheet=A0&amp;row=187&amp;col=10&amp;number=&amp;sourceID=11","")</f>
        <v/>
      </c>
      <c r="K187" s="4" t="str">
        <f>HYPERLINK("http://141.218.60.56/~jnz1568/getInfo.php?workbook=07_01.xlsx&amp;sheet=A0&amp;row=187&amp;col=11&amp;number=&amp;sourceID=11","")</f>
        <v/>
      </c>
      <c r="L187" s="4" t="str">
        <f>HYPERLINK("http://141.218.60.56/~jnz1568/getInfo.php?workbook=07_01.xlsx&amp;sheet=A0&amp;row=187&amp;col=12&amp;number=0.0012894&amp;sourceID=11","0.0012894")</f>
        <v>0.0012894</v>
      </c>
      <c r="M187" s="4" t="str">
        <f>HYPERLINK("http://141.218.60.56/~jnz1568/getInfo.php?workbook=07_01.xlsx&amp;sheet=A0&amp;row=187&amp;col=13&amp;number=3782000&amp;sourceID=12","3782000")</f>
        <v>3782000</v>
      </c>
      <c r="N187" s="4" t="str">
        <f>HYPERLINK("http://141.218.60.56/~jnz1568/getInfo.php?workbook=07_01.xlsx&amp;sheet=A0&amp;row=187&amp;col=14&amp;number=&amp;sourceID=12","")</f>
        <v/>
      </c>
      <c r="O187" s="4" t="str">
        <f>HYPERLINK("http://141.218.60.56/~jnz1568/getInfo.php?workbook=07_01.xlsx&amp;sheet=A0&amp;row=187&amp;col=15&amp;number=3782000&amp;sourceID=12","3782000")</f>
        <v>3782000</v>
      </c>
      <c r="P187" s="4" t="str">
        <f>HYPERLINK("http://141.218.60.56/~jnz1568/getInfo.php?workbook=07_01.xlsx&amp;sheet=A0&amp;row=187&amp;col=16&amp;number=&amp;sourceID=12","")</f>
        <v/>
      </c>
      <c r="Q187" s="4" t="str">
        <f>HYPERLINK("http://141.218.60.56/~jnz1568/getInfo.php?workbook=07_01.xlsx&amp;sheet=A0&amp;row=187&amp;col=17&amp;number=&amp;sourceID=12","")</f>
        <v/>
      </c>
      <c r="R187" s="4" t="str">
        <f>HYPERLINK("http://141.218.60.56/~jnz1568/getInfo.php?workbook=07_01.xlsx&amp;sheet=A0&amp;row=187&amp;col=18&amp;number=&amp;sourceID=12","")</f>
        <v/>
      </c>
      <c r="S187" s="4" t="str">
        <f>HYPERLINK("http://141.218.60.56/~jnz1568/getInfo.php?workbook=07_01.xlsx&amp;sheet=A0&amp;row=187&amp;col=19&amp;number=0.0012894&amp;sourceID=12","0.0012894")</f>
        <v>0.0012894</v>
      </c>
      <c r="T187" s="4" t="str">
        <f>HYPERLINK("http://141.218.60.56/~jnz1568/getInfo.php?workbook=07_01.xlsx&amp;sheet=A0&amp;row=187&amp;col=20&amp;number==&amp;sourceID=30","=")</f>
        <v>=</v>
      </c>
      <c r="U187" s="4" t="str">
        <f>HYPERLINK("http://141.218.60.56/~jnz1568/getInfo.php?workbook=07_01.xlsx&amp;sheet=A0&amp;row=187&amp;col=21&amp;number=&amp;sourceID=30","")</f>
        <v/>
      </c>
      <c r="V187" s="4" t="str">
        <f>HYPERLINK("http://141.218.60.56/~jnz1568/getInfo.php?workbook=07_01.xlsx&amp;sheet=A0&amp;row=187&amp;col=22&amp;number=3782000&amp;sourceID=30","3782000")</f>
        <v>3782000</v>
      </c>
      <c r="W187" s="4" t="str">
        <f>HYPERLINK("http://141.218.60.56/~jnz1568/getInfo.php?workbook=07_01.xlsx&amp;sheet=A0&amp;row=187&amp;col=23&amp;number=&amp;sourceID=30","")</f>
        <v/>
      </c>
      <c r="X187" s="4" t="str">
        <f>HYPERLINK("http://141.218.60.56/~jnz1568/getInfo.php?workbook=07_01.xlsx&amp;sheet=A0&amp;row=187&amp;col=24&amp;number=&amp;sourceID=30","")</f>
        <v/>
      </c>
      <c r="Y187" s="4" t="str">
        <f>HYPERLINK("http://141.218.60.56/~jnz1568/getInfo.php?workbook=07_01.xlsx&amp;sheet=A0&amp;row=187&amp;col=25&amp;number=&amp;sourceID=13","")</f>
        <v/>
      </c>
      <c r="Z187" s="4" t="str">
        <f>HYPERLINK("http://141.218.60.56/~jnz1568/getInfo.php?workbook=07_01.xlsx&amp;sheet=A0&amp;row=187&amp;col=26&amp;number=&amp;sourceID=13","")</f>
        <v/>
      </c>
      <c r="AA187" s="4" t="str">
        <f>HYPERLINK("http://141.218.60.56/~jnz1568/getInfo.php?workbook=07_01.xlsx&amp;sheet=A0&amp;row=187&amp;col=27&amp;number=&amp;sourceID=13","")</f>
        <v/>
      </c>
      <c r="AB187" s="4" t="str">
        <f>HYPERLINK("http://141.218.60.56/~jnz1568/getInfo.php?workbook=07_01.xlsx&amp;sheet=A0&amp;row=187&amp;col=28&amp;number=&amp;sourceID=13","")</f>
        <v/>
      </c>
      <c r="AC187" s="4" t="str">
        <f>HYPERLINK("http://141.218.60.56/~jnz1568/getInfo.php?workbook=07_01.xlsx&amp;sheet=A0&amp;row=187&amp;col=29&amp;number=&amp;sourceID=13","")</f>
        <v/>
      </c>
      <c r="AD187" s="4" t="str">
        <f>HYPERLINK("http://141.218.60.56/~jnz1568/getInfo.php?workbook=07_01.xlsx&amp;sheet=A0&amp;row=187&amp;col=30&amp;number=&amp;sourceID=13","")</f>
        <v/>
      </c>
    </row>
    <row r="188" spans="1:30">
      <c r="A188" s="3">
        <v>7</v>
      </c>
      <c r="B188" s="3">
        <v>1</v>
      </c>
      <c r="C188" s="3">
        <v>21</v>
      </c>
      <c r="D188" s="3">
        <v>3</v>
      </c>
      <c r="E188" s="3">
        <f>((1/(INDEX(E0!J$4:J$28,C188,1)-INDEX(E0!J$4:J$28,D188,1))))*100000000</f>
        <v>0</v>
      </c>
      <c r="F188" s="4" t="str">
        <f>HYPERLINK("http://141.218.60.56/~jnz1568/getInfo.php?workbook=07_01.xlsx&amp;sheet=A0&amp;row=188&amp;col=6&amp;number==&amp;sourceID=11","=")</f>
        <v>=</v>
      </c>
      <c r="G188" s="4" t="str">
        <f>HYPERLINK("http://141.218.60.56/~jnz1568/getInfo.php?workbook=07_01.xlsx&amp;sheet=A0&amp;row=188&amp;col=7&amp;number=&amp;sourceID=11","")</f>
        <v/>
      </c>
      <c r="H188" s="4" t="str">
        <f>HYPERLINK("http://141.218.60.56/~jnz1568/getInfo.php?workbook=07_01.xlsx&amp;sheet=A0&amp;row=188&amp;col=8&amp;number=&amp;sourceID=11","")</f>
        <v/>
      </c>
      <c r="I188" s="4" t="str">
        <f>HYPERLINK("http://141.218.60.56/~jnz1568/getInfo.php?workbook=07_01.xlsx&amp;sheet=A0&amp;row=188&amp;col=9&amp;number=407.26&amp;sourceID=11","407.26")</f>
        <v>407.26</v>
      </c>
      <c r="J188" s="4" t="str">
        <f>HYPERLINK("http://141.218.60.56/~jnz1568/getInfo.php?workbook=07_01.xlsx&amp;sheet=A0&amp;row=188&amp;col=10&amp;number=&amp;sourceID=11","")</f>
        <v/>
      </c>
      <c r="K188" s="4" t="str">
        <f>HYPERLINK("http://141.218.60.56/~jnz1568/getInfo.php?workbook=07_01.xlsx&amp;sheet=A0&amp;row=188&amp;col=11&amp;number=9.9797e-07&amp;sourceID=11","9.9797e-07")</f>
        <v>9.9797e-07</v>
      </c>
      <c r="L188" s="4" t="str">
        <f>HYPERLINK("http://141.218.60.56/~jnz1568/getInfo.php?workbook=07_01.xlsx&amp;sheet=A0&amp;row=188&amp;col=12&amp;number=&amp;sourceID=11","")</f>
        <v/>
      </c>
      <c r="M188" s="4" t="str">
        <f>HYPERLINK("http://141.218.60.56/~jnz1568/getInfo.php?workbook=07_01.xlsx&amp;sheet=A0&amp;row=188&amp;col=13&amp;number=407.27&amp;sourceID=12","407.27")</f>
        <v>407.27</v>
      </c>
      <c r="N188" s="4" t="str">
        <f>HYPERLINK("http://141.218.60.56/~jnz1568/getInfo.php?workbook=07_01.xlsx&amp;sheet=A0&amp;row=188&amp;col=14&amp;number=&amp;sourceID=12","")</f>
        <v/>
      </c>
      <c r="O188" s="4" t="str">
        <f>HYPERLINK("http://141.218.60.56/~jnz1568/getInfo.php?workbook=07_01.xlsx&amp;sheet=A0&amp;row=188&amp;col=15&amp;number=&amp;sourceID=12","")</f>
        <v/>
      </c>
      <c r="P188" s="4" t="str">
        <f>HYPERLINK("http://141.218.60.56/~jnz1568/getInfo.php?workbook=07_01.xlsx&amp;sheet=A0&amp;row=188&amp;col=16&amp;number=407.27&amp;sourceID=12","407.27")</f>
        <v>407.27</v>
      </c>
      <c r="Q188" s="4" t="str">
        <f>HYPERLINK("http://141.218.60.56/~jnz1568/getInfo.php?workbook=07_01.xlsx&amp;sheet=A0&amp;row=188&amp;col=17&amp;number=&amp;sourceID=12","")</f>
        <v/>
      </c>
      <c r="R188" s="4" t="str">
        <f>HYPERLINK("http://141.218.60.56/~jnz1568/getInfo.php?workbook=07_01.xlsx&amp;sheet=A0&amp;row=188&amp;col=18&amp;number=1.0005e-06&amp;sourceID=12","1.0005e-06")</f>
        <v>1.0005e-06</v>
      </c>
      <c r="S188" s="4" t="str">
        <f>HYPERLINK("http://141.218.60.56/~jnz1568/getInfo.php?workbook=07_01.xlsx&amp;sheet=A0&amp;row=188&amp;col=19&amp;number=&amp;sourceID=12","")</f>
        <v/>
      </c>
      <c r="T188" s="4" t="str">
        <f>HYPERLINK("http://141.218.60.56/~jnz1568/getInfo.php?workbook=07_01.xlsx&amp;sheet=A0&amp;row=188&amp;col=20&amp;number==&amp;sourceID=30","=")</f>
        <v>=</v>
      </c>
      <c r="U188" s="4" t="str">
        <f>HYPERLINK("http://141.218.60.56/~jnz1568/getInfo.php?workbook=07_01.xlsx&amp;sheet=A0&amp;row=188&amp;col=21&amp;number=&amp;sourceID=30","")</f>
        <v/>
      </c>
      <c r="V188" s="4" t="str">
        <f>HYPERLINK("http://141.218.60.56/~jnz1568/getInfo.php?workbook=07_01.xlsx&amp;sheet=A0&amp;row=188&amp;col=22&amp;number=&amp;sourceID=30","")</f>
        <v/>
      </c>
      <c r="W188" s="4" t="str">
        <f>HYPERLINK("http://141.218.60.56/~jnz1568/getInfo.php?workbook=07_01.xlsx&amp;sheet=A0&amp;row=188&amp;col=23&amp;number=&amp;sourceID=30","")</f>
        <v/>
      </c>
      <c r="X188" s="4" t="str">
        <f>HYPERLINK("http://141.218.60.56/~jnz1568/getInfo.php?workbook=07_01.xlsx&amp;sheet=A0&amp;row=188&amp;col=24&amp;number=9.968e-07&amp;sourceID=30","9.968e-07")</f>
        <v>9.968e-07</v>
      </c>
      <c r="Y188" s="4" t="str">
        <f>HYPERLINK("http://141.218.60.56/~jnz1568/getInfo.php?workbook=07_01.xlsx&amp;sheet=A0&amp;row=188&amp;col=25&amp;number=&amp;sourceID=13","")</f>
        <v/>
      </c>
      <c r="Z188" s="4" t="str">
        <f>HYPERLINK("http://141.218.60.56/~jnz1568/getInfo.php?workbook=07_01.xlsx&amp;sheet=A0&amp;row=188&amp;col=26&amp;number=&amp;sourceID=13","")</f>
        <v/>
      </c>
      <c r="AA188" s="4" t="str">
        <f>HYPERLINK("http://141.218.60.56/~jnz1568/getInfo.php?workbook=07_01.xlsx&amp;sheet=A0&amp;row=188&amp;col=27&amp;number=&amp;sourceID=13","")</f>
        <v/>
      </c>
      <c r="AB188" s="4" t="str">
        <f>HYPERLINK("http://141.218.60.56/~jnz1568/getInfo.php?workbook=07_01.xlsx&amp;sheet=A0&amp;row=188&amp;col=28&amp;number=&amp;sourceID=13","")</f>
        <v/>
      </c>
      <c r="AC188" s="4" t="str">
        <f>HYPERLINK("http://141.218.60.56/~jnz1568/getInfo.php?workbook=07_01.xlsx&amp;sheet=A0&amp;row=188&amp;col=29&amp;number=&amp;sourceID=13","")</f>
        <v/>
      </c>
      <c r="AD188" s="4" t="str">
        <f>HYPERLINK("http://141.218.60.56/~jnz1568/getInfo.php?workbook=07_01.xlsx&amp;sheet=A0&amp;row=188&amp;col=30&amp;number=&amp;sourceID=13","")</f>
        <v/>
      </c>
    </row>
    <row r="189" spans="1:30">
      <c r="A189" s="3">
        <v>7</v>
      </c>
      <c r="B189" s="3">
        <v>1</v>
      </c>
      <c r="C189" s="3">
        <v>21</v>
      </c>
      <c r="D189" s="3">
        <v>4</v>
      </c>
      <c r="E189" s="3">
        <f>((1/(INDEX(E0!J$4:J$28,C189,1)-INDEX(E0!J$4:J$28,D189,1))))*100000000</f>
        <v>0</v>
      </c>
      <c r="F189" s="4" t="str">
        <f>HYPERLINK("http://141.218.60.56/~jnz1568/getInfo.php?workbook=07_01.xlsx&amp;sheet=A0&amp;row=189&amp;col=6&amp;number==&amp;sourceID=11","=")</f>
        <v>=</v>
      </c>
      <c r="G189" s="4" t="str">
        <f>HYPERLINK("http://141.218.60.56/~jnz1568/getInfo.php?workbook=07_01.xlsx&amp;sheet=A0&amp;row=189&amp;col=7&amp;number=&amp;sourceID=11","")</f>
        <v/>
      </c>
      <c r="H189" s="4" t="str">
        <f>HYPERLINK("http://141.218.60.56/~jnz1568/getInfo.php?workbook=07_01.xlsx&amp;sheet=A0&amp;row=189&amp;col=8&amp;number=1080000&amp;sourceID=11","1080000")</f>
        <v>1080000</v>
      </c>
      <c r="I189" s="4" t="str">
        <f>HYPERLINK("http://141.218.60.56/~jnz1568/getInfo.php?workbook=07_01.xlsx&amp;sheet=A0&amp;row=189&amp;col=9&amp;number=&amp;sourceID=11","")</f>
        <v/>
      </c>
      <c r="J189" s="4" t="str">
        <f>HYPERLINK("http://141.218.60.56/~jnz1568/getInfo.php?workbook=07_01.xlsx&amp;sheet=A0&amp;row=189&amp;col=10&amp;number=0.010925&amp;sourceID=11","0.010925")</f>
        <v>0.010925</v>
      </c>
      <c r="K189" s="4" t="str">
        <f>HYPERLINK("http://141.218.60.56/~jnz1568/getInfo.php?workbook=07_01.xlsx&amp;sheet=A0&amp;row=189&amp;col=11&amp;number=&amp;sourceID=11","")</f>
        <v/>
      </c>
      <c r="L189" s="4" t="str">
        <f>HYPERLINK("http://141.218.60.56/~jnz1568/getInfo.php?workbook=07_01.xlsx&amp;sheet=A0&amp;row=189&amp;col=12&amp;number=0.0002575&amp;sourceID=11","0.0002575")</f>
        <v>0.0002575</v>
      </c>
      <c r="M189" s="4" t="str">
        <f>HYPERLINK("http://141.218.60.56/~jnz1568/getInfo.php?workbook=07_01.xlsx&amp;sheet=A0&amp;row=189&amp;col=13&amp;number=1080000&amp;sourceID=12","1080000")</f>
        <v>1080000</v>
      </c>
      <c r="N189" s="4" t="str">
        <f>HYPERLINK("http://141.218.60.56/~jnz1568/getInfo.php?workbook=07_01.xlsx&amp;sheet=A0&amp;row=189&amp;col=14&amp;number=&amp;sourceID=12","")</f>
        <v/>
      </c>
      <c r="O189" s="4" t="str">
        <f>HYPERLINK("http://141.218.60.56/~jnz1568/getInfo.php?workbook=07_01.xlsx&amp;sheet=A0&amp;row=189&amp;col=15&amp;number=1080000&amp;sourceID=12","1080000")</f>
        <v>1080000</v>
      </c>
      <c r="P189" s="4" t="str">
        <f>HYPERLINK("http://141.218.60.56/~jnz1568/getInfo.php?workbook=07_01.xlsx&amp;sheet=A0&amp;row=189&amp;col=16&amp;number=&amp;sourceID=12","")</f>
        <v/>
      </c>
      <c r="Q189" s="4" t="str">
        <f>HYPERLINK("http://141.218.60.56/~jnz1568/getInfo.php?workbook=07_01.xlsx&amp;sheet=A0&amp;row=189&amp;col=17&amp;number=0.010928&amp;sourceID=12","0.010928")</f>
        <v>0.010928</v>
      </c>
      <c r="R189" s="4" t="str">
        <f>HYPERLINK("http://141.218.60.56/~jnz1568/getInfo.php?workbook=07_01.xlsx&amp;sheet=A0&amp;row=189&amp;col=18&amp;number=&amp;sourceID=12","")</f>
        <v/>
      </c>
      <c r="S189" s="4" t="str">
        <f>HYPERLINK("http://141.218.60.56/~jnz1568/getInfo.php?workbook=07_01.xlsx&amp;sheet=A0&amp;row=189&amp;col=19&amp;number=0.00025751&amp;sourceID=12","0.00025751")</f>
        <v>0.00025751</v>
      </c>
      <c r="T189" s="4" t="str">
        <f>HYPERLINK("http://141.218.60.56/~jnz1568/getInfo.php?workbook=07_01.xlsx&amp;sheet=A0&amp;row=189&amp;col=20&amp;number==&amp;sourceID=30","=")</f>
        <v>=</v>
      </c>
      <c r="U189" s="4" t="str">
        <f>HYPERLINK("http://141.218.60.56/~jnz1568/getInfo.php?workbook=07_01.xlsx&amp;sheet=A0&amp;row=189&amp;col=21&amp;number=&amp;sourceID=30","")</f>
        <v/>
      </c>
      <c r="V189" s="4" t="str">
        <f>HYPERLINK("http://141.218.60.56/~jnz1568/getInfo.php?workbook=07_01.xlsx&amp;sheet=A0&amp;row=189&amp;col=22&amp;number=1080000&amp;sourceID=30","1080000")</f>
        <v>1080000</v>
      </c>
      <c r="W189" s="4" t="str">
        <f>HYPERLINK("http://141.218.60.56/~jnz1568/getInfo.php?workbook=07_01.xlsx&amp;sheet=A0&amp;row=189&amp;col=23&amp;number=0.01092&amp;sourceID=30","0.01092")</f>
        <v>0.01092</v>
      </c>
      <c r="X189" s="4" t="str">
        <f>HYPERLINK("http://141.218.60.56/~jnz1568/getInfo.php?workbook=07_01.xlsx&amp;sheet=A0&amp;row=189&amp;col=24&amp;number=&amp;sourceID=30","")</f>
        <v/>
      </c>
      <c r="Y189" s="4" t="str">
        <f>HYPERLINK("http://141.218.60.56/~jnz1568/getInfo.php?workbook=07_01.xlsx&amp;sheet=A0&amp;row=189&amp;col=25&amp;number=&amp;sourceID=13","")</f>
        <v/>
      </c>
      <c r="Z189" s="4" t="str">
        <f>HYPERLINK("http://141.218.60.56/~jnz1568/getInfo.php?workbook=07_01.xlsx&amp;sheet=A0&amp;row=189&amp;col=26&amp;number=&amp;sourceID=13","")</f>
        <v/>
      </c>
      <c r="AA189" s="4" t="str">
        <f>HYPERLINK("http://141.218.60.56/~jnz1568/getInfo.php?workbook=07_01.xlsx&amp;sheet=A0&amp;row=189&amp;col=27&amp;number=&amp;sourceID=13","")</f>
        <v/>
      </c>
      <c r="AB189" s="4" t="str">
        <f>HYPERLINK("http://141.218.60.56/~jnz1568/getInfo.php?workbook=07_01.xlsx&amp;sheet=A0&amp;row=189&amp;col=28&amp;number=&amp;sourceID=13","")</f>
        <v/>
      </c>
      <c r="AC189" s="4" t="str">
        <f>HYPERLINK("http://141.218.60.56/~jnz1568/getInfo.php?workbook=07_01.xlsx&amp;sheet=A0&amp;row=189&amp;col=29&amp;number=&amp;sourceID=13","")</f>
        <v/>
      </c>
      <c r="AD189" s="4" t="str">
        <f>HYPERLINK("http://141.218.60.56/~jnz1568/getInfo.php?workbook=07_01.xlsx&amp;sheet=A0&amp;row=189&amp;col=30&amp;number=&amp;sourceID=13","")</f>
        <v/>
      </c>
    </row>
    <row r="190" spans="1:30">
      <c r="A190" s="3">
        <v>7</v>
      </c>
      <c r="B190" s="3">
        <v>1</v>
      </c>
      <c r="C190" s="3">
        <v>21</v>
      </c>
      <c r="D190" s="3">
        <v>5</v>
      </c>
      <c r="E190" s="3">
        <f>((1/(INDEX(E0!J$4:J$28,C190,1)-INDEX(E0!J$4:J$28,D190,1))))*100000000</f>
        <v>0</v>
      </c>
      <c r="F190" s="4" t="str">
        <f>HYPERLINK("http://141.218.60.56/~jnz1568/getInfo.php?workbook=07_01.xlsx&amp;sheet=A0&amp;row=190&amp;col=6&amp;number==&amp;sourceID=11","=")</f>
        <v>=</v>
      </c>
      <c r="G190" s="4" t="str">
        <f>HYPERLINK("http://141.218.60.56/~jnz1568/getInfo.php?workbook=07_01.xlsx&amp;sheet=A0&amp;row=190&amp;col=7&amp;number=&amp;sourceID=11","")</f>
        <v/>
      </c>
      <c r="H190" s="4" t="str">
        <f>HYPERLINK("http://141.218.60.56/~jnz1568/getInfo.php?workbook=07_01.xlsx&amp;sheet=A0&amp;row=190&amp;col=8&amp;number=2492.8&amp;sourceID=11","2492.8")</f>
        <v>2492.8</v>
      </c>
      <c r="I190" s="4" t="str">
        <f>HYPERLINK("http://141.218.60.56/~jnz1568/getInfo.php?workbook=07_01.xlsx&amp;sheet=A0&amp;row=190&amp;col=9&amp;number=&amp;sourceID=11","")</f>
        <v/>
      </c>
      <c r="J190" s="4" t="str">
        <f>HYPERLINK("http://141.218.60.56/~jnz1568/getInfo.php?workbook=07_01.xlsx&amp;sheet=A0&amp;row=190&amp;col=10&amp;number=&amp;sourceID=11","")</f>
        <v/>
      </c>
      <c r="K190" s="4" t="str">
        <f>HYPERLINK("http://141.218.60.56/~jnz1568/getInfo.php?workbook=07_01.xlsx&amp;sheet=A0&amp;row=190&amp;col=11&amp;number=&amp;sourceID=11","")</f>
        <v/>
      </c>
      <c r="L190" s="4" t="str">
        <f>HYPERLINK("http://141.218.60.56/~jnz1568/getInfo.php?workbook=07_01.xlsx&amp;sheet=A0&amp;row=190&amp;col=12&amp;number=9.7302e-08&amp;sourceID=11","9.7302e-08")</f>
        <v>9.7302e-08</v>
      </c>
      <c r="M190" s="4" t="str">
        <f>HYPERLINK("http://141.218.60.56/~jnz1568/getInfo.php?workbook=07_01.xlsx&amp;sheet=A0&amp;row=190&amp;col=13&amp;number=2492.9&amp;sourceID=12","2492.9")</f>
        <v>2492.9</v>
      </c>
      <c r="N190" s="4" t="str">
        <f>HYPERLINK("http://141.218.60.56/~jnz1568/getInfo.php?workbook=07_01.xlsx&amp;sheet=A0&amp;row=190&amp;col=14&amp;number=&amp;sourceID=12","")</f>
        <v/>
      </c>
      <c r="O190" s="4" t="str">
        <f>HYPERLINK("http://141.218.60.56/~jnz1568/getInfo.php?workbook=07_01.xlsx&amp;sheet=A0&amp;row=190&amp;col=15&amp;number=2492.9&amp;sourceID=12","2492.9")</f>
        <v>2492.9</v>
      </c>
      <c r="P190" s="4" t="str">
        <f>HYPERLINK("http://141.218.60.56/~jnz1568/getInfo.php?workbook=07_01.xlsx&amp;sheet=A0&amp;row=190&amp;col=16&amp;number=&amp;sourceID=12","")</f>
        <v/>
      </c>
      <c r="Q190" s="4" t="str">
        <f>HYPERLINK("http://141.218.60.56/~jnz1568/getInfo.php?workbook=07_01.xlsx&amp;sheet=A0&amp;row=190&amp;col=17&amp;number=&amp;sourceID=12","")</f>
        <v/>
      </c>
      <c r="R190" s="4" t="str">
        <f>HYPERLINK("http://141.218.60.56/~jnz1568/getInfo.php?workbook=07_01.xlsx&amp;sheet=A0&amp;row=190&amp;col=18&amp;number=&amp;sourceID=12","")</f>
        <v/>
      </c>
      <c r="S190" s="4" t="str">
        <f>HYPERLINK("http://141.218.60.56/~jnz1568/getInfo.php?workbook=07_01.xlsx&amp;sheet=A0&amp;row=190&amp;col=19&amp;number=9.7305e-08&amp;sourceID=12","9.7305e-08")</f>
        <v>9.7305e-08</v>
      </c>
      <c r="T190" s="4" t="str">
        <f>HYPERLINK("http://141.218.60.56/~jnz1568/getInfo.php?workbook=07_01.xlsx&amp;sheet=A0&amp;row=190&amp;col=20&amp;number==&amp;sourceID=30","=")</f>
        <v>=</v>
      </c>
      <c r="U190" s="4" t="str">
        <f>HYPERLINK("http://141.218.60.56/~jnz1568/getInfo.php?workbook=07_01.xlsx&amp;sheet=A0&amp;row=190&amp;col=21&amp;number=&amp;sourceID=30","")</f>
        <v/>
      </c>
      <c r="V190" s="4" t="str">
        <f>HYPERLINK("http://141.218.60.56/~jnz1568/getInfo.php?workbook=07_01.xlsx&amp;sheet=A0&amp;row=190&amp;col=22&amp;number=2493&amp;sourceID=30","2493")</f>
        <v>2493</v>
      </c>
      <c r="W190" s="4" t="str">
        <f>HYPERLINK("http://141.218.60.56/~jnz1568/getInfo.php?workbook=07_01.xlsx&amp;sheet=A0&amp;row=190&amp;col=23&amp;number=&amp;sourceID=30","")</f>
        <v/>
      </c>
      <c r="X190" s="4" t="str">
        <f>HYPERLINK("http://141.218.60.56/~jnz1568/getInfo.php?workbook=07_01.xlsx&amp;sheet=A0&amp;row=190&amp;col=24&amp;number=&amp;sourceID=30","")</f>
        <v/>
      </c>
      <c r="Y190" s="4" t="str">
        <f>HYPERLINK("http://141.218.60.56/~jnz1568/getInfo.php?workbook=07_01.xlsx&amp;sheet=A0&amp;row=190&amp;col=25&amp;number=&amp;sourceID=13","")</f>
        <v/>
      </c>
      <c r="Z190" s="4" t="str">
        <f>HYPERLINK("http://141.218.60.56/~jnz1568/getInfo.php?workbook=07_01.xlsx&amp;sheet=A0&amp;row=190&amp;col=26&amp;number=&amp;sourceID=13","")</f>
        <v/>
      </c>
      <c r="AA190" s="4" t="str">
        <f>HYPERLINK("http://141.218.60.56/~jnz1568/getInfo.php?workbook=07_01.xlsx&amp;sheet=A0&amp;row=190&amp;col=27&amp;number=&amp;sourceID=13","")</f>
        <v/>
      </c>
      <c r="AB190" s="4" t="str">
        <f>HYPERLINK("http://141.218.60.56/~jnz1568/getInfo.php?workbook=07_01.xlsx&amp;sheet=A0&amp;row=190&amp;col=28&amp;number=&amp;sourceID=13","")</f>
        <v/>
      </c>
      <c r="AC190" s="4" t="str">
        <f>HYPERLINK("http://141.218.60.56/~jnz1568/getInfo.php?workbook=07_01.xlsx&amp;sheet=A0&amp;row=190&amp;col=29&amp;number=&amp;sourceID=13","")</f>
        <v/>
      </c>
      <c r="AD190" s="4" t="str">
        <f>HYPERLINK("http://141.218.60.56/~jnz1568/getInfo.php?workbook=07_01.xlsx&amp;sheet=A0&amp;row=190&amp;col=30&amp;number=&amp;sourceID=13","")</f>
        <v/>
      </c>
    </row>
    <row r="191" spans="1:30">
      <c r="A191" s="3">
        <v>7</v>
      </c>
      <c r="B191" s="3">
        <v>1</v>
      </c>
      <c r="C191" s="3">
        <v>21</v>
      </c>
      <c r="D191" s="3">
        <v>6</v>
      </c>
      <c r="E191" s="3">
        <f>((1/(INDEX(E0!J$4:J$28,C191,1)-INDEX(E0!J$4:J$28,D191,1))))*100000000</f>
        <v>0</v>
      </c>
      <c r="F191" s="4" t="str">
        <f>HYPERLINK("http://141.218.60.56/~jnz1568/getInfo.php?workbook=07_01.xlsx&amp;sheet=A0&amp;row=191&amp;col=6&amp;number==&amp;sourceID=11","=")</f>
        <v>=</v>
      </c>
      <c r="G191" s="4" t="str">
        <f>HYPERLINK("http://141.218.60.56/~jnz1568/getInfo.php?workbook=07_01.xlsx&amp;sheet=A0&amp;row=191&amp;col=7&amp;number=&amp;sourceID=11","")</f>
        <v/>
      </c>
      <c r="H191" s="4" t="str">
        <f>HYPERLINK("http://141.218.60.56/~jnz1568/getInfo.php?workbook=07_01.xlsx&amp;sheet=A0&amp;row=191&amp;col=8&amp;number=&amp;sourceID=11","")</f>
        <v/>
      </c>
      <c r="I191" s="4" t="str">
        <f>HYPERLINK("http://141.218.60.56/~jnz1568/getInfo.php?workbook=07_01.xlsx&amp;sheet=A0&amp;row=191&amp;col=9&amp;number=6.1201&amp;sourceID=11","6.1201")</f>
        <v>6.1201</v>
      </c>
      <c r="J191" s="4" t="str">
        <f>HYPERLINK("http://141.218.60.56/~jnz1568/getInfo.php?workbook=07_01.xlsx&amp;sheet=A0&amp;row=191&amp;col=10&amp;number=&amp;sourceID=11","")</f>
        <v/>
      </c>
      <c r="K191" s="4" t="str">
        <f>HYPERLINK("http://141.218.60.56/~jnz1568/getInfo.php?workbook=07_01.xlsx&amp;sheet=A0&amp;row=191&amp;col=11&amp;number=1.1431e-09&amp;sourceID=11","1.1431e-09")</f>
        <v>1.1431e-09</v>
      </c>
      <c r="L191" s="4" t="str">
        <f>HYPERLINK("http://141.218.60.56/~jnz1568/getInfo.php?workbook=07_01.xlsx&amp;sheet=A0&amp;row=191&amp;col=12&amp;number=&amp;sourceID=11","")</f>
        <v/>
      </c>
      <c r="M191" s="4" t="str">
        <f>HYPERLINK("http://141.218.60.56/~jnz1568/getInfo.php?workbook=07_01.xlsx&amp;sheet=A0&amp;row=191&amp;col=13&amp;number=6.1203&amp;sourceID=12","6.1203")</f>
        <v>6.1203</v>
      </c>
      <c r="N191" s="4" t="str">
        <f>HYPERLINK("http://141.218.60.56/~jnz1568/getInfo.php?workbook=07_01.xlsx&amp;sheet=A0&amp;row=191&amp;col=14&amp;number=&amp;sourceID=12","")</f>
        <v/>
      </c>
      <c r="O191" s="4" t="str">
        <f>HYPERLINK("http://141.218.60.56/~jnz1568/getInfo.php?workbook=07_01.xlsx&amp;sheet=A0&amp;row=191&amp;col=15&amp;number=&amp;sourceID=12","")</f>
        <v/>
      </c>
      <c r="P191" s="4" t="str">
        <f>HYPERLINK("http://141.218.60.56/~jnz1568/getInfo.php?workbook=07_01.xlsx&amp;sheet=A0&amp;row=191&amp;col=16&amp;number=6.1203&amp;sourceID=12","6.1203")</f>
        <v>6.1203</v>
      </c>
      <c r="Q191" s="4" t="str">
        <f>HYPERLINK("http://141.218.60.56/~jnz1568/getInfo.php?workbook=07_01.xlsx&amp;sheet=A0&amp;row=191&amp;col=17&amp;number=&amp;sourceID=12","")</f>
        <v/>
      </c>
      <c r="R191" s="4" t="str">
        <f>HYPERLINK("http://141.218.60.56/~jnz1568/getInfo.php?workbook=07_01.xlsx&amp;sheet=A0&amp;row=191&amp;col=18&amp;number=1.1435e-09&amp;sourceID=12","1.1435e-09")</f>
        <v>1.1435e-09</v>
      </c>
      <c r="S191" s="4" t="str">
        <f>HYPERLINK("http://141.218.60.56/~jnz1568/getInfo.php?workbook=07_01.xlsx&amp;sheet=A0&amp;row=191&amp;col=19&amp;number=&amp;sourceID=12","")</f>
        <v/>
      </c>
      <c r="T191" s="4" t="str">
        <f>HYPERLINK("http://141.218.60.56/~jnz1568/getInfo.php?workbook=07_01.xlsx&amp;sheet=A0&amp;row=191&amp;col=20&amp;number==&amp;sourceID=30","=")</f>
        <v>=</v>
      </c>
      <c r="U191" s="4" t="str">
        <f>HYPERLINK("http://141.218.60.56/~jnz1568/getInfo.php?workbook=07_01.xlsx&amp;sheet=A0&amp;row=191&amp;col=21&amp;number=&amp;sourceID=30","")</f>
        <v/>
      </c>
      <c r="V191" s="4" t="str">
        <f>HYPERLINK("http://141.218.60.56/~jnz1568/getInfo.php?workbook=07_01.xlsx&amp;sheet=A0&amp;row=191&amp;col=22&amp;number=&amp;sourceID=30","")</f>
        <v/>
      </c>
      <c r="W191" s="4" t="str">
        <f>HYPERLINK("http://141.218.60.56/~jnz1568/getInfo.php?workbook=07_01.xlsx&amp;sheet=A0&amp;row=191&amp;col=23&amp;number=&amp;sourceID=30","")</f>
        <v/>
      </c>
      <c r="X191" s="4" t="str">
        <f>HYPERLINK("http://141.218.60.56/~jnz1568/getInfo.php?workbook=07_01.xlsx&amp;sheet=A0&amp;row=191&amp;col=24&amp;number=1.156e-09&amp;sourceID=30","1.156e-09")</f>
        <v>1.156e-09</v>
      </c>
      <c r="Y191" s="4" t="str">
        <f>HYPERLINK("http://141.218.60.56/~jnz1568/getInfo.php?workbook=07_01.xlsx&amp;sheet=A0&amp;row=191&amp;col=25&amp;number=&amp;sourceID=13","")</f>
        <v/>
      </c>
      <c r="Z191" s="4" t="str">
        <f>HYPERLINK("http://141.218.60.56/~jnz1568/getInfo.php?workbook=07_01.xlsx&amp;sheet=A0&amp;row=191&amp;col=26&amp;number=&amp;sourceID=13","")</f>
        <v/>
      </c>
      <c r="AA191" s="4" t="str">
        <f>HYPERLINK("http://141.218.60.56/~jnz1568/getInfo.php?workbook=07_01.xlsx&amp;sheet=A0&amp;row=191&amp;col=27&amp;number=&amp;sourceID=13","")</f>
        <v/>
      </c>
      <c r="AB191" s="4" t="str">
        <f>HYPERLINK("http://141.218.60.56/~jnz1568/getInfo.php?workbook=07_01.xlsx&amp;sheet=A0&amp;row=191&amp;col=28&amp;number=&amp;sourceID=13","")</f>
        <v/>
      </c>
      <c r="AC191" s="4" t="str">
        <f>HYPERLINK("http://141.218.60.56/~jnz1568/getInfo.php?workbook=07_01.xlsx&amp;sheet=A0&amp;row=191&amp;col=29&amp;number=&amp;sourceID=13","")</f>
        <v/>
      </c>
      <c r="AD191" s="4" t="str">
        <f>HYPERLINK("http://141.218.60.56/~jnz1568/getInfo.php?workbook=07_01.xlsx&amp;sheet=A0&amp;row=191&amp;col=30&amp;number=&amp;sourceID=13","")</f>
        <v/>
      </c>
    </row>
    <row r="192" spans="1:30">
      <c r="A192" s="3">
        <v>7</v>
      </c>
      <c r="B192" s="3">
        <v>1</v>
      </c>
      <c r="C192" s="3">
        <v>21</v>
      </c>
      <c r="D192" s="3">
        <v>7</v>
      </c>
      <c r="E192" s="3">
        <f>((1/(INDEX(E0!J$4:J$28,C192,1)-INDEX(E0!J$4:J$28,D192,1))))*100000000</f>
        <v>0</v>
      </c>
      <c r="F192" s="4" t="str">
        <f>HYPERLINK("http://141.218.60.56/~jnz1568/getInfo.php?workbook=07_01.xlsx&amp;sheet=A0&amp;row=192&amp;col=6&amp;number==&amp;sourceID=11","=")</f>
        <v>=</v>
      </c>
      <c r="G192" s="4" t="str">
        <f>HYPERLINK("http://141.218.60.56/~jnz1568/getInfo.php?workbook=07_01.xlsx&amp;sheet=A0&amp;row=192&amp;col=7&amp;number=10189000000&amp;sourceID=11","10189000000")</f>
        <v>10189000000</v>
      </c>
      <c r="H192" s="4" t="str">
        <f>HYPERLINK("http://141.218.60.56/~jnz1568/getInfo.php?workbook=07_01.xlsx&amp;sheet=A0&amp;row=192&amp;col=8&amp;number=&amp;sourceID=11","")</f>
        <v/>
      </c>
      <c r="I192" s="4" t="str">
        <f>HYPERLINK("http://141.218.60.56/~jnz1568/getInfo.php?workbook=07_01.xlsx&amp;sheet=A0&amp;row=192&amp;col=9&amp;number=0.16069&amp;sourceID=11","0.16069")</f>
        <v>0.16069</v>
      </c>
      <c r="J192" s="4" t="str">
        <f>HYPERLINK("http://141.218.60.56/~jnz1568/getInfo.php?workbook=07_01.xlsx&amp;sheet=A0&amp;row=192&amp;col=10&amp;number=&amp;sourceID=11","")</f>
        <v/>
      </c>
      <c r="K192" s="4" t="str">
        <f>HYPERLINK("http://141.218.60.56/~jnz1568/getInfo.php?workbook=07_01.xlsx&amp;sheet=A0&amp;row=192&amp;col=11&amp;number=3.9162&amp;sourceID=11","3.9162")</f>
        <v>3.9162</v>
      </c>
      <c r="L192" s="4" t="str">
        <f>HYPERLINK("http://141.218.60.56/~jnz1568/getInfo.php?workbook=07_01.xlsx&amp;sheet=A0&amp;row=192&amp;col=12&amp;number=&amp;sourceID=11","")</f>
        <v/>
      </c>
      <c r="M192" s="4" t="str">
        <f>HYPERLINK("http://141.218.60.56/~jnz1568/getInfo.php?workbook=07_01.xlsx&amp;sheet=A0&amp;row=192&amp;col=13&amp;number=10190000000&amp;sourceID=12","10190000000")</f>
        <v>10190000000</v>
      </c>
      <c r="N192" s="4" t="str">
        <f>HYPERLINK("http://141.218.60.56/~jnz1568/getInfo.php?workbook=07_01.xlsx&amp;sheet=A0&amp;row=192&amp;col=14&amp;number=10190000000&amp;sourceID=12","10190000000")</f>
        <v>10190000000</v>
      </c>
      <c r="O192" s="4" t="str">
        <f>HYPERLINK("http://141.218.60.56/~jnz1568/getInfo.php?workbook=07_01.xlsx&amp;sheet=A0&amp;row=192&amp;col=15&amp;number=&amp;sourceID=12","")</f>
        <v/>
      </c>
      <c r="P192" s="4" t="str">
        <f>HYPERLINK("http://141.218.60.56/~jnz1568/getInfo.php?workbook=07_01.xlsx&amp;sheet=A0&amp;row=192&amp;col=16&amp;number=0.16069&amp;sourceID=12","0.16069")</f>
        <v>0.16069</v>
      </c>
      <c r="Q192" s="4" t="str">
        <f>HYPERLINK("http://141.218.60.56/~jnz1568/getInfo.php?workbook=07_01.xlsx&amp;sheet=A0&amp;row=192&amp;col=17&amp;number=&amp;sourceID=12","")</f>
        <v/>
      </c>
      <c r="R192" s="4" t="str">
        <f>HYPERLINK("http://141.218.60.56/~jnz1568/getInfo.php?workbook=07_01.xlsx&amp;sheet=A0&amp;row=192&amp;col=18&amp;number=3.9164&amp;sourceID=12","3.9164")</f>
        <v>3.9164</v>
      </c>
      <c r="S192" s="4" t="str">
        <f>HYPERLINK("http://141.218.60.56/~jnz1568/getInfo.php?workbook=07_01.xlsx&amp;sheet=A0&amp;row=192&amp;col=19&amp;number=&amp;sourceID=12","")</f>
        <v/>
      </c>
      <c r="T192" s="4" t="str">
        <f>HYPERLINK("http://141.218.60.56/~jnz1568/getInfo.php?workbook=07_01.xlsx&amp;sheet=A0&amp;row=192&amp;col=20&amp;number==&amp;sourceID=30","=")</f>
        <v>=</v>
      </c>
      <c r="U192" s="4" t="str">
        <f>HYPERLINK("http://141.218.60.56/~jnz1568/getInfo.php?workbook=07_01.xlsx&amp;sheet=A0&amp;row=192&amp;col=21&amp;number=10190000000&amp;sourceID=30","10190000000")</f>
        <v>10190000000</v>
      </c>
      <c r="V192" s="4" t="str">
        <f>HYPERLINK("http://141.218.60.56/~jnz1568/getInfo.php?workbook=07_01.xlsx&amp;sheet=A0&amp;row=192&amp;col=22&amp;number=&amp;sourceID=30","")</f>
        <v/>
      </c>
      <c r="W192" s="4" t="str">
        <f>HYPERLINK("http://141.218.60.56/~jnz1568/getInfo.php?workbook=07_01.xlsx&amp;sheet=A0&amp;row=192&amp;col=23&amp;number=&amp;sourceID=30","")</f>
        <v/>
      </c>
      <c r="X192" s="4" t="str">
        <f>HYPERLINK("http://141.218.60.56/~jnz1568/getInfo.php?workbook=07_01.xlsx&amp;sheet=A0&amp;row=192&amp;col=24&amp;number=3.916&amp;sourceID=30","3.916")</f>
        <v>3.916</v>
      </c>
      <c r="Y192" s="4" t="str">
        <f>HYPERLINK("http://141.218.60.56/~jnz1568/getInfo.php?workbook=07_01.xlsx&amp;sheet=A0&amp;row=192&amp;col=25&amp;number=&amp;sourceID=13","")</f>
        <v/>
      </c>
      <c r="Z192" s="4" t="str">
        <f>HYPERLINK("http://141.218.60.56/~jnz1568/getInfo.php?workbook=07_01.xlsx&amp;sheet=A0&amp;row=192&amp;col=26&amp;number=&amp;sourceID=13","")</f>
        <v/>
      </c>
      <c r="AA192" s="4" t="str">
        <f>HYPERLINK("http://141.218.60.56/~jnz1568/getInfo.php?workbook=07_01.xlsx&amp;sheet=A0&amp;row=192&amp;col=27&amp;number=&amp;sourceID=13","")</f>
        <v/>
      </c>
      <c r="AB192" s="4" t="str">
        <f>HYPERLINK("http://141.218.60.56/~jnz1568/getInfo.php?workbook=07_01.xlsx&amp;sheet=A0&amp;row=192&amp;col=28&amp;number=&amp;sourceID=13","")</f>
        <v/>
      </c>
      <c r="AC192" s="4" t="str">
        <f>HYPERLINK("http://141.218.60.56/~jnz1568/getInfo.php?workbook=07_01.xlsx&amp;sheet=A0&amp;row=192&amp;col=29&amp;number=&amp;sourceID=13","")</f>
        <v/>
      </c>
      <c r="AD192" s="4" t="str">
        <f>HYPERLINK("http://141.218.60.56/~jnz1568/getInfo.php?workbook=07_01.xlsx&amp;sheet=A0&amp;row=192&amp;col=30&amp;number=&amp;sourceID=13","")</f>
        <v/>
      </c>
    </row>
    <row r="193" spans="1:30">
      <c r="A193" s="3">
        <v>7</v>
      </c>
      <c r="B193" s="3">
        <v>1</v>
      </c>
      <c r="C193" s="3">
        <v>21</v>
      </c>
      <c r="D193" s="3">
        <v>8</v>
      </c>
      <c r="E193" s="3">
        <f>((1/(INDEX(E0!J$4:J$28,C193,1)-INDEX(E0!J$4:J$28,D193,1))))*100000000</f>
        <v>0</v>
      </c>
      <c r="F193" s="4" t="str">
        <f>HYPERLINK("http://141.218.60.56/~jnz1568/getInfo.php?workbook=07_01.xlsx&amp;sheet=A0&amp;row=193&amp;col=6&amp;number==&amp;sourceID=11","=")</f>
        <v>=</v>
      </c>
      <c r="G193" s="4" t="str">
        <f>HYPERLINK("http://141.218.60.56/~jnz1568/getInfo.php?workbook=07_01.xlsx&amp;sheet=A0&amp;row=193&amp;col=7&amp;number=&amp;sourceID=11","")</f>
        <v/>
      </c>
      <c r="H193" s="4" t="str">
        <f>HYPERLINK("http://141.218.60.56/~jnz1568/getInfo.php?workbook=07_01.xlsx&amp;sheet=A0&amp;row=193&amp;col=8&amp;number=680.21&amp;sourceID=11","680.21")</f>
        <v>680.21</v>
      </c>
      <c r="I193" s="4" t="str">
        <f>HYPERLINK("http://141.218.60.56/~jnz1568/getInfo.php?workbook=07_01.xlsx&amp;sheet=A0&amp;row=193&amp;col=9&amp;number=&amp;sourceID=11","")</f>
        <v/>
      </c>
      <c r="J193" s="4" t="str">
        <f>HYPERLINK("http://141.218.60.56/~jnz1568/getInfo.php?workbook=07_01.xlsx&amp;sheet=A0&amp;row=193&amp;col=10&amp;number=0.00019214&amp;sourceID=11","0.00019214")</f>
        <v>0.00019214</v>
      </c>
      <c r="K193" s="4" t="str">
        <f>HYPERLINK("http://141.218.60.56/~jnz1568/getInfo.php?workbook=07_01.xlsx&amp;sheet=A0&amp;row=193&amp;col=11&amp;number=&amp;sourceID=11","")</f>
        <v/>
      </c>
      <c r="L193" s="4" t="str">
        <f>HYPERLINK("http://141.218.60.56/~jnz1568/getInfo.php?workbook=07_01.xlsx&amp;sheet=A0&amp;row=193&amp;col=12&amp;number=1.8578e-08&amp;sourceID=11","1.8578e-08")</f>
        <v>1.8578e-08</v>
      </c>
      <c r="M193" s="4" t="str">
        <f>HYPERLINK("http://141.218.60.56/~jnz1568/getInfo.php?workbook=07_01.xlsx&amp;sheet=A0&amp;row=193&amp;col=13&amp;number=680.23&amp;sourceID=12","680.23")</f>
        <v>680.23</v>
      </c>
      <c r="N193" s="4" t="str">
        <f>HYPERLINK("http://141.218.60.56/~jnz1568/getInfo.php?workbook=07_01.xlsx&amp;sheet=A0&amp;row=193&amp;col=14&amp;number=&amp;sourceID=12","")</f>
        <v/>
      </c>
      <c r="O193" s="4" t="str">
        <f>HYPERLINK("http://141.218.60.56/~jnz1568/getInfo.php?workbook=07_01.xlsx&amp;sheet=A0&amp;row=193&amp;col=15&amp;number=680.23&amp;sourceID=12","680.23")</f>
        <v>680.23</v>
      </c>
      <c r="P193" s="4" t="str">
        <f>HYPERLINK("http://141.218.60.56/~jnz1568/getInfo.php?workbook=07_01.xlsx&amp;sheet=A0&amp;row=193&amp;col=16&amp;number=&amp;sourceID=12","")</f>
        <v/>
      </c>
      <c r="Q193" s="4" t="str">
        <f>HYPERLINK("http://141.218.60.56/~jnz1568/getInfo.php?workbook=07_01.xlsx&amp;sheet=A0&amp;row=193&amp;col=17&amp;number=0.00019216&amp;sourceID=12","0.00019216")</f>
        <v>0.00019216</v>
      </c>
      <c r="R193" s="4" t="str">
        <f>HYPERLINK("http://141.218.60.56/~jnz1568/getInfo.php?workbook=07_01.xlsx&amp;sheet=A0&amp;row=193&amp;col=18&amp;number=&amp;sourceID=12","")</f>
        <v/>
      </c>
      <c r="S193" s="4" t="str">
        <f>HYPERLINK("http://141.218.60.56/~jnz1568/getInfo.php?workbook=07_01.xlsx&amp;sheet=A0&amp;row=193&amp;col=19&amp;number=1.8579e-08&amp;sourceID=12","1.8579e-08")</f>
        <v>1.8579e-08</v>
      </c>
      <c r="T193" s="4" t="str">
        <f>HYPERLINK("http://141.218.60.56/~jnz1568/getInfo.php?workbook=07_01.xlsx&amp;sheet=A0&amp;row=193&amp;col=20&amp;number==&amp;sourceID=30","=")</f>
        <v>=</v>
      </c>
      <c r="U193" s="4" t="str">
        <f>HYPERLINK("http://141.218.60.56/~jnz1568/getInfo.php?workbook=07_01.xlsx&amp;sheet=A0&amp;row=193&amp;col=21&amp;number=&amp;sourceID=30","")</f>
        <v/>
      </c>
      <c r="V193" s="4" t="str">
        <f>HYPERLINK("http://141.218.60.56/~jnz1568/getInfo.php?workbook=07_01.xlsx&amp;sheet=A0&amp;row=193&amp;col=22&amp;number=680.2&amp;sourceID=30","680.2")</f>
        <v>680.2</v>
      </c>
      <c r="W193" s="4" t="str">
        <f>HYPERLINK("http://141.218.60.56/~jnz1568/getInfo.php?workbook=07_01.xlsx&amp;sheet=A0&amp;row=193&amp;col=23&amp;number=0.0001924&amp;sourceID=30","0.0001924")</f>
        <v>0.0001924</v>
      </c>
      <c r="X193" s="4" t="str">
        <f>HYPERLINK("http://141.218.60.56/~jnz1568/getInfo.php?workbook=07_01.xlsx&amp;sheet=A0&amp;row=193&amp;col=24&amp;number=&amp;sourceID=30","")</f>
        <v/>
      </c>
      <c r="Y193" s="4" t="str">
        <f>HYPERLINK("http://141.218.60.56/~jnz1568/getInfo.php?workbook=07_01.xlsx&amp;sheet=A0&amp;row=193&amp;col=25&amp;number=&amp;sourceID=13","")</f>
        <v/>
      </c>
      <c r="Z193" s="4" t="str">
        <f>HYPERLINK("http://141.218.60.56/~jnz1568/getInfo.php?workbook=07_01.xlsx&amp;sheet=A0&amp;row=193&amp;col=26&amp;number=&amp;sourceID=13","")</f>
        <v/>
      </c>
      <c r="AA193" s="4" t="str">
        <f>HYPERLINK("http://141.218.60.56/~jnz1568/getInfo.php?workbook=07_01.xlsx&amp;sheet=A0&amp;row=193&amp;col=27&amp;number=&amp;sourceID=13","")</f>
        <v/>
      </c>
      <c r="AB193" s="4" t="str">
        <f>HYPERLINK("http://141.218.60.56/~jnz1568/getInfo.php?workbook=07_01.xlsx&amp;sheet=A0&amp;row=193&amp;col=28&amp;number=&amp;sourceID=13","")</f>
        <v/>
      </c>
      <c r="AC193" s="4" t="str">
        <f>HYPERLINK("http://141.218.60.56/~jnz1568/getInfo.php?workbook=07_01.xlsx&amp;sheet=A0&amp;row=193&amp;col=29&amp;number=&amp;sourceID=13","")</f>
        <v/>
      </c>
      <c r="AD193" s="4" t="str">
        <f>HYPERLINK("http://141.218.60.56/~jnz1568/getInfo.php?workbook=07_01.xlsx&amp;sheet=A0&amp;row=193&amp;col=30&amp;number=&amp;sourceID=13","")</f>
        <v/>
      </c>
    </row>
    <row r="194" spans="1:30">
      <c r="A194" s="3">
        <v>7</v>
      </c>
      <c r="B194" s="3">
        <v>1</v>
      </c>
      <c r="C194" s="3">
        <v>21</v>
      </c>
      <c r="D194" s="3">
        <v>9</v>
      </c>
      <c r="E194" s="3">
        <f>((1/(INDEX(E0!J$4:J$28,C194,1)-INDEX(E0!J$4:J$28,D194,1))))*100000000</f>
        <v>0</v>
      </c>
      <c r="F194" s="4" t="str">
        <f>HYPERLINK("http://141.218.60.56/~jnz1568/getInfo.php?workbook=07_01.xlsx&amp;sheet=A0&amp;row=194&amp;col=6&amp;number==&amp;sourceID=11","=")</f>
        <v>=</v>
      </c>
      <c r="G194" s="4" t="str">
        <f>HYPERLINK("http://141.218.60.56/~jnz1568/getInfo.php?workbook=07_01.xlsx&amp;sheet=A0&amp;row=194&amp;col=7&amp;number=727150000&amp;sourceID=11","727150000")</f>
        <v>727150000</v>
      </c>
      <c r="H194" s="4" t="str">
        <f>HYPERLINK("http://141.218.60.56/~jnz1568/getInfo.php?workbook=07_01.xlsx&amp;sheet=A0&amp;row=194&amp;col=8&amp;number=&amp;sourceID=11","")</f>
        <v/>
      </c>
      <c r="I194" s="4" t="str">
        <f>HYPERLINK("http://141.218.60.56/~jnz1568/getInfo.php?workbook=07_01.xlsx&amp;sheet=A0&amp;row=194&amp;col=9&amp;number=0.10759&amp;sourceID=11","0.10759")</f>
        <v>0.10759</v>
      </c>
      <c r="J194" s="4" t="str">
        <f>HYPERLINK("http://141.218.60.56/~jnz1568/getInfo.php?workbook=07_01.xlsx&amp;sheet=A0&amp;row=194&amp;col=10&amp;number=&amp;sourceID=11","")</f>
        <v/>
      </c>
      <c r="K194" s="4" t="str">
        <f>HYPERLINK("http://141.218.60.56/~jnz1568/getInfo.php?workbook=07_01.xlsx&amp;sheet=A0&amp;row=194&amp;col=11&amp;number=&amp;sourceID=11","")</f>
        <v/>
      </c>
      <c r="L194" s="4" t="str">
        <f>HYPERLINK("http://141.218.60.56/~jnz1568/getInfo.php?workbook=07_01.xlsx&amp;sheet=A0&amp;row=194&amp;col=12&amp;number=&amp;sourceID=11","")</f>
        <v/>
      </c>
      <c r="M194" s="4" t="str">
        <f>HYPERLINK("http://141.218.60.56/~jnz1568/getInfo.php?workbook=07_01.xlsx&amp;sheet=A0&amp;row=194&amp;col=13&amp;number=727170000&amp;sourceID=12","727170000")</f>
        <v>727170000</v>
      </c>
      <c r="N194" s="4" t="str">
        <f>HYPERLINK("http://141.218.60.56/~jnz1568/getInfo.php?workbook=07_01.xlsx&amp;sheet=A0&amp;row=194&amp;col=14&amp;number=727170000&amp;sourceID=12","727170000")</f>
        <v>727170000</v>
      </c>
      <c r="O194" s="4" t="str">
        <f>HYPERLINK("http://141.218.60.56/~jnz1568/getInfo.php?workbook=07_01.xlsx&amp;sheet=A0&amp;row=194&amp;col=15&amp;number=&amp;sourceID=12","")</f>
        <v/>
      </c>
      <c r="P194" s="4" t="str">
        <f>HYPERLINK("http://141.218.60.56/~jnz1568/getInfo.php?workbook=07_01.xlsx&amp;sheet=A0&amp;row=194&amp;col=16&amp;number=0.1076&amp;sourceID=12","0.1076")</f>
        <v>0.1076</v>
      </c>
      <c r="Q194" s="4" t="str">
        <f>HYPERLINK("http://141.218.60.56/~jnz1568/getInfo.php?workbook=07_01.xlsx&amp;sheet=A0&amp;row=194&amp;col=17&amp;number=&amp;sourceID=12","")</f>
        <v/>
      </c>
      <c r="R194" s="4" t="str">
        <f>HYPERLINK("http://141.218.60.56/~jnz1568/getInfo.php?workbook=07_01.xlsx&amp;sheet=A0&amp;row=194&amp;col=18&amp;number=&amp;sourceID=12","")</f>
        <v/>
      </c>
      <c r="S194" s="4" t="str">
        <f>HYPERLINK("http://141.218.60.56/~jnz1568/getInfo.php?workbook=07_01.xlsx&amp;sheet=A0&amp;row=194&amp;col=19&amp;number=&amp;sourceID=12","")</f>
        <v/>
      </c>
      <c r="T194" s="4" t="str">
        <f>HYPERLINK("http://141.218.60.56/~jnz1568/getInfo.php?workbook=07_01.xlsx&amp;sheet=A0&amp;row=194&amp;col=20&amp;number==&amp;sourceID=30","=")</f>
        <v>=</v>
      </c>
      <c r="U194" s="4" t="str">
        <f>HYPERLINK("http://141.218.60.56/~jnz1568/getInfo.php?workbook=07_01.xlsx&amp;sheet=A0&amp;row=194&amp;col=21&amp;number=727200000&amp;sourceID=30","727200000")</f>
        <v>727200000</v>
      </c>
      <c r="V194" s="4" t="str">
        <f>HYPERLINK("http://141.218.60.56/~jnz1568/getInfo.php?workbook=07_01.xlsx&amp;sheet=A0&amp;row=194&amp;col=22&amp;number=&amp;sourceID=30","")</f>
        <v/>
      </c>
      <c r="W194" s="4" t="str">
        <f>HYPERLINK("http://141.218.60.56/~jnz1568/getInfo.php?workbook=07_01.xlsx&amp;sheet=A0&amp;row=194&amp;col=23&amp;number=&amp;sourceID=30","")</f>
        <v/>
      </c>
      <c r="X194" s="4" t="str">
        <f>HYPERLINK("http://141.218.60.56/~jnz1568/getInfo.php?workbook=07_01.xlsx&amp;sheet=A0&amp;row=194&amp;col=24&amp;number=&amp;sourceID=30","")</f>
        <v/>
      </c>
      <c r="Y194" s="4" t="str">
        <f>HYPERLINK("http://141.218.60.56/~jnz1568/getInfo.php?workbook=07_01.xlsx&amp;sheet=A0&amp;row=194&amp;col=25&amp;number=&amp;sourceID=13","")</f>
        <v/>
      </c>
      <c r="Z194" s="4" t="str">
        <f>HYPERLINK("http://141.218.60.56/~jnz1568/getInfo.php?workbook=07_01.xlsx&amp;sheet=A0&amp;row=194&amp;col=26&amp;number=&amp;sourceID=13","")</f>
        <v/>
      </c>
      <c r="AA194" s="4" t="str">
        <f>HYPERLINK("http://141.218.60.56/~jnz1568/getInfo.php?workbook=07_01.xlsx&amp;sheet=A0&amp;row=194&amp;col=27&amp;number=&amp;sourceID=13","")</f>
        <v/>
      </c>
      <c r="AB194" s="4" t="str">
        <f>HYPERLINK("http://141.218.60.56/~jnz1568/getInfo.php?workbook=07_01.xlsx&amp;sheet=A0&amp;row=194&amp;col=28&amp;number=&amp;sourceID=13","")</f>
        <v/>
      </c>
      <c r="AC194" s="4" t="str">
        <f>HYPERLINK("http://141.218.60.56/~jnz1568/getInfo.php?workbook=07_01.xlsx&amp;sheet=A0&amp;row=194&amp;col=29&amp;number=&amp;sourceID=13","")</f>
        <v/>
      </c>
      <c r="AD194" s="4" t="str">
        <f>HYPERLINK("http://141.218.60.56/~jnz1568/getInfo.php?workbook=07_01.xlsx&amp;sheet=A0&amp;row=194&amp;col=30&amp;number=&amp;sourceID=13","")</f>
        <v/>
      </c>
    </row>
    <row r="195" spans="1:30">
      <c r="A195" s="3">
        <v>7</v>
      </c>
      <c r="B195" s="3">
        <v>1</v>
      </c>
      <c r="C195" s="3">
        <v>21</v>
      </c>
      <c r="D195" s="3">
        <v>10</v>
      </c>
      <c r="E195" s="3">
        <f>((1/(INDEX(E0!J$4:J$28,C195,1)-INDEX(E0!J$4:J$28,D195,1))))*100000000</f>
        <v>0</v>
      </c>
      <c r="F195" s="4" t="str">
        <f>HYPERLINK("http://141.218.60.56/~jnz1568/getInfo.php?workbook=07_01.xlsx&amp;sheet=A0&amp;row=195&amp;col=6&amp;number==&amp;sourceID=11","=")</f>
        <v>=</v>
      </c>
      <c r="G195" s="4" t="str">
        <f>HYPERLINK("http://141.218.60.56/~jnz1568/getInfo.php?workbook=07_01.xlsx&amp;sheet=A0&amp;row=195&amp;col=7&amp;number=&amp;sourceID=11","")</f>
        <v/>
      </c>
      <c r="H195" s="4" t="str">
        <f>HYPERLINK("http://141.218.60.56/~jnz1568/getInfo.php?workbook=07_01.xlsx&amp;sheet=A0&amp;row=195&amp;col=8&amp;number=86045&amp;sourceID=11","86045")</f>
        <v>86045</v>
      </c>
      <c r="I195" s="4" t="str">
        <f>HYPERLINK("http://141.218.60.56/~jnz1568/getInfo.php?workbook=07_01.xlsx&amp;sheet=A0&amp;row=195&amp;col=9&amp;number=&amp;sourceID=11","")</f>
        <v/>
      </c>
      <c r="J195" s="4" t="str">
        <f>HYPERLINK("http://141.218.60.56/~jnz1568/getInfo.php?workbook=07_01.xlsx&amp;sheet=A0&amp;row=195&amp;col=10&amp;number=&amp;sourceID=11","")</f>
        <v/>
      </c>
      <c r="K195" s="4" t="str">
        <f>HYPERLINK("http://141.218.60.56/~jnz1568/getInfo.php?workbook=07_01.xlsx&amp;sheet=A0&amp;row=195&amp;col=11&amp;number=&amp;sourceID=11","")</f>
        <v/>
      </c>
      <c r="L195" s="4" t="str">
        <f>HYPERLINK("http://141.218.60.56/~jnz1568/getInfo.php?workbook=07_01.xlsx&amp;sheet=A0&amp;row=195&amp;col=12&amp;number=3.371e-07&amp;sourceID=11","3.371e-07")</f>
        <v>3.371e-07</v>
      </c>
      <c r="M195" s="4" t="str">
        <f>HYPERLINK("http://141.218.60.56/~jnz1568/getInfo.php?workbook=07_01.xlsx&amp;sheet=A0&amp;row=195&amp;col=13&amp;number=86048&amp;sourceID=12","86048")</f>
        <v>86048</v>
      </c>
      <c r="N195" s="4" t="str">
        <f>HYPERLINK("http://141.218.60.56/~jnz1568/getInfo.php?workbook=07_01.xlsx&amp;sheet=A0&amp;row=195&amp;col=14&amp;number=&amp;sourceID=12","")</f>
        <v/>
      </c>
      <c r="O195" s="4" t="str">
        <f>HYPERLINK("http://141.218.60.56/~jnz1568/getInfo.php?workbook=07_01.xlsx&amp;sheet=A0&amp;row=195&amp;col=15&amp;number=86048&amp;sourceID=12","86048")</f>
        <v>86048</v>
      </c>
      <c r="P195" s="4" t="str">
        <f>HYPERLINK("http://141.218.60.56/~jnz1568/getInfo.php?workbook=07_01.xlsx&amp;sheet=A0&amp;row=195&amp;col=16&amp;number=&amp;sourceID=12","")</f>
        <v/>
      </c>
      <c r="Q195" s="4" t="str">
        <f>HYPERLINK("http://141.218.60.56/~jnz1568/getInfo.php?workbook=07_01.xlsx&amp;sheet=A0&amp;row=195&amp;col=17&amp;number=&amp;sourceID=12","")</f>
        <v/>
      </c>
      <c r="R195" s="4" t="str">
        <f>HYPERLINK("http://141.218.60.56/~jnz1568/getInfo.php?workbook=07_01.xlsx&amp;sheet=A0&amp;row=195&amp;col=18&amp;number=&amp;sourceID=12","")</f>
        <v/>
      </c>
      <c r="S195" s="4" t="str">
        <f>HYPERLINK("http://141.218.60.56/~jnz1568/getInfo.php?workbook=07_01.xlsx&amp;sheet=A0&amp;row=195&amp;col=19&amp;number=3.3711e-07&amp;sourceID=12","3.3711e-07")</f>
        <v>3.3711e-07</v>
      </c>
      <c r="T195" s="4" t="str">
        <f>HYPERLINK("http://141.218.60.56/~jnz1568/getInfo.php?workbook=07_01.xlsx&amp;sheet=A0&amp;row=195&amp;col=20&amp;number==&amp;sourceID=30","=")</f>
        <v>=</v>
      </c>
      <c r="U195" s="4" t="str">
        <f>HYPERLINK("http://141.218.60.56/~jnz1568/getInfo.php?workbook=07_01.xlsx&amp;sheet=A0&amp;row=195&amp;col=21&amp;number=&amp;sourceID=30","")</f>
        <v/>
      </c>
      <c r="V195" s="4" t="str">
        <f>HYPERLINK("http://141.218.60.56/~jnz1568/getInfo.php?workbook=07_01.xlsx&amp;sheet=A0&amp;row=195&amp;col=22&amp;number=86050&amp;sourceID=30","86050")</f>
        <v>86050</v>
      </c>
      <c r="W195" s="4" t="str">
        <f>HYPERLINK("http://141.218.60.56/~jnz1568/getInfo.php?workbook=07_01.xlsx&amp;sheet=A0&amp;row=195&amp;col=23&amp;number=&amp;sourceID=30","")</f>
        <v/>
      </c>
      <c r="X195" s="4" t="str">
        <f>HYPERLINK("http://141.218.60.56/~jnz1568/getInfo.php?workbook=07_01.xlsx&amp;sheet=A0&amp;row=195&amp;col=24&amp;number=&amp;sourceID=30","")</f>
        <v/>
      </c>
      <c r="Y195" s="4" t="str">
        <f>HYPERLINK("http://141.218.60.56/~jnz1568/getInfo.php?workbook=07_01.xlsx&amp;sheet=A0&amp;row=195&amp;col=25&amp;number=&amp;sourceID=13","")</f>
        <v/>
      </c>
      <c r="Z195" s="4" t="str">
        <f>HYPERLINK("http://141.218.60.56/~jnz1568/getInfo.php?workbook=07_01.xlsx&amp;sheet=A0&amp;row=195&amp;col=26&amp;number=&amp;sourceID=13","")</f>
        <v/>
      </c>
      <c r="AA195" s="4" t="str">
        <f>HYPERLINK("http://141.218.60.56/~jnz1568/getInfo.php?workbook=07_01.xlsx&amp;sheet=A0&amp;row=195&amp;col=27&amp;number=&amp;sourceID=13","")</f>
        <v/>
      </c>
      <c r="AB195" s="4" t="str">
        <f>HYPERLINK("http://141.218.60.56/~jnz1568/getInfo.php?workbook=07_01.xlsx&amp;sheet=A0&amp;row=195&amp;col=28&amp;number=&amp;sourceID=13","")</f>
        <v/>
      </c>
      <c r="AC195" s="4" t="str">
        <f>HYPERLINK("http://141.218.60.56/~jnz1568/getInfo.php?workbook=07_01.xlsx&amp;sheet=A0&amp;row=195&amp;col=29&amp;number=&amp;sourceID=13","")</f>
        <v/>
      </c>
      <c r="AD195" s="4" t="str">
        <f>HYPERLINK("http://141.218.60.56/~jnz1568/getInfo.php?workbook=07_01.xlsx&amp;sheet=A0&amp;row=195&amp;col=30&amp;number=&amp;sourceID=13","")</f>
        <v/>
      </c>
    </row>
    <row r="196" spans="1:30">
      <c r="A196" s="3">
        <v>7</v>
      </c>
      <c r="B196" s="3">
        <v>1</v>
      </c>
      <c r="C196" s="3">
        <v>21</v>
      </c>
      <c r="D196" s="3">
        <v>11</v>
      </c>
      <c r="E196" s="3">
        <f>((1/(INDEX(E0!J$4:J$28,C196,1)-INDEX(E0!J$4:J$28,D196,1))))*100000000</f>
        <v>0</v>
      </c>
      <c r="F196" s="4" t="str">
        <f>HYPERLINK("http://141.218.60.56/~jnz1568/getInfo.php?workbook=07_01.xlsx&amp;sheet=A0&amp;row=196&amp;col=6&amp;number==&amp;sourceID=11","=")</f>
        <v>=</v>
      </c>
      <c r="G196" s="4" t="str">
        <f>HYPERLINK("http://141.218.60.56/~jnz1568/getInfo.php?workbook=07_01.xlsx&amp;sheet=A0&amp;row=196&amp;col=7&amp;number=&amp;sourceID=11","")</f>
        <v/>
      </c>
      <c r="H196" s="4" t="str">
        <f>HYPERLINK("http://141.218.60.56/~jnz1568/getInfo.php?workbook=07_01.xlsx&amp;sheet=A0&amp;row=196&amp;col=8&amp;number=&amp;sourceID=11","")</f>
        <v/>
      </c>
      <c r="I196" s="4" t="str">
        <f>HYPERLINK("http://141.218.60.56/~jnz1568/getInfo.php?workbook=07_01.xlsx&amp;sheet=A0&amp;row=196&amp;col=9&amp;number=0.72033&amp;sourceID=11","0.72033")</f>
        <v>0.72033</v>
      </c>
      <c r="J196" s="4" t="str">
        <f>HYPERLINK("http://141.218.60.56/~jnz1568/getInfo.php?workbook=07_01.xlsx&amp;sheet=A0&amp;row=196&amp;col=10&amp;number=&amp;sourceID=11","")</f>
        <v/>
      </c>
      <c r="K196" s="4" t="str">
        <f>HYPERLINK("http://141.218.60.56/~jnz1568/getInfo.php?workbook=07_01.xlsx&amp;sheet=A0&amp;row=196&amp;col=11&amp;number=8.973e-11&amp;sourceID=11","8.973e-11")</f>
        <v>8.973e-11</v>
      </c>
      <c r="L196" s="4" t="str">
        <f>HYPERLINK("http://141.218.60.56/~jnz1568/getInfo.php?workbook=07_01.xlsx&amp;sheet=A0&amp;row=196&amp;col=12&amp;number=&amp;sourceID=11","")</f>
        <v/>
      </c>
      <c r="M196" s="4" t="str">
        <f>HYPERLINK("http://141.218.60.56/~jnz1568/getInfo.php?workbook=07_01.xlsx&amp;sheet=A0&amp;row=196&amp;col=13&amp;number=0.72035&amp;sourceID=12","0.72035")</f>
        <v>0.72035</v>
      </c>
      <c r="N196" s="4" t="str">
        <f>HYPERLINK("http://141.218.60.56/~jnz1568/getInfo.php?workbook=07_01.xlsx&amp;sheet=A0&amp;row=196&amp;col=14&amp;number=&amp;sourceID=12","")</f>
        <v/>
      </c>
      <c r="O196" s="4" t="str">
        <f>HYPERLINK("http://141.218.60.56/~jnz1568/getInfo.php?workbook=07_01.xlsx&amp;sheet=A0&amp;row=196&amp;col=15&amp;number=&amp;sourceID=12","")</f>
        <v/>
      </c>
      <c r="P196" s="4" t="str">
        <f>HYPERLINK("http://141.218.60.56/~jnz1568/getInfo.php?workbook=07_01.xlsx&amp;sheet=A0&amp;row=196&amp;col=16&amp;number=0.72035&amp;sourceID=12","0.72035")</f>
        <v>0.72035</v>
      </c>
      <c r="Q196" s="4" t="str">
        <f>HYPERLINK("http://141.218.60.56/~jnz1568/getInfo.php?workbook=07_01.xlsx&amp;sheet=A0&amp;row=196&amp;col=17&amp;number=&amp;sourceID=12","")</f>
        <v/>
      </c>
      <c r="R196" s="4" t="str">
        <f>HYPERLINK("http://141.218.60.56/~jnz1568/getInfo.php?workbook=07_01.xlsx&amp;sheet=A0&amp;row=196&amp;col=18&amp;number=8.9734e-11&amp;sourceID=12","8.9734e-11")</f>
        <v>8.9734e-11</v>
      </c>
      <c r="S196" s="4" t="str">
        <f>HYPERLINK("http://141.218.60.56/~jnz1568/getInfo.php?workbook=07_01.xlsx&amp;sheet=A0&amp;row=196&amp;col=19&amp;number=&amp;sourceID=12","")</f>
        <v/>
      </c>
      <c r="T196" s="4" t="str">
        <f>HYPERLINK("http://141.218.60.56/~jnz1568/getInfo.php?workbook=07_01.xlsx&amp;sheet=A0&amp;row=196&amp;col=20&amp;number==&amp;sourceID=30","=")</f>
        <v>=</v>
      </c>
      <c r="U196" s="4" t="str">
        <f>HYPERLINK("http://141.218.60.56/~jnz1568/getInfo.php?workbook=07_01.xlsx&amp;sheet=A0&amp;row=196&amp;col=21&amp;number=&amp;sourceID=30","")</f>
        <v/>
      </c>
      <c r="V196" s="4" t="str">
        <f>HYPERLINK("http://141.218.60.56/~jnz1568/getInfo.php?workbook=07_01.xlsx&amp;sheet=A0&amp;row=196&amp;col=22&amp;number=&amp;sourceID=30","")</f>
        <v/>
      </c>
      <c r="W196" s="4" t="str">
        <f>HYPERLINK("http://141.218.60.56/~jnz1568/getInfo.php?workbook=07_01.xlsx&amp;sheet=A0&amp;row=196&amp;col=23&amp;number=&amp;sourceID=30","")</f>
        <v/>
      </c>
      <c r="X196" s="4" t="str">
        <f>HYPERLINK("http://141.218.60.56/~jnz1568/getInfo.php?workbook=07_01.xlsx&amp;sheet=A0&amp;row=196&amp;col=24&amp;number=8.966e-11&amp;sourceID=30","8.966e-11")</f>
        <v>8.966e-11</v>
      </c>
      <c r="Y196" s="4" t="str">
        <f>HYPERLINK("http://141.218.60.56/~jnz1568/getInfo.php?workbook=07_01.xlsx&amp;sheet=A0&amp;row=196&amp;col=25&amp;number=&amp;sourceID=13","")</f>
        <v/>
      </c>
      <c r="Z196" s="4" t="str">
        <f>HYPERLINK("http://141.218.60.56/~jnz1568/getInfo.php?workbook=07_01.xlsx&amp;sheet=A0&amp;row=196&amp;col=26&amp;number=&amp;sourceID=13","")</f>
        <v/>
      </c>
      <c r="AA196" s="4" t="str">
        <f>HYPERLINK("http://141.218.60.56/~jnz1568/getInfo.php?workbook=07_01.xlsx&amp;sheet=A0&amp;row=196&amp;col=27&amp;number=&amp;sourceID=13","")</f>
        <v/>
      </c>
      <c r="AB196" s="4" t="str">
        <f>HYPERLINK("http://141.218.60.56/~jnz1568/getInfo.php?workbook=07_01.xlsx&amp;sheet=A0&amp;row=196&amp;col=28&amp;number=&amp;sourceID=13","")</f>
        <v/>
      </c>
      <c r="AC196" s="4" t="str">
        <f>HYPERLINK("http://141.218.60.56/~jnz1568/getInfo.php?workbook=07_01.xlsx&amp;sheet=A0&amp;row=196&amp;col=29&amp;number=&amp;sourceID=13","")</f>
        <v/>
      </c>
      <c r="AD196" s="4" t="str">
        <f>HYPERLINK("http://141.218.60.56/~jnz1568/getInfo.php?workbook=07_01.xlsx&amp;sheet=A0&amp;row=196&amp;col=30&amp;number=&amp;sourceID=13","")</f>
        <v/>
      </c>
    </row>
    <row r="197" spans="1:30">
      <c r="A197" s="3">
        <v>7</v>
      </c>
      <c r="B197" s="3">
        <v>1</v>
      </c>
      <c r="C197" s="3">
        <v>21</v>
      </c>
      <c r="D197" s="3">
        <v>12</v>
      </c>
      <c r="E197" s="3">
        <f>((1/(INDEX(E0!J$4:J$28,C197,1)-INDEX(E0!J$4:J$28,D197,1))))*100000000</f>
        <v>0</v>
      </c>
      <c r="F197" s="4" t="str">
        <f>HYPERLINK("http://141.218.60.56/~jnz1568/getInfo.php?workbook=07_01.xlsx&amp;sheet=A0&amp;row=197&amp;col=6&amp;number==&amp;sourceID=11","=")</f>
        <v>=</v>
      </c>
      <c r="G197" s="4" t="str">
        <f>HYPERLINK("http://141.218.60.56/~jnz1568/getInfo.php?workbook=07_01.xlsx&amp;sheet=A0&amp;row=197&amp;col=7&amp;number=5795200000&amp;sourceID=11","5795200000")</f>
        <v>5795200000</v>
      </c>
      <c r="H197" s="4" t="str">
        <f>HYPERLINK("http://141.218.60.56/~jnz1568/getInfo.php?workbook=07_01.xlsx&amp;sheet=A0&amp;row=197&amp;col=8&amp;number=&amp;sourceID=11","")</f>
        <v/>
      </c>
      <c r="I197" s="4" t="str">
        <f>HYPERLINK("http://141.218.60.56/~jnz1568/getInfo.php?workbook=07_01.xlsx&amp;sheet=A0&amp;row=197&amp;col=9&amp;number=0.27591&amp;sourceID=11","0.27591")</f>
        <v>0.27591</v>
      </c>
      <c r="J197" s="4" t="str">
        <f>HYPERLINK("http://141.218.60.56/~jnz1568/getInfo.php?workbook=07_01.xlsx&amp;sheet=A0&amp;row=197&amp;col=10&amp;number=&amp;sourceID=11","")</f>
        <v/>
      </c>
      <c r="K197" s="4" t="str">
        <f>HYPERLINK("http://141.218.60.56/~jnz1568/getInfo.php?workbook=07_01.xlsx&amp;sheet=A0&amp;row=197&amp;col=11&amp;number=0.22309&amp;sourceID=11","0.22309")</f>
        <v>0.22309</v>
      </c>
      <c r="L197" s="4" t="str">
        <f>HYPERLINK("http://141.218.60.56/~jnz1568/getInfo.php?workbook=07_01.xlsx&amp;sheet=A0&amp;row=197&amp;col=12&amp;number=&amp;sourceID=11","")</f>
        <v/>
      </c>
      <c r="M197" s="4" t="str">
        <f>HYPERLINK("http://141.218.60.56/~jnz1568/getInfo.php?workbook=07_01.xlsx&amp;sheet=A0&amp;row=197&amp;col=13&amp;number=5795400000&amp;sourceID=12","5795400000")</f>
        <v>5795400000</v>
      </c>
      <c r="N197" s="4" t="str">
        <f>HYPERLINK("http://141.218.60.56/~jnz1568/getInfo.php?workbook=07_01.xlsx&amp;sheet=A0&amp;row=197&amp;col=14&amp;number=5795400000&amp;sourceID=12","5795400000")</f>
        <v>5795400000</v>
      </c>
      <c r="O197" s="4" t="str">
        <f>HYPERLINK("http://141.218.60.56/~jnz1568/getInfo.php?workbook=07_01.xlsx&amp;sheet=A0&amp;row=197&amp;col=15&amp;number=&amp;sourceID=12","")</f>
        <v/>
      </c>
      <c r="P197" s="4" t="str">
        <f>HYPERLINK("http://141.218.60.56/~jnz1568/getInfo.php?workbook=07_01.xlsx&amp;sheet=A0&amp;row=197&amp;col=16&amp;number=0.27592&amp;sourceID=12","0.27592")</f>
        <v>0.27592</v>
      </c>
      <c r="Q197" s="4" t="str">
        <f>HYPERLINK("http://141.218.60.56/~jnz1568/getInfo.php?workbook=07_01.xlsx&amp;sheet=A0&amp;row=197&amp;col=17&amp;number=&amp;sourceID=12","")</f>
        <v/>
      </c>
      <c r="R197" s="4" t="str">
        <f>HYPERLINK("http://141.218.60.56/~jnz1568/getInfo.php?workbook=07_01.xlsx&amp;sheet=A0&amp;row=197&amp;col=18&amp;number=0.2231&amp;sourceID=12","0.2231")</f>
        <v>0.2231</v>
      </c>
      <c r="S197" s="4" t="str">
        <f>HYPERLINK("http://141.218.60.56/~jnz1568/getInfo.php?workbook=07_01.xlsx&amp;sheet=A0&amp;row=197&amp;col=19&amp;number=&amp;sourceID=12","")</f>
        <v/>
      </c>
      <c r="T197" s="4" t="str">
        <f>HYPERLINK("http://141.218.60.56/~jnz1568/getInfo.php?workbook=07_01.xlsx&amp;sheet=A0&amp;row=197&amp;col=20&amp;number==&amp;sourceID=30","=")</f>
        <v>=</v>
      </c>
      <c r="U197" s="4" t="str">
        <f>HYPERLINK("http://141.218.60.56/~jnz1568/getInfo.php?workbook=07_01.xlsx&amp;sheet=A0&amp;row=197&amp;col=21&amp;number=5795000000&amp;sourceID=30","5795000000")</f>
        <v>5795000000</v>
      </c>
      <c r="V197" s="4" t="str">
        <f>HYPERLINK("http://141.218.60.56/~jnz1568/getInfo.php?workbook=07_01.xlsx&amp;sheet=A0&amp;row=197&amp;col=22&amp;number=&amp;sourceID=30","")</f>
        <v/>
      </c>
      <c r="W197" s="4" t="str">
        <f>HYPERLINK("http://141.218.60.56/~jnz1568/getInfo.php?workbook=07_01.xlsx&amp;sheet=A0&amp;row=197&amp;col=23&amp;number=&amp;sourceID=30","")</f>
        <v/>
      </c>
      <c r="X197" s="4" t="str">
        <f>HYPERLINK("http://141.218.60.56/~jnz1568/getInfo.php?workbook=07_01.xlsx&amp;sheet=A0&amp;row=197&amp;col=24&amp;number=0.2231&amp;sourceID=30","0.2231")</f>
        <v>0.2231</v>
      </c>
      <c r="Y197" s="4" t="str">
        <f>HYPERLINK("http://141.218.60.56/~jnz1568/getInfo.php?workbook=07_01.xlsx&amp;sheet=A0&amp;row=197&amp;col=25&amp;number=&amp;sourceID=13","")</f>
        <v/>
      </c>
      <c r="Z197" s="4" t="str">
        <f>HYPERLINK("http://141.218.60.56/~jnz1568/getInfo.php?workbook=07_01.xlsx&amp;sheet=A0&amp;row=197&amp;col=26&amp;number=&amp;sourceID=13","")</f>
        <v/>
      </c>
      <c r="AA197" s="4" t="str">
        <f>HYPERLINK("http://141.218.60.56/~jnz1568/getInfo.php?workbook=07_01.xlsx&amp;sheet=A0&amp;row=197&amp;col=27&amp;number=&amp;sourceID=13","")</f>
        <v/>
      </c>
      <c r="AB197" s="4" t="str">
        <f>HYPERLINK("http://141.218.60.56/~jnz1568/getInfo.php?workbook=07_01.xlsx&amp;sheet=A0&amp;row=197&amp;col=28&amp;number=&amp;sourceID=13","")</f>
        <v/>
      </c>
      <c r="AC197" s="4" t="str">
        <f>HYPERLINK("http://141.218.60.56/~jnz1568/getInfo.php?workbook=07_01.xlsx&amp;sheet=A0&amp;row=197&amp;col=29&amp;number=&amp;sourceID=13","")</f>
        <v/>
      </c>
      <c r="AD197" s="4" t="str">
        <f>HYPERLINK("http://141.218.60.56/~jnz1568/getInfo.php?workbook=07_01.xlsx&amp;sheet=A0&amp;row=197&amp;col=30&amp;number=&amp;sourceID=13","")</f>
        <v/>
      </c>
    </row>
    <row r="198" spans="1:30">
      <c r="A198" s="3">
        <v>7</v>
      </c>
      <c r="B198" s="3">
        <v>1</v>
      </c>
      <c r="C198" s="3">
        <v>21</v>
      </c>
      <c r="D198" s="3">
        <v>13</v>
      </c>
      <c r="E198" s="3">
        <f>((1/(INDEX(E0!J$4:J$28,C198,1)-INDEX(E0!J$4:J$28,D198,1))))*100000000</f>
        <v>0</v>
      </c>
      <c r="F198" s="4" t="str">
        <f>HYPERLINK("http://141.218.60.56/~jnz1568/getInfo.php?workbook=07_01.xlsx&amp;sheet=A0&amp;row=198&amp;col=6&amp;number==SUM(G198:L198)&amp;sourceID=11","=SUM(G198:L198)")</f>
        <v>=SUM(G198:L198)</v>
      </c>
      <c r="G198" s="4" t="str">
        <f>HYPERLINK("http://141.218.60.56/~jnz1568/getInfo.php?workbook=07_01.xlsx&amp;sheet=A0&amp;row=198&amp;col=7&amp;number=&amp;sourceID=11","")</f>
        <v/>
      </c>
      <c r="H198" s="4" t="str">
        <f>HYPERLINK("http://141.218.60.56/~jnz1568/getInfo.php?workbook=07_01.xlsx&amp;sheet=A0&amp;row=198&amp;col=8&amp;number=24523&amp;sourceID=11","24523")</f>
        <v>24523</v>
      </c>
      <c r="I198" s="4" t="str">
        <f>HYPERLINK("http://141.218.60.56/~jnz1568/getInfo.php?workbook=07_01.xlsx&amp;sheet=A0&amp;row=198&amp;col=9&amp;number=&amp;sourceID=11","")</f>
        <v/>
      </c>
      <c r="J198" s="4" t="str">
        <f>HYPERLINK("http://141.218.60.56/~jnz1568/getInfo.php?workbook=07_01.xlsx&amp;sheet=A0&amp;row=198&amp;col=10&amp;number=1.0503e-05&amp;sourceID=11","1.0503e-05")</f>
        <v>1.0503e-05</v>
      </c>
      <c r="K198" s="4" t="str">
        <f>HYPERLINK("http://141.218.60.56/~jnz1568/getInfo.php?workbook=07_01.xlsx&amp;sheet=A0&amp;row=198&amp;col=11&amp;number=&amp;sourceID=11","")</f>
        <v/>
      </c>
      <c r="L198" s="4" t="str">
        <f>HYPERLINK("http://141.218.60.56/~jnz1568/getInfo.php?workbook=07_01.xlsx&amp;sheet=A0&amp;row=198&amp;col=12&amp;number=6.714e-08&amp;sourceID=11","6.714e-08")</f>
        <v>6.714e-08</v>
      </c>
      <c r="M198" s="4" t="str">
        <f>HYPERLINK("http://141.218.60.56/~jnz1568/getInfo.php?workbook=07_01.xlsx&amp;sheet=A0&amp;row=198&amp;col=13&amp;number=24524&amp;sourceID=12","24524")</f>
        <v>24524</v>
      </c>
      <c r="N198" s="4" t="str">
        <f>HYPERLINK("http://141.218.60.56/~jnz1568/getInfo.php?workbook=07_01.xlsx&amp;sheet=A0&amp;row=198&amp;col=14&amp;number=&amp;sourceID=12","")</f>
        <v/>
      </c>
      <c r="O198" s="4" t="str">
        <f>HYPERLINK("http://141.218.60.56/~jnz1568/getInfo.php?workbook=07_01.xlsx&amp;sheet=A0&amp;row=198&amp;col=15&amp;number=24524&amp;sourceID=12","24524")</f>
        <v>24524</v>
      </c>
      <c r="P198" s="4" t="str">
        <f>HYPERLINK("http://141.218.60.56/~jnz1568/getInfo.php?workbook=07_01.xlsx&amp;sheet=A0&amp;row=198&amp;col=16&amp;number=&amp;sourceID=12","")</f>
        <v/>
      </c>
      <c r="Q198" s="4" t="str">
        <f>HYPERLINK("http://141.218.60.56/~jnz1568/getInfo.php?workbook=07_01.xlsx&amp;sheet=A0&amp;row=198&amp;col=17&amp;number=1.0503e-05&amp;sourceID=12","1.0503e-05")</f>
        <v>1.0503e-05</v>
      </c>
      <c r="R198" s="4" t="str">
        <f>HYPERLINK("http://141.218.60.56/~jnz1568/getInfo.php?workbook=07_01.xlsx&amp;sheet=A0&amp;row=198&amp;col=18&amp;number=&amp;sourceID=12","")</f>
        <v/>
      </c>
      <c r="S198" s="4" t="str">
        <f>HYPERLINK("http://141.218.60.56/~jnz1568/getInfo.php?workbook=07_01.xlsx&amp;sheet=A0&amp;row=198&amp;col=19&amp;number=6.7143e-08&amp;sourceID=12","6.7143e-08")</f>
        <v>6.7143e-08</v>
      </c>
      <c r="T198" s="4" t="str">
        <f>HYPERLINK("http://141.218.60.56/~jnz1568/getInfo.php?workbook=07_01.xlsx&amp;sheet=A0&amp;row=198&amp;col=20&amp;number==&amp;sourceID=30","=")</f>
        <v>=</v>
      </c>
      <c r="U198" s="4" t="str">
        <f>HYPERLINK("http://141.218.60.56/~jnz1568/getInfo.php?workbook=07_01.xlsx&amp;sheet=A0&amp;row=198&amp;col=21&amp;number=&amp;sourceID=30","")</f>
        <v/>
      </c>
      <c r="V198" s="4" t="str">
        <f>HYPERLINK("http://141.218.60.56/~jnz1568/getInfo.php?workbook=07_01.xlsx&amp;sheet=A0&amp;row=198&amp;col=22&amp;number=24520&amp;sourceID=30","24520")</f>
        <v>24520</v>
      </c>
      <c r="W198" s="4" t="str">
        <f>HYPERLINK("http://141.218.60.56/~jnz1568/getInfo.php?workbook=07_01.xlsx&amp;sheet=A0&amp;row=198&amp;col=23&amp;number=1.05e-05&amp;sourceID=30","1.05e-05")</f>
        <v>1.05e-05</v>
      </c>
      <c r="X198" s="4" t="str">
        <f>HYPERLINK("http://141.218.60.56/~jnz1568/getInfo.php?workbook=07_01.xlsx&amp;sheet=A0&amp;row=198&amp;col=24&amp;number=&amp;sourceID=30","")</f>
        <v/>
      </c>
      <c r="Y198" s="4" t="str">
        <f>HYPERLINK("http://141.218.60.56/~jnz1568/getInfo.php?workbook=07_01.xlsx&amp;sheet=A0&amp;row=198&amp;col=25&amp;number=&amp;sourceID=13","")</f>
        <v/>
      </c>
      <c r="Z198" s="4" t="str">
        <f>HYPERLINK("http://141.218.60.56/~jnz1568/getInfo.php?workbook=07_01.xlsx&amp;sheet=A0&amp;row=198&amp;col=26&amp;number=&amp;sourceID=13","")</f>
        <v/>
      </c>
      <c r="AA198" s="4" t="str">
        <f>HYPERLINK("http://141.218.60.56/~jnz1568/getInfo.php?workbook=07_01.xlsx&amp;sheet=A0&amp;row=198&amp;col=27&amp;number=&amp;sourceID=13","")</f>
        <v/>
      </c>
      <c r="AB198" s="4" t="str">
        <f>HYPERLINK("http://141.218.60.56/~jnz1568/getInfo.php?workbook=07_01.xlsx&amp;sheet=A0&amp;row=198&amp;col=28&amp;number=&amp;sourceID=13","")</f>
        <v/>
      </c>
      <c r="AC198" s="4" t="str">
        <f>HYPERLINK("http://141.218.60.56/~jnz1568/getInfo.php?workbook=07_01.xlsx&amp;sheet=A0&amp;row=198&amp;col=29&amp;number=&amp;sourceID=13","")</f>
        <v/>
      </c>
      <c r="AD198" s="4" t="str">
        <f>HYPERLINK("http://141.218.60.56/~jnz1568/getInfo.php?workbook=07_01.xlsx&amp;sheet=A0&amp;row=198&amp;col=30&amp;number=&amp;sourceID=13","")</f>
        <v/>
      </c>
    </row>
    <row r="199" spans="1:30">
      <c r="A199" s="3">
        <v>7</v>
      </c>
      <c r="B199" s="3">
        <v>1</v>
      </c>
      <c r="C199" s="3">
        <v>21</v>
      </c>
      <c r="D199" s="3">
        <v>14</v>
      </c>
      <c r="E199" s="3">
        <f>((1/(INDEX(E0!J$4:J$28,C199,1)-INDEX(E0!J$4:J$28,D199,1))))*100000000</f>
        <v>0</v>
      </c>
      <c r="F199" s="4" t="str">
        <f>HYPERLINK("http://141.218.60.56/~jnz1568/getInfo.php?workbook=07_01.xlsx&amp;sheet=A0&amp;row=199&amp;col=6&amp;number==&amp;sourceID=11","=")</f>
        <v>=</v>
      </c>
      <c r="G199" s="4" t="str">
        <f>HYPERLINK("http://141.218.60.56/~jnz1568/getInfo.php?workbook=07_01.xlsx&amp;sheet=A0&amp;row=199&amp;col=7&amp;number=&amp;sourceID=11","")</f>
        <v/>
      </c>
      <c r="H199" s="4" t="str">
        <f>HYPERLINK("http://141.218.60.56/~jnz1568/getInfo.php?workbook=07_01.xlsx&amp;sheet=A0&amp;row=199&amp;col=8&amp;number=15429&amp;sourceID=11","15429")</f>
        <v>15429</v>
      </c>
      <c r="I199" s="4" t="str">
        <f>HYPERLINK("http://141.218.60.56/~jnz1568/getInfo.php?workbook=07_01.xlsx&amp;sheet=A0&amp;row=199&amp;col=9&amp;number=&amp;sourceID=11","")</f>
        <v/>
      </c>
      <c r="J199" s="4" t="str">
        <f>HYPERLINK("http://141.218.60.56/~jnz1568/getInfo.php?workbook=07_01.xlsx&amp;sheet=A0&amp;row=199&amp;col=10&amp;number=0.00036209&amp;sourceID=11","0.00036209")</f>
        <v>0.00036209</v>
      </c>
      <c r="K199" s="4" t="str">
        <f>HYPERLINK("http://141.218.60.56/~jnz1568/getInfo.php?workbook=07_01.xlsx&amp;sheet=A0&amp;row=199&amp;col=11&amp;number=&amp;sourceID=11","")</f>
        <v/>
      </c>
      <c r="L199" s="4" t="str">
        <f>HYPERLINK("http://141.218.60.56/~jnz1568/getInfo.php?workbook=07_01.xlsx&amp;sheet=A0&amp;row=199&amp;col=12&amp;number=5.6988e-07&amp;sourceID=11","5.6988e-07")</f>
        <v>5.6988e-07</v>
      </c>
      <c r="M199" s="4" t="str">
        <f>HYPERLINK("http://141.218.60.56/~jnz1568/getInfo.php?workbook=07_01.xlsx&amp;sheet=A0&amp;row=199&amp;col=13&amp;number=15429&amp;sourceID=12","15429")</f>
        <v>15429</v>
      </c>
      <c r="N199" s="4" t="str">
        <f>HYPERLINK("http://141.218.60.56/~jnz1568/getInfo.php?workbook=07_01.xlsx&amp;sheet=A0&amp;row=199&amp;col=14&amp;number=&amp;sourceID=12","")</f>
        <v/>
      </c>
      <c r="O199" s="4" t="str">
        <f>HYPERLINK("http://141.218.60.56/~jnz1568/getInfo.php?workbook=07_01.xlsx&amp;sheet=A0&amp;row=199&amp;col=15&amp;number=15429&amp;sourceID=12","15429")</f>
        <v>15429</v>
      </c>
      <c r="P199" s="4" t="str">
        <f>HYPERLINK("http://141.218.60.56/~jnz1568/getInfo.php?workbook=07_01.xlsx&amp;sheet=A0&amp;row=199&amp;col=16&amp;number=&amp;sourceID=12","")</f>
        <v/>
      </c>
      <c r="Q199" s="4" t="str">
        <f>HYPERLINK("http://141.218.60.56/~jnz1568/getInfo.php?workbook=07_01.xlsx&amp;sheet=A0&amp;row=199&amp;col=17&amp;number=0.0003621&amp;sourceID=12","0.0003621")</f>
        <v>0.0003621</v>
      </c>
      <c r="R199" s="4" t="str">
        <f>HYPERLINK("http://141.218.60.56/~jnz1568/getInfo.php?workbook=07_01.xlsx&amp;sheet=A0&amp;row=199&amp;col=18&amp;number=&amp;sourceID=12","")</f>
        <v/>
      </c>
      <c r="S199" s="4" t="str">
        <f>HYPERLINK("http://141.218.60.56/~jnz1568/getInfo.php?workbook=07_01.xlsx&amp;sheet=A0&amp;row=199&amp;col=19&amp;number=5.699e-07&amp;sourceID=12","5.699e-07")</f>
        <v>5.699e-07</v>
      </c>
      <c r="T199" s="4" t="str">
        <f>HYPERLINK("http://141.218.60.56/~jnz1568/getInfo.php?workbook=07_01.xlsx&amp;sheet=A0&amp;row=199&amp;col=20&amp;number==&amp;sourceID=30","=")</f>
        <v>=</v>
      </c>
      <c r="U199" s="4" t="str">
        <f>HYPERLINK("http://141.218.60.56/~jnz1568/getInfo.php?workbook=07_01.xlsx&amp;sheet=A0&amp;row=199&amp;col=21&amp;number=&amp;sourceID=30","")</f>
        <v/>
      </c>
      <c r="V199" s="4" t="str">
        <f>HYPERLINK("http://141.218.60.56/~jnz1568/getInfo.php?workbook=07_01.xlsx&amp;sheet=A0&amp;row=199&amp;col=22&amp;number=15430&amp;sourceID=30","15430")</f>
        <v>15430</v>
      </c>
      <c r="W199" s="4" t="str">
        <f>HYPERLINK("http://141.218.60.56/~jnz1568/getInfo.php?workbook=07_01.xlsx&amp;sheet=A0&amp;row=199&amp;col=23&amp;number=0.0003623&amp;sourceID=30","0.0003623")</f>
        <v>0.0003623</v>
      </c>
      <c r="X199" s="4" t="str">
        <f>HYPERLINK("http://141.218.60.56/~jnz1568/getInfo.php?workbook=07_01.xlsx&amp;sheet=A0&amp;row=199&amp;col=24&amp;number=&amp;sourceID=30","")</f>
        <v/>
      </c>
      <c r="Y199" s="4" t="str">
        <f>HYPERLINK("http://141.218.60.56/~jnz1568/getInfo.php?workbook=07_01.xlsx&amp;sheet=A0&amp;row=199&amp;col=25&amp;number=&amp;sourceID=13","")</f>
        <v/>
      </c>
      <c r="Z199" s="4" t="str">
        <f>HYPERLINK("http://141.218.60.56/~jnz1568/getInfo.php?workbook=07_01.xlsx&amp;sheet=A0&amp;row=199&amp;col=26&amp;number=&amp;sourceID=13","")</f>
        <v/>
      </c>
      <c r="AA199" s="4" t="str">
        <f>HYPERLINK("http://141.218.60.56/~jnz1568/getInfo.php?workbook=07_01.xlsx&amp;sheet=A0&amp;row=199&amp;col=27&amp;number=&amp;sourceID=13","")</f>
        <v/>
      </c>
      <c r="AB199" s="4" t="str">
        <f>HYPERLINK("http://141.218.60.56/~jnz1568/getInfo.php?workbook=07_01.xlsx&amp;sheet=A0&amp;row=199&amp;col=28&amp;number=&amp;sourceID=13","")</f>
        <v/>
      </c>
      <c r="AC199" s="4" t="str">
        <f>HYPERLINK("http://141.218.60.56/~jnz1568/getInfo.php?workbook=07_01.xlsx&amp;sheet=A0&amp;row=199&amp;col=29&amp;number=&amp;sourceID=13","")</f>
        <v/>
      </c>
      <c r="AD199" s="4" t="str">
        <f>HYPERLINK("http://141.218.60.56/~jnz1568/getInfo.php?workbook=07_01.xlsx&amp;sheet=A0&amp;row=199&amp;col=30&amp;number=&amp;sourceID=13","")</f>
        <v/>
      </c>
    </row>
    <row r="200" spans="1:30">
      <c r="A200" s="3">
        <v>7</v>
      </c>
      <c r="B200" s="3">
        <v>1</v>
      </c>
      <c r="C200" s="3">
        <v>21</v>
      </c>
      <c r="D200" s="3">
        <v>15</v>
      </c>
      <c r="E200" s="3">
        <f>((1/(INDEX(E0!J$4:J$28,C200,1)-INDEX(E0!J$4:J$28,D200,1))))*100000000</f>
        <v>0</v>
      </c>
      <c r="F200" s="4" t="str">
        <f>HYPERLINK("http://141.218.60.56/~jnz1568/getInfo.php?workbook=07_01.xlsx&amp;sheet=A0&amp;row=200&amp;col=6&amp;number==&amp;sourceID=11","=")</f>
        <v>=</v>
      </c>
      <c r="G200" s="4" t="str">
        <f>HYPERLINK("http://141.218.60.56/~jnz1568/getInfo.php?workbook=07_01.xlsx&amp;sheet=A0&amp;row=200&amp;col=7&amp;number=413930000&amp;sourceID=11","413930000")</f>
        <v>413930000</v>
      </c>
      <c r="H200" s="4" t="str">
        <f>HYPERLINK("http://141.218.60.56/~jnz1568/getInfo.php?workbook=07_01.xlsx&amp;sheet=A0&amp;row=200&amp;col=8&amp;number=&amp;sourceID=11","")</f>
        <v/>
      </c>
      <c r="I200" s="4" t="str">
        <f>HYPERLINK("http://141.218.60.56/~jnz1568/getInfo.php?workbook=07_01.xlsx&amp;sheet=A0&amp;row=200&amp;col=9&amp;number=0.1837&amp;sourceID=11","0.1837")</f>
        <v>0.1837</v>
      </c>
      <c r="J200" s="4" t="str">
        <f>HYPERLINK("http://141.218.60.56/~jnz1568/getInfo.php?workbook=07_01.xlsx&amp;sheet=A0&amp;row=200&amp;col=10&amp;number=&amp;sourceID=11","")</f>
        <v/>
      </c>
      <c r="K200" s="4" t="str">
        <f>HYPERLINK("http://141.218.60.56/~jnz1568/getInfo.php?workbook=07_01.xlsx&amp;sheet=A0&amp;row=200&amp;col=11&amp;number=&amp;sourceID=11","")</f>
        <v/>
      </c>
      <c r="L200" s="4" t="str">
        <f>HYPERLINK("http://141.218.60.56/~jnz1568/getInfo.php?workbook=07_01.xlsx&amp;sheet=A0&amp;row=200&amp;col=12&amp;number=&amp;sourceID=11","")</f>
        <v/>
      </c>
      <c r="M200" s="4" t="str">
        <f>HYPERLINK("http://141.218.60.56/~jnz1568/getInfo.php?workbook=07_01.xlsx&amp;sheet=A0&amp;row=200&amp;col=13&amp;number=413950000&amp;sourceID=12","413950000")</f>
        <v>413950000</v>
      </c>
      <c r="N200" s="4" t="str">
        <f>HYPERLINK("http://141.218.60.56/~jnz1568/getInfo.php?workbook=07_01.xlsx&amp;sheet=A0&amp;row=200&amp;col=14&amp;number=413950000&amp;sourceID=12","413950000")</f>
        <v>413950000</v>
      </c>
      <c r="O200" s="4" t="str">
        <f>HYPERLINK("http://141.218.60.56/~jnz1568/getInfo.php?workbook=07_01.xlsx&amp;sheet=A0&amp;row=200&amp;col=15&amp;number=&amp;sourceID=12","")</f>
        <v/>
      </c>
      <c r="P200" s="4" t="str">
        <f>HYPERLINK("http://141.218.60.56/~jnz1568/getInfo.php?workbook=07_01.xlsx&amp;sheet=A0&amp;row=200&amp;col=16&amp;number=0.18371&amp;sourceID=12","0.18371")</f>
        <v>0.18371</v>
      </c>
      <c r="Q200" s="4" t="str">
        <f>HYPERLINK("http://141.218.60.56/~jnz1568/getInfo.php?workbook=07_01.xlsx&amp;sheet=A0&amp;row=200&amp;col=17&amp;number=&amp;sourceID=12","")</f>
        <v/>
      </c>
      <c r="R200" s="4" t="str">
        <f>HYPERLINK("http://141.218.60.56/~jnz1568/getInfo.php?workbook=07_01.xlsx&amp;sheet=A0&amp;row=200&amp;col=18&amp;number=&amp;sourceID=12","")</f>
        <v/>
      </c>
      <c r="S200" s="4" t="str">
        <f>HYPERLINK("http://141.218.60.56/~jnz1568/getInfo.php?workbook=07_01.xlsx&amp;sheet=A0&amp;row=200&amp;col=19&amp;number=&amp;sourceID=12","")</f>
        <v/>
      </c>
      <c r="T200" s="4" t="str">
        <f>HYPERLINK("http://141.218.60.56/~jnz1568/getInfo.php?workbook=07_01.xlsx&amp;sheet=A0&amp;row=200&amp;col=20&amp;number==&amp;sourceID=30","=")</f>
        <v>=</v>
      </c>
      <c r="U200" s="4" t="str">
        <f>HYPERLINK("http://141.218.60.56/~jnz1568/getInfo.php?workbook=07_01.xlsx&amp;sheet=A0&amp;row=200&amp;col=21&amp;number=414000000&amp;sourceID=30","414000000")</f>
        <v>414000000</v>
      </c>
      <c r="V200" s="4" t="str">
        <f>HYPERLINK("http://141.218.60.56/~jnz1568/getInfo.php?workbook=07_01.xlsx&amp;sheet=A0&amp;row=200&amp;col=22&amp;number=&amp;sourceID=30","")</f>
        <v/>
      </c>
      <c r="W200" s="4" t="str">
        <f>HYPERLINK("http://141.218.60.56/~jnz1568/getInfo.php?workbook=07_01.xlsx&amp;sheet=A0&amp;row=200&amp;col=23&amp;number=&amp;sourceID=30","")</f>
        <v/>
      </c>
      <c r="X200" s="4" t="str">
        <f>HYPERLINK("http://141.218.60.56/~jnz1568/getInfo.php?workbook=07_01.xlsx&amp;sheet=A0&amp;row=200&amp;col=24&amp;number=&amp;sourceID=30","")</f>
        <v/>
      </c>
      <c r="Y200" s="4" t="str">
        <f>HYPERLINK("http://141.218.60.56/~jnz1568/getInfo.php?workbook=07_01.xlsx&amp;sheet=A0&amp;row=200&amp;col=25&amp;number=&amp;sourceID=13","")</f>
        <v/>
      </c>
      <c r="Z200" s="4" t="str">
        <f>HYPERLINK("http://141.218.60.56/~jnz1568/getInfo.php?workbook=07_01.xlsx&amp;sheet=A0&amp;row=200&amp;col=26&amp;number=&amp;sourceID=13","")</f>
        <v/>
      </c>
      <c r="AA200" s="4" t="str">
        <f>HYPERLINK("http://141.218.60.56/~jnz1568/getInfo.php?workbook=07_01.xlsx&amp;sheet=A0&amp;row=200&amp;col=27&amp;number=&amp;sourceID=13","")</f>
        <v/>
      </c>
      <c r="AB200" s="4" t="str">
        <f>HYPERLINK("http://141.218.60.56/~jnz1568/getInfo.php?workbook=07_01.xlsx&amp;sheet=A0&amp;row=200&amp;col=28&amp;number=&amp;sourceID=13","")</f>
        <v/>
      </c>
      <c r="AC200" s="4" t="str">
        <f>HYPERLINK("http://141.218.60.56/~jnz1568/getInfo.php?workbook=07_01.xlsx&amp;sheet=A0&amp;row=200&amp;col=29&amp;number=&amp;sourceID=13","")</f>
        <v/>
      </c>
      <c r="AD200" s="4" t="str">
        <f>HYPERLINK("http://141.218.60.56/~jnz1568/getInfo.php?workbook=07_01.xlsx&amp;sheet=A0&amp;row=200&amp;col=30&amp;number=&amp;sourceID=13","")</f>
        <v/>
      </c>
    </row>
    <row r="201" spans="1:30">
      <c r="A201" s="3">
        <v>7</v>
      </c>
      <c r="B201" s="3">
        <v>1</v>
      </c>
      <c r="C201" s="3">
        <v>21</v>
      </c>
      <c r="D201" s="3">
        <v>16</v>
      </c>
      <c r="E201" s="3">
        <f>((1/(INDEX(E0!J$4:J$28,C201,1)-INDEX(E0!J$4:J$28,D201,1))))*100000000</f>
        <v>0</v>
      </c>
      <c r="F201" s="4" t="str">
        <f>HYPERLINK("http://141.218.60.56/~jnz1568/getInfo.php?workbook=07_01.xlsx&amp;sheet=A0&amp;row=201&amp;col=6&amp;number==&amp;sourceID=11","=")</f>
        <v>=</v>
      </c>
      <c r="G201" s="4" t="str">
        <f>HYPERLINK("http://141.218.60.56/~jnz1568/getInfo.php?workbook=07_01.xlsx&amp;sheet=A0&amp;row=201&amp;col=7&amp;number=&amp;sourceID=11","")</f>
        <v/>
      </c>
      <c r="H201" s="4" t="str">
        <f>HYPERLINK("http://141.218.60.56/~jnz1568/getInfo.php?workbook=07_01.xlsx&amp;sheet=A0&amp;row=201&amp;col=8&amp;number=2571&amp;sourceID=11","2571")</f>
        <v>2571</v>
      </c>
      <c r="I201" s="4" t="str">
        <f>HYPERLINK("http://141.218.60.56/~jnz1568/getInfo.php?workbook=07_01.xlsx&amp;sheet=A0&amp;row=201&amp;col=9&amp;number=&amp;sourceID=11","")</f>
        <v/>
      </c>
      <c r="J201" s="4" t="str">
        <f>HYPERLINK("http://141.218.60.56/~jnz1568/getInfo.php?workbook=07_01.xlsx&amp;sheet=A0&amp;row=201&amp;col=10&amp;number=0.00033752&amp;sourceID=11","0.00033752")</f>
        <v>0.00033752</v>
      </c>
      <c r="K201" s="4" t="str">
        <f>HYPERLINK("http://141.218.60.56/~jnz1568/getInfo.php?workbook=07_01.xlsx&amp;sheet=A0&amp;row=201&amp;col=11&amp;number=&amp;sourceID=11","")</f>
        <v/>
      </c>
      <c r="L201" s="4" t="str">
        <f>HYPERLINK("http://141.218.60.56/~jnz1568/getInfo.php?workbook=07_01.xlsx&amp;sheet=A0&amp;row=201&amp;col=12&amp;number=7.0325e-08&amp;sourceID=11","7.0325e-08")</f>
        <v>7.0325e-08</v>
      </c>
      <c r="M201" s="4" t="str">
        <f>HYPERLINK("http://141.218.60.56/~jnz1568/getInfo.php?workbook=07_01.xlsx&amp;sheet=A0&amp;row=201&amp;col=13&amp;number=2571.1&amp;sourceID=12","2571.1")</f>
        <v>2571.1</v>
      </c>
      <c r="N201" s="4" t="str">
        <f>HYPERLINK("http://141.218.60.56/~jnz1568/getInfo.php?workbook=07_01.xlsx&amp;sheet=A0&amp;row=201&amp;col=14&amp;number=&amp;sourceID=12","")</f>
        <v/>
      </c>
      <c r="O201" s="4" t="str">
        <f>HYPERLINK("http://141.218.60.56/~jnz1568/getInfo.php?workbook=07_01.xlsx&amp;sheet=A0&amp;row=201&amp;col=15&amp;number=2571.1&amp;sourceID=12","2571.1")</f>
        <v>2571.1</v>
      </c>
      <c r="P201" s="4" t="str">
        <f>HYPERLINK("http://141.218.60.56/~jnz1568/getInfo.php?workbook=07_01.xlsx&amp;sheet=A0&amp;row=201&amp;col=16&amp;number=&amp;sourceID=12","")</f>
        <v/>
      </c>
      <c r="Q201" s="4" t="str">
        <f>HYPERLINK("http://141.218.60.56/~jnz1568/getInfo.php?workbook=07_01.xlsx&amp;sheet=A0&amp;row=201&amp;col=17&amp;number=0.00033755&amp;sourceID=12","0.00033755")</f>
        <v>0.00033755</v>
      </c>
      <c r="R201" s="4" t="str">
        <f>HYPERLINK("http://141.218.60.56/~jnz1568/getInfo.php?workbook=07_01.xlsx&amp;sheet=A0&amp;row=201&amp;col=18&amp;number=&amp;sourceID=12","")</f>
        <v/>
      </c>
      <c r="S201" s="4" t="str">
        <f>HYPERLINK("http://141.218.60.56/~jnz1568/getInfo.php?workbook=07_01.xlsx&amp;sheet=A0&amp;row=201&amp;col=19&amp;number=7.0327e-08&amp;sourceID=12","7.0327e-08")</f>
        <v>7.0327e-08</v>
      </c>
      <c r="T201" s="4" t="str">
        <f>HYPERLINK("http://141.218.60.56/~jnz1568/getInfo.php?workbook=07_01.xlsx&amp;sheet=A0&amp;row=201&amp;col=20&amp;number==&amp;sourceID=30","=")</f>
        <v>=</v>
      </c>
      <c r="U201" s="4" t="str">
        <f>HYPERLINK("http://141.218.60.56/~jnz1568/getInfo.php?workbook=07_01.xlsx&amp;sheet=A0&amp;row=201&amp;col=21&amp;number=&amp;sourceID=30","")</f>
        <v/>
      </c>
      <c r="V201" s="4" t="str">
        <f>HYPERLINK("http://141.218.60.56/~jnz1568/getInfo.php?workbook=07_01.xlsx&amp;sheet=A0&amp;row=201&amp;col=22&amp;number=2571&amp;sourceID=30","2571")</f>
        <v>2571</v>
      </c>
      <c r="W201" s="4" t="str">
        <f>HYPERLINK("http://141.218.60.56/~jnz1568/getInfo.php?workbook=07_01.xlsx&amp;sheet=A0&amp;row=201&amp;col=23&amp;number=0.0003374&amp;sourceID=30","0.0003374")</f>
        <v>0.0003374</v>
      </c>
      <c r="X201" s="4" t="str">
        <f>HYPERLINK("http://141.218.60.56/~jnz1568/getInfo.php?workbook=07_01.xlsx&amp;sheet=A0&amp;row=201&amp;col=24&amp;number=&amp;sourceID=30","")</f>
        <v/>
      </c>
      <c r="Y201" s="4" t="str">
        <f>HYPERLINK("http://141.218.60.56/~jnz1568/getInfo.php?workbook=07_01.xlsx&amp;sheet=A0&amp;row=201&amp;col=25&amp;number=&amp;sourceID=13","")</f>
        <v/>
      </c>
      <c r="Z201" s="4" t="str">
        <f>HYPERLINK("http://141.218.60.56/~jnz1568/getInfo.php?workbook=07_01.xlsx&amp;sheet=A0&amp;row=201&amp;col=26&amp;number=&amp;sourceID=13","")</f>
        <v/>
      </c>
      <c r="AA201" s="4" t="str">
        <f>HYPERLINK("http://141.218.60.56/~jnz1568/getInfo.php?workbook=07_01.xlsx&amp;sheet=A0&amp;row=201&amp;col=27&amp;number=&amp;sourceID=13","")</f>
        <v/>
      </c>
      <c r="AB201" s="4" t="str">
        <f>HYPERLINK("http://141.218.60.56/~jnz1568/getInfo.php?workbook=07_01.xlsx&amp;sheet=A0&amp;row=201&amp;col=28&amp;number=&amp;sourceID=13","")</f>
        <v/>
      </c>
      <c r="AC201" s="4" t="str">
        <f>HYPERLINK("http://141.218.60.56/~jnz1568/getInfo.php?workbook=07_01.xlsx&amp;sheet=A0&amp;row=201&amp;col=29&amp;number=&amp;sourceID=13","")</f>
        <v/>
      </c>
      <c r="AD201" s="4" t="str">
        <f>HYPERLINK("http://141.218.60.56/~jnz1568/getInfo.php?workbook=07_01.xlsx&amp;sheet=A0&amp;row=201&amp;col=30&amp;number=&amp;sourceID=13","")</f>
        <v/>
      </c>
    </row>
    <row r="202" spans="1:30">
      <c r="A202" s="3">
        <v>7</v>
      </c>
      <c r="B202" s="3">
        <v>1</v>
      </c>
      <c r="C202" s="3">
        <v>21</v>
      </c>
      <c r="D202" s="3">
        <v>17</v>
      </c>
      <c r="E202" s="3">
        <f>((1/(INDEX(E0!J$4:J$28,C202,1)-INDEX(E0!J$4:J$28,D202,1))))*100000000</f>
        <v>0</v>
      </c>
      <c r="F202" s="4" t="str">
        <f>HYPERLINK("http://141.218.60.56/~jnz1568/getInfo.php?workbook=07_01.xlsx&amp;sheet=A0&amp;row=202&amp;col=6&amp;number==&amp;sourceID=11","=")</f>
        <v>=</v>
      </c>
      <c r="G202" s="4" t="str">
        <f>HYPERLINK("http://141.218.60.56/~jnz1568/getInfo.php?workbook=07_01.xlsx&amp;sheet=A0&amp;row=202&amp;col=7&amp;number=&amp;sourceID=11","")</f>
        <v/>
      </c>
      <c r="H202" s="4" t="str">
        <f>HYPERLINK("http://141.218.60.56/~jnz1568/getInfo.php?workbook=07_01.xlsx&amp;sheet=A0&amp;row=202&amp;col=8&amp;number=2.8911e-11&amp;sourceID=11","2.8911e-11")</f>
        <v>2.8911e-11</v>
      </c>
      <c r="I202" s="4" t="str">
        <f>HYPERLINK("http://141.218.60.56/~jnz1568/getInfo.php?workbook=07_01.xlsx&amp;sheet=A0&amp;row=202&amp;col=9&amp;number=&amp;sourceID=11","")</f>
        <v/>
      </c>
      <c r="J202" s="4" t="str">
        <f>HYPERLINK("http://141.218.60.56/~jnz1568/getInfo.php?workbook=07_01.xlsx&amp;sheet=A0&amp;row=202&amp;col=10&amp;number=&amp;sourceID=11","")</f>
        <v/>
      </c>
      <c r="K202" s="4" t="str">
        <f>HYPERLINK("http://141.218.60.56/~jnz1568/getInfo.php?workbook=07_01.xlsx&amp;sheet=A0&amp;row=202&amp;col=11&amp;number=&amp;sourceID=11","")</f>
        <v/>
      </c>
      <c r="L202" s="4" t="str">
        <f>HYPERLINK("http://141.218.60.56/~jnz1568/getInfo.php?workbook=07_01.xlsx&amp;sheet=A0&amp;row=202&amp;col=12&amp;number=0&amp;sourceID=11","0")</f>
        <v>0</v>
      </c>
      <c r="M202" s="4" t="str">
        <f>HYPERLINK("http://141.218.60.56/~jnz1568/getInfo.php?workbook=07_01.xlsx&amp;sheet=A0&amp;row=202&amp;col=13&amp;number=2.8919e-11&amp;sourceID=12","2.8919e-11")</f>
        <v>2.8919e-11</v>
      </c>
      <c r="N202" s="4" t="str">
        <f>HYPERLINK("http://141.218.60.56/~jnz1568/getInfo.php?workbook=07_01.xlsx&amp;sheet=A0&amp;row=202&amp;col=14&amp;number=&amp;sourceID=12","")</f>
        <v/>
      </c>
      <c r="O202" s="4" t="str">
        <f>HYPERLINK("http://141.218.60.56/~jnz1568/getInfo.php?workbook=07_01.xlsx&amp;sheet=A0&amp;row=202&amp;col=15&amp;number=2.8919e-11&amp;sourceID=12","2.8919e-11")</f>
        <v>2.8919e-11</v>
      </c>
      <c r="P202" s="4" t="str">
        <f>HYPERLINK("http://141.218.60.56/~jnz1568/getInfo.php?workbook=07_01.xlsx&amp;sheet=A0&amp;row=202&amp;col=16&amp;number=&amp;sourceID=12","")</f>
        <v/>
      </c>
      <c r="Q202" s="4" t="str">
        <f>HYPERLINK("http://141.218.60.56/~jnz1568/getInfo.php?workbook=07_01.xlsx&amp;sheet=A0&amp;row=202&amp;col=17&amp;number=&amp;sourceID=12","")</f>
        <v/>
      </c>
      <c r="R202" s="4" t="str">
        <f>HYPERLINK("http://141.218.60.56/~jnz1568/getInfo.php?workbook=07_01.xlsx&amp;sheet=A0&amp;row=202&amp;col=18&amp;number=&amp;sourceID=12","")</f>
        <v/>
      </c>
      <c r="S202" s="4" t="str">
        <f>HYPERLINK("http://141.218.60.56/~jnz1568/getInfo.php?workbook=07_01.xlsx&amp;sheet=A0&amp;row=202&amp;col=19&amp;number=0&amp;sourceID=12","0")</f>
        <v>0</v>
      </c>
      <c r="T202" s="4" t="str">
        <f>HYPERLINK("http://141.218.60.56/~jnz1568/getInfo.php?workbook=07_01.xlsx&amp;sheet=A0&amp;row=202&amp;col=20&amp;number==&amp;sourceID=30","=")</f>
        <v>=</v>
      </c>
      <c r="U202" s="4" t="str">
        <f>HYPERLINK("http://141.218.60.56/~jnz1568/getInfo.php?workbook=07_01.xlsx&amp;sheet=A0&amp;row=202&amp;col=21&amp;number=&amp;sourceID=30","")</f>
        <v/>
      </c>
      <c r="V202" s="4" t="str">
        <f>HYPERLINK("http://141.218.60.56/~jnz1568/getInfo.php?workbook=07_01.xlsx&amp;sheet=A0&amp;row=202&amp;col=22&amp;number=2.892e-11&amp;sourceID=30","2.892e-11")</f>
        <v>2.892e-11</v>
      </c>
      <c r="W202" s="4" t="str">
        <f>HYPERLINK("http://141.218.60.56/~jnz1568/getInfo.php?workbook=07_01.xlsx&amp;sheet=A0&amp;row=202&amp;col=23&amp;number=&amp;sourceID=30","")</f>
        <v/>
      </c>
      <c r="X202" s="4" t="str">
        <f>HYPERLINK("http://141.218.60.56/~jnz1568/getInfo.php?workbook=07_01.xlsx&amp;sheet=A0&amp;row=202&amp;col=24&amp;number=&amp;sourceID=30","")</f>
        <v/>
      </c>
      <c r="Y202" s="4" t="str">
        <f>HYPERLINK("http://141.218.60.56/~jnz1568/getInfo.php?workbook=07_01.xlsx&amp;sheet=A0&amp;row=202&amp;col=25&amp;number=&amp;sourceID=13","")</f>
        <v/>
      </c>
      <c r="Z202" s="4" t="str">
        <f>HYPERLINK("http://141.218.60.56/~jnz1568/getInfo.php?workbook=07_01.xlsx&amp;sheet=A0&amp;row=202&amp;col=26&amp;number=&amp;sourceID=13","")</f>
        <v/>
      </c>
      <c r="AA202" s="4" t="str">
        <f>HYPERLINK("http://141.218.60.56/~jnz1568/getInfo.php?workbook=07_01.xlsx&amp;sheet=A0&amp;row=202&amp;col=27&amp;number=&amp;sourceID=13","")</f>
        <v/>
      </c>
      <c r="AB202" s="4" t="str">
        <f>HYPERLINK("http://141.218.60.56/~jnz1568/getInfo.php?workbook=07_01.xlsx&amp;sheet=A0&amp;row=202&amp;col=28&amp;number=&amp;sourceID=13","")</f>
        <v/>
      </c>
      <c r="AC202" s="4" t="str">
        <f>HYPERLINK("http://141.218.60.56/~jnz1568/getInfo.php?workbook=07_01.xlsx&amp;sheet=A0&amp;row=202&amp;col=29&amp;number=&amp;sourceID=13","")</f>
        <v/>
      </c>
      <c r="AD202" s="4" t="str">
        <f>HYPERLINK("http://141.218.60.56/~jnz1568/getInfo.php?workbook=07_01.xlsx&amp;sheet=A0&amp;row=202&amp;col=30&amp;number=&amp;sourceID=13","")</f>
        <v/>
      </c>
    </row>
    <row r="203" spans="1:30">
      <c r="A203" s="3">
        <v>7</v>
      </c>
      <c r="B203" s="3">
        <v>1</v>
      </c>
      <c r="C203" s="3">
        <v>21</v>
      </c>
      <c r="D203" s="3">
        <v>18</v>
      </c>
      <c r="E203" s="3">
        <f>((1/(INDEX(E0!J$4:J$28,C203,1)-INDEX(E0!J$4:J$28,D203,1))))*100000000</f>
        <v>0</v>
      </c>
      <c r="F203" s="4" t="str">
        <f>HYPERLINK("http://141.218.60.56/~jnz1568/getInfo.php?workbook=07_01.xlsx&amp;sheet=A0&amp;row=203&amp;col=6&amp;number==&amp;sourceID=11","=")</f>
        <v>=</v>
      </c>
      <c r="G203" s="4" t="str">
        <f>HYPERLINK("http://141.218.60.56/~jnz1568/getInfo.php?workbook=07_01.xlsx&amp;sheet=A0&amp;row=203&amp;col=7&amp;number=&amp;sourceID=11","")</f>
        <v/>
      </c>
      <c r="H203" s="4" t="str">
        <f>HYPERLINK("http://141.218.60.56/~jnz1568/getInfo.php?workbook=07_01.xlsx&amp;sheet=A0&amp;row=203&amp;col=8&amp;number=&amp;sourceID=11","")</f>
        <v/>
      </c>
      <c r="I203" s="4" t="str">
        <f>HYPERLINK("http://141.218.60.56/~jnz1568/getInfo.php?workbook=07_01.xlsx&amp;sheet=A0&amp;row=203&amp;col=9&amp;number=0&amp;sourceID=11","0")</f>
        <v>0</v>
      </c>
      <c r="J203" s="4" t="str">
        <f>HYPERLINK("http://141.218.60.56/~jnz1568/getInfo.php?workbook=07_01.xlsx&amp;sheet=A0&amp;row=203&amp;col=10&amp;number=&amp;sourceID=11","")</f>
        <v/>
      </c>
      <c r="K203" s="4" t="str">
        <f>HYPERLINK("http://141.218.60.56/~jnz1568/getInfo.php?workbook=07_01.xlsx&amp;sheet=A0&amp;row=203&amp;col=11&amp;number=0&amp;sourceID=11","0")</f>
        <v>0</v>
      </c>
      <c r="L203" s="4" t="str">
        <f>HYPERLINK("http://141.218.60.56/~jnz1568/getInfo.php?workbook=07_01.xlsx&amp;sheet=A0&amp;row=203&amp;col=12&amp;number=&amp;sourceID=11","")</f>
        <v/>
      </c>
      <c r="M203" s="4" t="str">
        <f>HYPERLINK("http://141.218.60.56/~jnz1568/getInfo.php?workbook=07_01.xlsx&amp;sheet=A0&amp;row=203&amp;col=13&amp;number=0&amp;sourceID=12","0")</f>
        <v>0</v>
      </c>
      <c r="N203" s="4" t="str">
        <f>HYPERLINK("http://141.218.60.56/~jnz1568/getInfo.php?workbook=07_01.xlsx&amp;sheet=A0&amp;row=203&amp;col=14&amp;number=&amp;sourceID=12","")</f>
        <v/>
      </c>
      <c r="O203" s="4" t="str">
        <f>HYPERLINK("http://141.218.60.56/~jnz1568/getInfo.php?workbook=07_01.xlsx&amp;sheet=A0&amp;row=203&amp;col=15&amp;number=&amp;sourceID=12","")</f>
        <v/>
      </c>
      <c r="P203" s="4" t="str">
        <f>HYPERLINK("http://141.218.60.56/~jnz1568/getInfo.php?workbook=07_01.xlsx&amp;sheet=A0&amp;row=203&amp;col=16&amp;number=0&amp;sourceID=12","0")</f>
        <v>0</v>
      </c>
      <c r="Q203" s="4" t="str">
        <f>HYPERLINK("http://141.218.60.56/~jnz1568/getInfo.php?workbook=07_01.xlsx&amp;sheet=A0&amp;row=203&amp;col=17&amp;number=&amp;sourceID=12","")</f>
        <v/>
      </c>
      <c r="R203" s="4" t="str">
        <f>HYPERLINK("http://141.218.60.56/~jnz1568/getInfo.php?workbook=07_01.xlsx&amp;sheet=A0&amp;row=203&amp;col=18&amp;number=0&amp;sourceID=12","0")</f>
        <v>0</v>
      </c>
      <c r="S203" s="4" t="str">
        <f>HYPERLINK("http://141.218.60.56/~jnz1568/getInfo.php?workbook=07_01.xlsx&amp;sheet=A0&amp;row=203&amp;col=19&amp;number=&amp;sourceID=12","")</f>
        <v/>
      </c>
      <c r="T203" s="4" t="str">
        <f>HYPERLINK("http://141.218.60.56/~jnz1568/getInfo.php?workbook=07_01.xlsx&amp;sheet=A0&amp;row=203&amp;col=20&amp;number==&amp;sourceID=30","=")</f>
        <v>=</v>
      </c>
      <c r="U203" s="4" t="str">
        <f>HYPERLINK("http://141.218.60.56/~jnz1568/getInfo.php?workbook=07_01.xlsx&amp;sheet=A0&amp;row=203&amp;col=21&amp;number=&amp;sourceID=30","")</f>
        <v/>
      </c>
      <c r="V203" s="4" t="str">
        <f>HYPERLINK("http://141.218.60.56/~jnz1568/getInfo.php?workbook=07_01.xlsx&amp;sheet=A0&amp;row=203&amp;col=22&amp;number=&amp;sourceID=30","")</f>
        <v/>
      </c>
      <c r="W203" s="4" t="str">
        <f>HYPERLINK("http://141.218.60.56/~jnz1568/getInfo.php?workbook=07_01.xlsx&amp;sheet=A0&amp;row=203&amp;col=23&amp;number=&amp;sourceID=30","")</f>
        <v/>
      </c>
      <c r="X203" s="4" t="str">
        <f>HYPERLINK("http://141.218.60.56/~jnz1568/getInfo.php?workbook=07_01.xlsx&amp;sheet=A0&amp;row=203&amp;col=24&amp;number=0&amp;sourceID=30","0")</f>
        <v>0</v>
      </c>
      <c r="Y203" s="4" t="str">
        <f>HYPERLINK("http://141.218.60.56/~jnz1568/getInfo.php?workbook=07_01.xlsx&amp;sheet=A0&amp;row=203&amp;col=25&amp;number=&amp;sourceID=13","")</f>
        <v/>
      </c>
      <c r="Z203" s="4" t="str">
        <f>HYPERLINK("http://141.218.60.56/~jnz1568/getInfo.php?workbook=07_01.xlsx&amp;sheet=A0&amp;row=203&amp;col=26&amp;number=&amp;sourceID=13","")</f>
        <v/>
      </c>
      <c r="AA203" s="4" t="str">
        <f>HYPERLINK("http://141.218.60.56/~jnz1568/getInfo.php?workbook=07_01.xlsx&amp;sheet=A0&amp;row=203&amp;col=27&amp;number=&amp;sourceID=13","")</f>
        <v/>
      </c>
      <c r="AB203" s="4" t="str">
        <f>HYPERLINK("http://141.218.60.56/~jnz1568/getInfo.php?workbook=07_01.xlsx&amp;sheet=A0&amp;row=203&amp;col=28&amp;number=&amp;sourceID=13","")</f>
        <v/>
      </c>
      <c r="AC203" s="4" t="str">
        <f>HYPERLINK("http://141.218.60.56/~jnz1568/getInfo.php?workbook=07_01.xlsx&amp;sheet=A0&amp;row=203&amp;col=29&amp;number=&amp;sourceID=13","")</f>
        <v/>
      </c>
      <c r="AD203" s="4" t="str">
        <f>HYPERLINK("http://141.218.60.56/~jnz1568/getInfo.php?workbook=07_01.xlsx&amp;sheet=A0&amp;row=203&amp;col=30&amp;number=&amp;sourceID=13","")</f>
        <v/>
      </c>
    </row>
    <row r="204" spans="1:30">
      <c r="A204" s="3">
        <v>7</v>
      </c>
      <c r="B204" s="3">
        <v>1</v>
      </c>
      <c r="C204" s="3">
        <v>21</v>
      </c>
      <c r="D204" s="3">
        <v>19</v>
      </c>
      <c r="E204" s="3">
        <f>((1/(INDEX(E0!J$4:J$28,C204,1)-INDEX(E0!J$4:J$28,D204,1))))*100000000</f>
        <v>0</v>
      </c>
      <c r="F204" s="4" t="str">
        <f>HYPERLINK("http://141.218.60.56/~jnz1568/getInfo.php?workbook=07_01.xlsx&amp;sheet=A0&amp;row=204&amp;col=6&amp;number==&amp;sourceID=11","=")</f>
        <v>=</v>
      </c>
      <c r="G204" s="4" t="str">
        <f>HYPERLINK("http://141.218.60.56/~jnz1568/getInfo.php?workbook=07_01.xlsx&amp;sheet=A0&amp;row=204&amp;col=7&amp;number=0.097591&amp;sourceID=11","0.097591")</f>
        <v>0.097591</v>
      </c>
      <c r="H204" s="4" t="str">
        <f>HYPERLINK("http://141.218.60.56/~jnz1568/getInfo.php?workbook=07_01.xlsx&amp;sheet=A0&amp;row=204&amp;col=8&amp;number=&amp;sourceID=11","")</f>
        <v/>
      </c>
      <c r="I204" s="4" t="str">
        <f>HYPERLINK("http://141.218.60.56/~jnz1568/getInfo.php?workbook=07_01.xlsx&amp;sheet=A0&amp;row=204&amp;col=9&amp;number=0&amp;sourceID=11","0")</f>
        <v>0</v>
      </c>
      <c r="J204" s="4" t="str">
        <f>HYPERLINK("http://141.218.60.56/~jnz1568/getInfo.php?workbook=07_01.xlsx&amp;sheet=A0&amp;row=204&amp;col=10&amp;number=&amp;sourceID=11","")</f>
        <v/>
      </c>
      <c r="K204" s="4" t="str">
        <f>HYPERLINK("http://141.218.60.56/~jnz1568/getInfo.php?workbook=07_01.xlsx&amp;sheet=A0&amp;row=204&amp;col=11&amp;number=0&amp;sourceID=11","0")</f>
        <v>0</v>
      </c>
      <c r="L204" s="4" t="str">
        <f>HYPERLINK("http://141.218.60.56/~jnz1568/getInfo.php?workbook=07_01.xlsx&amp;sheet=A0&amp;row=204&amp;col=12&amp;number=&amp;sourceID=11","")</f>
        <v/>
      </c>
      <c r="M204" s="4" t="str">
        <f>HYPERLINK("http://141.218.60.56/~jnz1568/getInfo.php?workbook=07_01.xlsx&amp;sheet=A0&amp;row=204&amp;col=13&amp;number=0.09762&amp;sourceID=12","0.09762")</f>
        <v>0.09762</v>
      </c>
      <c r="N204" s="4" t="str">
        <f>HYPERLINK("http://141.218.60.56/~jnz1568/getInfo.php?workbook=07_01.xlsx&amp;sheet=A0&amp;row=204&amp;col=14&amp;number=0.09762&amp;sourceID=12","0.09762")</f>
        <v>0.09762</v>
      </c>
      <c r="O204" s="4" t="str">
        <f>HYPERLINK("http://141.218.60.56/~jnz1568/getInfo.php?workbook=07_01.xlsx&amp;sheet=A0&amp;row=204&amp;col=15&amp;number=&amp;sourceID=12","")</f>
        <v/>
      </c>
      <c r="P204" s="4" t="str">
        <f>HYPERLINK("http://141.218.60.56/~jnz1568/getInfo.php?workbook=07_01.xlsx&amp;sheet=A0&amp;row=204&amp;col=16&amp;number=0&amp;sourceID=12","0")</f>
        <v>0</v>
      </c>
      <c r="Q204" s="4" t="str">
        <f>HYPERLINK("http://141.218.60.56/~jnz1568/getInfo.php?workbook=07_01.xlsx&amp;sheet=A0&amp;row=204&amp;col=17&amp;number=&amp;sourceID=12","")</f>
        <v/>
      </c>
      <c r="R204" s="4" t="str">
        <f>HYPERLINK("http://141.218.60.56/~jnz1568/getInfo.php?workbook=07_01.xlsx&amp;sheet=A0&amp;row=204&amp;col=18&amp;number=0&amp;sourceID=12","0")</f>
        <v>0</v>
      </c>
      <c r="S204" s="4" t="str">
        <f>HYPERLINK("http://141.218.60.56/~jnz1568/getInfo.php?workbook=07_01.xlsx&amp;sheet=A0&amp;row=204&amp;col=19&amp;number=&amp;sourceID=12","")</f>
        <v/>
      </c>
      <c r="T204" s="4" t="str">
        <f>HYPERLINK("http://141.218.60.56/~jnz1568/getInfo.php?workbook=07_01.xlsx&amp;sheet=A0&amp;row=204&amp;col=20&amp;number==&amp;sourceID=30","=")</f>
        <v>=</v>
      </c>
      <c r="U204" s="4" t="str">
        <f>HYPERLINK("http://141.218.60.56/~jnz1568/getInfo.php?workbook=07_01.xlsx&amp;sheet=A0&amp;row=204&amp;col=21&amp;number=0.09762&amp;sourceID=30","0.09762")</f>
        <v>0.09762</v>
      </c>
      <c r="V204" s="4" t="str">
        <f>HYPERLINK("http://141.218.60.56/~jnz1568/getInfo.php?workbook=07_01.xlsx&amp;sheet=A0&amp;row=204&amp;col=22&amp;number=&amp;sourceID=30","")</f>
        <v/>
      </c>
      <c r="W204" s="4" t="str">
        <f>HYPERLINK("http://141.218.60.56/~jnz1568/getInfo.php?workbook=07_01.xlsx&amp;sheet=A0&amp;row=204&amp;col=23&amp;number=&amp;sourceID=30","")</f>
        <v/>
      </c>
      <c r="X204" s="4" t="str">
        <f>HYPERLINK("http://141.218.60.56/~jnz1568/getInfo.php?workbook=07_01.xlsx&amp;sheet=A0&amp;row=204&amp;col=24&amp;number=0&amp;sourceID=30","0")</f>
        <v>0</v>
      </c>
      <c r="Y204" s="4" t="str">
        <f>HYPERLINK("http://141.218.60.56/~jnz1568/getInfo.php?workbook=07_01.xlsx&amp;sheet=A0&amp;row=204&amp;col=25&amp;number=&amp;sourceID=13","")</f>
        <v/>
      </c>
      <c r="Z204" s="4" t="str">
        <f>HYPERLINK("http://141.218.60.56/~jnz1568/getInfo.php?workbook=07_01.xlsx&amp;sheet=A0&amp;row=204&amp;col=26&amp;number=&amp;sourceID=13","")</f>
        <v/>
      </c>
      <c r="AA204" s="4" t="str">
        <f>HYPERLINK("http://141.218.60.56/~jnz1568/getInfo.php?workbook=07_01.xlsx&amp;sheet=A0&amp;row=204&amp;col=27&amp;number=&amp;sourceID=13","")</f>
        <v/>
      </c>
      <c r="AB204" s="4" t="str">
        <f>HYPERLINK("http://141.218.60.56/~jnz1568/getInfo.php?workbook=07_01.xlsx&amp;sheet=A0&amp;row=204&amp;col=28&amp;number=&amp;sourceID=13","")</f>
        <v/>
      </c>
      <c r="AC204" s="4" t="str">
        <f>HYPERLINK("http://141.218.60.56/~jnz1568/getInfo.php?workbook=07_01.xlsx&amp;sheet=A0&amp;row=204&amp;col=29&amp;number=&amp;sourceID=13","")</f>
        <v/>
      </c>
      <c r="AD204" s="4" t="str">
        <f>HYPERLINK("http://141.218.60.56/~jnz1568/getInfo.php?workbook=07_01.xlsx&amp;sheet=A0&amp;row=204&amp;col=30&amp;number=&amp;sourceID=13","")</f>
        <v/>
      </c>
    </row>
    <row r="205" spans="1:30">
      <c r="A205" s="3">
        <v>7</v>
      </c>
      <c r="B205" s="3">
        <v>1</v>
      </c>
      <c r="C205" s="3">
        <v>21</v>
      </c>
      <c r="D205" s="3">
        <v>20</v>
      </c>
      <c r="E205" s="3">
        <f>((1/(INDEX(E0!J$4:J$28,C205,1)-INDEX(E0!J$4:J$28,D205,1))))*100000000</f>
        <v>0</v>
      </c>
      <c r="F205" s="4" t="str">
        <f>HYPERLINK("http://141.218.60.56/~jnz1568/getInfo.php?workbook=07_01.xlsx&amp;sheet=A0&amp;row=205&amp;col=6&amp;number==&amp;sourceID=11","=")</f>
        <v>=</v>
      </c>
      <c r="G205" s="4" t="str">
        <f>HYPERLINK("http://141.218.60.56/~jnz1568/getInfo.php?workbook=07_01.xlsx&amp;sheet=A0&amp;row=205&amp;col=7&amp;number=&amp;sourceID=11","")</f>
        <v/>
      </c>
      <c r="H205" s="4" t="str">
        <f>HYPERLINK("http://141.218.60.56/~jnz1568/getInfo.php?workbook=07_01.xlsx&amp;sheet=A0&amp;row=205&amp;col=8&amp;number=8e-15&amp;sourceID=11","8e-15")</f>
        <v>8e-15</v>
      </c>
      <c r="I205" s="4" t="str">
        <f>HYPERLINK("http://141.218.60.56/~jnz1568/getInfo.php?workbook=07_01.xlsx&amp;sheet=A0&amp;row=205&amp;col=9&amp;number=&amp;sourceID=11","")</f>
        <v/>
      </c>
      <c r="J205" s="4" t="str">
        <f>HYPERLINK("http://141.218.60.56/~jnz1568/getInfo.php?workbook=07_01.xlsx&amp;sheet=A0&amp;row=205&amp;col=10&amp;number=0&amp;sourceID=11","0")</f>
        <v>0</v>
      </c>
      <c r="K205" s="4" t="str">
        <f>HYPERLINK("http://141.218.60.56/~jnz1568/getInfo.php?workbook=07_01.xlsx&amp;sheet=A0&amp;row=205&amp;col=11&amp;number=&amp;sourceID=11","")</f>
        <v/>
      </c>
      <c r="L205" s="4" t="str">
        <f>HYPERLINK("http://141.218.60.56/~jnz1568/getInfo.php?workbook=07_01.xlsx&amp;sheet=A0&amp;row=205&amp;col=12&amp;number=0&amp;sourceID=11","0")</f>
        <v>0</v>
      </c>
      <c r="M205" s="4" t="str">
        <f>HYPERLINK("http://141.218.60.56/~jnz1568/getInfo.php?workbook=07_01.xlsx&amp;sheet=A0&amp;row=205&amp;col=13&amp;number=8e-15&amp;sourceID=12","8e-15")</f>
        <v>8e-15</v>
      </c>
      <c r="N205" s="4" t="str">
        <f>HYPERLINK("http://141.218.60.56/~jnz1568/getInfo.php?workbook=07_01.xlsx&amp;sheet=A0&amp;row=205&amp;col=14&amp;number=&amp;sourceID=12","")</f>
        <v/>
      </c>
      <c r="O205" s="4" t="str">
        <f>HYPERLINK("http://141.218.60.56/~jnz1568/getInfo.php?workbook=07_01.xlsx&amp;sheet=A0&amp;row=205&amp;col=15&amp;number=8e-15&amp;sourceID=12","8e-15")</f>
        <v>8e-15</v>
      </c>
      <c r="P205" s="4" t="str">
        <f>HYPERLINK("http://141.218.60.56/~jnz1568/getInfo.php?workbook=07_01.xlsx&amp;sheet=A0&amp;row=205&amp;col=16&amp;number=&amp;sourceID=12","")</f>
        <v/>
      </c>
      <c r="Q205" s="4" t="str">
        <f>HYPERLINK("http://141.218.60.56/~jnz1568/getInfo.php?workbook=07_01.xlsx&amp;sheet=A0&amp;row=205&amp;col=17&amp;number=0&amp;sourceID=12","0")</f>
        <v>0</v>
      </c>
      <c r="R205" s="4" t="str">
        <f>HYPERLINK("http://141.218.60.56/~jnz1568/getInfo.php?workbook=07_01.xlsx&amp;sheet=A0&amp;row=205&amp;col=18&amp;number=&amp;sourceID=12","")</f>
        <v/>
      </c>
      <c r="S205" s="4" t="str">
        <f>HYPERLINK("http://141.218.60.56/~jnz1568/getInfo.php?workbook=07_01.xlsx&amp;sheet=A0&amp;row=205&amp;col=19&amp;number=0&amp;sourceID=12","0")</f>
        <v>0</v>
      </c>
      <c r="T205" s="4" t="str">
        <f>HYPERLINK("http://141.218.60.56/~jnz1568/getInfo.php?workbook=07_01.xlsx&amp;sheet=A0&amp;row=205&amp;col=20&amp;number==&amp;sourceID=30","=")</f>
        <v>=</v>
      </c>
      <c r="U205" s="4" t="str">
        <f>HYPERLINK("http://141.218.60.56/~jnz1568/getInfo.php?workbook=07_01.xlsx&amp;sheet=A0&amp;row=205&amp;col=21&amp;number=&amp;sourceID=30","")</f>
        <v/>
      </c>
      <c r="V205" s="4" t="str">
        <f>HYPERLINK("http://141.218.60.56/~jnz1568/getInfo.php?workbook=07_01.xlsx&amp;sheet=A0&amp;row=205&amp;col=22&amp;number=8e-15&amp;sourceID=30","8e-15")</f>
        <v>8e-15</v>
      </c>
      <c r="W205" s="4" t="str">
        <f>HYPERLINK("http://141.218.60.56/~jnz1568/getInfo.php?workbook=07_01.xlsx&amp;sheet=A0&amp;row=205&amp;col=23&amp;number=0&amp;sourceID=30","0")</f>
        <v>0</v>
      </c>
      <c r="X205" s="4" t="str">
        <f>HYPERLINK("http://141.218.60.56/~jnz1568/getInfo.php?workbook=07_01.xlsx&amp;sheet=A0&amp;row=205&amp;col=24&amp;number=&amp;sourceID=30","")</f>
        <v/>
      </c>
      <c r="Y205" s="4" t="str">
        <f>HYPERLINK("http://141.218.60.56/~jnz1568/getInfo.php?workbook=07_01.xlsx&amp;sheet=A0&amp;row=205&amp;col=25&amp;number=&amp;sourceID=13","")</f>
        <v/>
      </c>
      <c r="Z205" s="4" t="str">
        <f>HYPERLINK("http://141.218.60.56/~jnz1568/getInfo.php?workbook=07_01.xlsx&amp;sheet=A0&amp;row=205&amp;col=26&amp;number=&amp;sourceID=13","")</f>
        <v/>
      </c>
      <c r="AA205" s="4" t="str">
        <f>HYPERLINK("http://141.218.60.56/~jnz1568/getInfo.php?workbook=07_01.xlsx&amp;sheet=A0&amp;row=205&amp;col=27&amp;number=&amp;sourceID=13","")</f>
        <v/>
      </c>
      <c r="AB205" s="4" t="str">
        <f>HYPERLINK("http://141.218.60.56/~jnz1568/getInfo.php?workbook=07_01.xlsx&amp;sheet=A0&amp;row=205&amp;col=28&amp;number=&amp;sourceID=13","")</f>
        <v/>
      </c>
      <c r="AC205" s="4" t="str">
        <f>HYPERLINK("http://141.218.60.56/~jnz1568/getInfo.php?workbook=07_01.xlsx&amp;sheet=A0&amp;row=205&amp;col=29&amp;number=&amp;sourceID=13","")</f>
        <v/>
      </c>
      <c r="AD205" s="4" t="str">
        <f>HYPERLINK("http://141.218.60.56/~jnz1568/getInfo.php?workbook=07_01.xlsx&amp;sheet=A0&amp;row=205&amp;col=30&amp;number=&amp;sourceID=13","")</f>
        <v/>
      </c>
    </row>
    <row r="206" spans="1:30">
      <c r="A206" s="3">
        <v>7</v>
      </c>
      <c r="B206" s="3">
        <v>1</v>
      </c>
      <c r="C206" s="3">
        <v>22</v>
      </c>
      <c r="D206" s="3">
        <v>1</v>
      </c>
      <c r="E206" s="3">
        <f>((1/(INDEX(E0!J$4:J$28,C206,1)-INDEX(E0!J$4:J$28,D206,1))))*100000000</f>
        <v>0</v>
      </c>
      <c r="F206" s="4" t="str">
        <f>HYPERLINK("http://141.218.60.56/~jnz1568/getInfo.php?workbook=07_01.xlsx&amp;sheet=A0&amp;row=206&amp;col=6&amp;number==&amp;sourceID=11","=")</f>
        <v>=</v>
      </c>
      <c r="G206" s="4" t="str">
        <f>HYPERLINK("http://141.218.60.56/~jnz1568/getInfo.php?workbook=07_01.xlsx&amp;sheet=A0&amp;row=206&amp;col=7&amp;number=&amp;sourceID=11","")</f>
        <v/>
      </c>
      <c r="H206" s="4" t="str">
        <f>HYPERLINK("http://141.218.60.56/~jnz1568/getInfo.php?workbook=07_01.xlsx&amp;sheet=A0&amp;row=206&amp;col=8&amp;number=21677000&amp;sourceID=11","21677000")</f>
        <v>21677000</v>
      </c>
      <c r="I206" s="4" t="str">
        <f>HYPERLINK("http://141.218.60.56/~jnz1568/getInfo.php?workbook=07_01.xlsx&amp;sheet=A0&amp;row=206&amp;col=9&amp;number=&amp;sourceID=11","")</f>
        <v/>
      </c>
      <c r="J206" s="4" t="str">
        <f>HYPERLINK("http://141.218.60.56/~jnz1568/getInfo.php?workbook=07_01.xlsx&amp;sheet=A0&amp;row=206&amp;col=10&amp;number=&amp;sourceID=11","")</f>
        <v/>
      </c>
      <c r="K206" s="4" t="str">
        <f>HYPERLINK("http://141.218.60.56/~jnz1568/getInfo.php?workbook=07_01.xlsx&amp;sheet=A0&amp;row=206&amp;col=11&amp;number=&amp;sourceID=11","")</f>
        <v/>
      </c>
      <c r="L206" s="4" t="str">
        <f>HYPERLINK("http://141.218.60.56/~jnz1568/getInfo.php?workbook=07_01.xlsx&amp;sheet=A0&amp;row=206&amp;col=12&amp;number=7.5682&amp;sourceID=11","7.5682")</f>
        <v>7.5682</v>
      </c>
      <c r="M206" s="4" t="str">
        <f>HYPERLINK("http://141.218.60.56/~jnz1568/getInfo.php?workbook=07_01.xlsx&amp;sheet=A0&amp;row=206&amp;col=13&amp;number=21678000&amp;sourceID=12","21678000")</f>
        <v>21678000</v>
      </c>
      <c r="N206" s="4" t="str">
        <f>HYPERLINK("http://141.218.60.56/~jnz1568/getInfo.php?workbook=07_01.xlsx&amp;sheet=A0&amp;row=206&amp;col=14&amp;number=&amp;sourceID=12","")</f>
        <v/>
      </c>
      <c r="O206" s="4" t="str">
        <f>HYPERLINK("http://141.218.60.56/~jnz1568/getInfo.php?workbook=07_01.xlsx&amp;sheet=A0&amp;row=206&amp;col=15&amp;number=21678000&amp;sourceID=12","21678000")</f>
        <v>21678000</v>
      </c>
      <c r="P206" s="4" t="str">
        <f>HYPERLINK("http://141.218.60.56/~jnz1568/getInfo.php?workbook=07_01.xlsx&amp;sheet=A0&amp;row=206&amp;col=16&amp;number=&amp;sourceID=12","")</f>
        <v/>
      </c>
      <c r="Q206" s="4" t="str">
        <f>HYPERLINK("http://141.218.60.56/~jnz1568/getInfo.php?workbook=07_01.xlsx&amp;sheet=A0&amp;row=206&amp;col=17&amp;number=&amp;sourceID=12","")</f>
        <v/>
      </c>
      <c r="R206" s="4" t="str">
        <f>HYPERLINK("http://141.218.60.56/~jnz1568/getInfo.php?workbook=07_01.xlsx&amp;sheet=A0&amp;row=206&amp;col=18&amp;number=&amp;sourceID=12","")</f>
        <v/>
      </c>
      <c r="S206" s="4" t="str">
        <f>HYPERLINK("http://141.218.60.56/~jnz1568/getInfo.php?workbook=07_01.xlsx&amp;sheet=A0&amp;row=206&amp;col=19&amp;number=7.5685&amp;sourceID=12","7.5685")</f>
        <v>7.5685</v>
      </c>
      <c r="T206" s="4" t="str">
        <f>HYPERLINK("http://141.218.60.56/~jnz1568/getInfo.php?workbook=07_01.xlsx&amp;sheet=A0&amp;row=206&amp;col=20&amp;number==&amp;sourceID=30","=")</f>
        <v>=</v>
      </c>
      <c r="U206" s="4" t="str">
        <f>HYPERLINK("http://141.218.60.56/~jnz1568/getInfo.php?workbook=07_01.xlsx&amp;sheet=A0&amp;row=206&amp;col=21&amp;number=&amp;sourceID=30","")</f>
        <v/>
      </c>
      <c r="V206" s="4" t="str">
        <f>HYPERLINK("http://141.218.60.56/~jnz1568/getInfo.php?workbook=07_01.xlsx&amp;sheet=A0&amp;row=206&amp;col=22&amp;number=21680000&amp;sourceID=30","21680000")</f>
        <v>21680000</v>
      </c>
      <c r="W206" s="4" t="str">
        <f>HYPERLINK("http://141.218.60.56/~jnz1568/getInfo.php?workbook=07_01.xlsx&amp;sheet=A0&amp;row=206&amp;col=23&amp;number=&amp;sourceID=30","")</f>
        <v/>
      </c>
      <c r="X206" s="4" t="str">
        <f>HYPERLINK("http://141.218.60.56/~jnz1568/getInfo.php?workbook=07_01.xlsx&amp;sheet=A0&amp;row=206&amp;col=24&amp;number=&amp;sourceID=30","")</f>
        <v/>
      </c>
      <c r="Y206" s="4" t="str">
        <f>HYPERLINK("http://141.218.60.56/~jnz1568/getInfo.php?workbook=07_01.xlsx&amp;sheet=A0&amp;row=206&amp;col=25&amp;number=&amp;sourceID=13","")</f>
        <v/>
      </c>
      <c r="Z206" s="4" t="str">
        <f>HYPERLINK("http://141.218.60.56/~jnz1568/getInfo.php?workbook=07_01.xlsx&amp;sheet=A0&amp;row=206&amp;col=26&amp;number=&amp;sourceID=13","")</f>
        <v/>
      </c>
      <c r="AA206" s="4" t="str">
        <f>HYPERLINK("http://141.218.60.56/~jnz1568/getInfo.php?workbook=07_01.xlsx&amp;sheet=A0&amp;row=206&amp;col=27&amp;number=&amp;sourceID=13","")</f>
        <v/>
      </c>
      <c r="AB206" s="4" t="str">
        <f>HYPERLINK("http://141.218.60.56/~jnz1568/getInfo.php?workbook=07_01.xlsx&amp;sheet=A0&amp;row=206&amp;col=28&amp;number=&amp;sourceID=13","")</f>
        <v/>
      </c>
      <c r="AC206" s="4" t="str">
        <f>HYPERLINK("http://141.218.60.56/~jnz1568/getInfo.php?workbook=07_01.xlsx&amp;sheet=A0&amp;row=206&amp;col=29&amp;number=&amp;sourceID=13","")</f>
        <v/>
      </c>
      <c r="AD206" s="4" t="str">
        <f>HYPERLINK("http://141.218.60.56/~jnz1568/getInfo.php?workbook=07_01.xlsx&amp;sheet=A0&amp;row=206&amp;col=30&amp;number=&amp;sourceID=13","")</f>
        <v/>
      </c>
    </row>
    <row r="207" spans="1:30">
      <c r="A207" s="3">
        <v>7</v>
      </c>
      <c r="B207" s="3">
        <v>1</v>
      </c>
      <c r="C207" s="3">
        <v>22</v>
      </c>
      <c r="D207" s="3">
        <v>2</v>
      </c>
      <c r="E207" s="3">
        <f>((1/(INDEX(E0!J$4:J$28,C207,1)-INDEX(E0!J$4:J$28,D207,1))))*100000000</f>
        <v>0</v>
      </c>
      <c r="F207" s="4" t="str">
        <f>HYPERLINK("http://141.218.60.56/~jnz1568/getInfo.php?workbook=07_01.xlsx&amp;sheet=A0&amp;row=207&amp;col=6&amp;number==&amp;sourceID=11","=")</f>
        <v>=</v>
      </c>
      <c r="G207" s="4" t="str">
        <f>HYPERLINK("http://141.218.60.56/~jnz1568/getInfo.php?workbook=07_01.xlsx&amp;sheet=A0&amp;row=207&amp;col=7&amp;number=&amp;sourceID=11","")</f>
        <v/>
      </c>
      <c r="H207" s="4" t="str">
        <f>HYPERLINK("http://141.218.60.56/~jnz1568/getInfo.php?workbook=07_01.xlsx&amp;sheet=A0&amp;row=207&amp;col=8&amp;number=&amp;sourceID=11","")</f>
        <v/>
      </c>
      <c r="I207" s="4" t="str">
        <f>HYPERLINK("http://141.218.60.56/~jnz1568/getInfo.php?workbook=07_01.xlsx&amp;sheet=A0&amp;row=207&amp;col=9&amp;number=2.232&amp;sourceID=11","2.232")</f>
        <v>2.232</v>
      </c>
      <c r="J207" s="4" t="str">
        <f>HYPERLINK("http://141.218.60.56/~jnz1568/getInfo.php?workbook=07_01.xlsx&amp;sheet=A0&amp;row=207&amp;col=10&amp;number=&amp;sourceID=11","")</f>
        <v/>
      </c>
      <c r="K207" s="4" t="str">
        <f>HYPERLINK("http://141.218.60.56/~jnz1568/getInfo.php?workbook=07_01.xlsx&amp;sheet=A0&amp;row=207&amp;col=11&amp;number=75.841&amp;sourceID=11","75.841")</f>
        <v>75.841</v>
      </c>
      <c r="L207" s="4" t="str">
        <f>HYPERLINK("http://141.218.60.56/~jnz1568/getInfo.php?workbook=07_01.xlsx&amp;sheet=A0&amp;row=207&amp;col=12&amp;number=&amp;sourceID=11","")</f>
        <v/>
      </c>
      <c r="M207" s="4" t="str">
        <f>HYPERLINK("http://141.218.60.56/~jnz1568/getInfo.php?workbook=07_01.xlsx&amp;sheet=A0&amp;row=207&amp;col=13&amp;number=78.076&amp;sourceID=12","78.076")</f>
        <v>78.076</v>
      </c>
      <c r="N207" s="4" t="str">
        <f>HYPERLINK("http://141.218.60.56/~jnz1568/getInfo.php?workbook=07_01.xlsx&amp;sheet=A0&amp;row=207&amp;col=14&amp;number=&amp;sourceID=12","")</f>
        <v/>
      </c>
      <c r="O207" s="4" t="str">
        <f>HYPERLINK("http://141.218.60.56/~jnz1568/getInfo.php?workbook=07_01.xlsx&amp;sheet=A0&amp;row=207&amp;col=15&amp;number=&amp;sourceID=12","")</f>
        <v/>
      </c>
      <c r="P207" s="4" t="str">
        <f>HYPERLINK("http://141.218.60.56/~jnz1568/getInfo.php?workbook=07_01.xlsx&amp;sheet=A0&amp;row=207&amp;col=16&amp;number=2.2321&amp;sourceID=12","2.2321")</f>
        <v>2.2321</v>
      </c>
      <c r="Q207" s="4" t="str">
        <f>HYPERLINK("http://141.218.60.56/~jnz1568/getInfo.php?workbook=07_01.xlsx&amp;sheet=A0&amp;row=207&amp;col=17&amp;number=&amp;sourceID=12","")</f>
        <v/>
      </c>
      <c r="R207" s="4" t="str">
        <f>HYPERLINK("http://141.218.60.56/~jnz1568/getInfo.php?workbook=07_01.xlsx&amp;sheet=A0&amp;row=207&amp;col=18&amp;number=75.844&amp;sourceID=12","75.844")</f>
        <v>75.844</v>
      </c>
      <c r="S207" s="4" t="str">
        <f>HYPERLINK("http://141.218.60.56/~jnz1568/getInfo.php?workbook=07_01.xlsx&amp;sheet=A0&amp;row=207&amp;col=19&amp;number=&amp;sourceID=12","")</f>
        <v/>
      </c>
      <c r="T207" s="4" t="str">
        <f>HYPERLINK("http://141.218.60.56/~jnz1568/getInfo.php?workbook=07_01.xlsx&amp;sheet=A0&amp;row=207&amp;col=20&amp;number==&amp;sourceID=30","=")</f>
        <v>=</v>
      </c>
      <c r="U207" s="4" t="str">
        <f>HYPERLINK("http://141.218.60.56/~jnz1568/getInfo.php?workbook=07_01.xlsx&amp;sheet=A0&amp;row=207&amp;col=21&amp;number=&amp;sourceID=30","")</f>
        <v/>
      </c>
      <c r="V207" s="4" t="str">
        <f>HYPERLINK("http://141.218.60.56/~jnz1568/getInfo.php?workbook=07_01.xlsx&amp;sheet=A0&amp;row=207&amp;col=22&amp;number=&amp;sourceID=30","")</f>
        <v/>
      </c>
      <c r="W207" s="4" t="str">
        <f>HYPERLINK("http://141.218.60.56/~jnz1568/getInfo.php?workbook=07_01.xlsx&amp;sheet=A0&amp;row=207&amp;col=23&amp;number=&amp;sourceID=30","")</f>
        <v/>
      </c>
      <c r="X207" s="4" t="str">
        <f>HYPERLINK("http://141.218.60.56/~jnz1568/getInfo.php?workbook=07_01.xlsx&amp;sheet=A0&amp;row=207&amp;col=24&amp;number=75.84&amp;sourceID=30","75.84")</f>
        <v>75.84</v>
      </c>
      <c r="Y207" s="4" t="str">
        <f>HYPERLINK("http://141.218.60.56/~jnz1568/getInfo.php?workbook=07_01.xlsx&amp;sheet=A0&amp;row=207&amp;col=25&amp;number=&amp;sourceID=13","")</f>
        <v/>
      </c>
      <c r="Z207" s="4" t="str">
        <f>HYPERLINK("http://141.218.60.56/~jnz1568/getInfo.php?workbook=07_01.xlsx&amp;sheet=A0&amp;row=207&amp;col=26&amp;number=&amp;sourceID=13","")</f>
        <v/>
      </c>
      <c r="AA207" s="4" t="str">
        <f>HYPERLINK("http://141.218.60.56/~jnz1568/getInfo.php?workbook=07_01.xlsx&amp;sheet=A0&amp;row=207&amp;col=27&amp;number=&amp;sourceID=13","")</f>
        <v/>
      </c>
      <c r="AB207" s="4" t="str">
        <f>HYPERLINK("http://141.218.60.56/~jnz1568/getInfo.php?workbook=07_01.xlsx&amp;sheet=A0&amp;row=207&amp;col=28&amp;number=&amp;sourceID=13","")</f>
        <v/>
      </c>
      <c r="AC207" s="4" t="str">
        <f>HYPERLINK("http://141.218.60.56/~jnz1568/getInfo.php?workbook=07_01.xlsx&amp;sheet=A0&amp;row=207&amp;col=29&amp;number=&amp;sourceID=13","")</f>
        <v/>
      </c>
      <c r="AD207" s="4" t="str">
        <f>HYPERLINK("http://141.218.60.56/~jnz1568/getInfo.php?workbook=07_01.xlsx&amp;sheet=A0&amp;row=207&amp;col=30&amp;number=&amp;sourceID=13","")</f>
        <v/>
      </c>
    </row>
    <row r="208" spans="1:30">
      <c r="A208" s="3">
        <v>7</v>
      </c>
      <c r="B208" s="3">
        <v>1</v>
      </c>
      <c r="C208" s="3">
        <v>22</v>
      </c>
      <c r="D208" s="3">
        <v>3</v>
      </c>
      <c r="E208" s="3">
        <f>((1/(INDEX(E0!J$4:J$28,C208,1)-INDEX(E0!J$4:J$28,D208,1))))*100000000</f>
        <v>0</v>
      </c>
      <c r="F208" s="4" t="str">
        <f>HYPERLINK("http://141.218.60.56/~jnz1568/getInfo.php?workbook=07_01.xlsx&amp;sheet=A0&amp;row=208&amp;col=6&amp;number==&amp;sourceID=11","=")</f>
        <v>=</v>
      </c>
      <c r="G208" s="4" t="str">
        <f>HYPERLINK("http://141.218.60.56/~jnz1568/getInfo.php?workbook=07_01.xlsx&amp;sheet=A0&amp;row=208&amp;col=7&amp;number=&amp;sourceID=11","")</f>
        <v/>
      </c>
      <c r="H208" s="4" t="str">
        <f>HYPERLINK("http://141.218.60.56/~jnz1568/getInfo.php?workbook=07_01.xlsx&amp;sheet=A0&amp;row=208&amp;col=8&amp;number=115200&amp;sourceID=11","115200")</f>
        <v>115200</v>
      </c>
      <c r="I208" s="4" t="str">
        <f>HYPERLINK("http://141.218.60.56/~jnz1568/getInfo.php?workbook=07_01.xlsx&amp;sheet=A0&amp;row=208&amp;col=9&amp;number=&amp;sourceID=11","")</f>
        <v/>
      </c>
      <c r="J208" s="4" t="str">
        <f>HYPERLINK("http://141.218.60.56/~jnz1568/getInfo.php?workbook=07_01.xlsx&amp;sheet=A0&amp;row=208&amp;col=10&amp;number=&amp;sourceID=11","")</f>
        <v/>
      </c>
      <c r="K208" s="4" t="str">
        <f>HYPERLINK("http://141.218.60.56/~jnz1568/getInfo.php?workbook=07_01.xlsx&amp;sheet=A0&amp;row=208&amp;col=11&amp;number=&amp;sourceID=11","")</f>
        <v/>
      </c>
      <c r="L208" s="4" t="str">
        <f>HYPERLINK("http://141.218.60.56/~jnz1568/getInfo.php?workbook=07_01.xlsx&amp;sheet=A0&amp;row=208&amp;col=12&amp;number=0.0019236&amp;sourceID=11","0.0019236")</f>
        <v>0.0019236</v>
      </c>
      <c r="M208" s="4" t="str">
        <f>HYPERLINK("http://141.218.60.56/~jnz1568/getInfo.php?workbook=07_01.xlsx&amp;sheet=A0&amp;row=208&amp;col=13&amp;number=115200&amp;sourceID=12","115200")</f>
        <v>115200</v>
      </c>
      <c r="N208" s="4" t="str">
        <f>HYPERLINK("http://141.218.60.56/~jnz1568/getInfo.php?workbook=07_01.xlsx&amp;sheet=A0&amp;row=208&amp;col=14&amp;number=&amp;sourceID=12","")</f>
        <v/>
      </c>
      <c r="O208" s="4" t="str">
        <f>HYPERLINK("http://141.218.60.56/~jnz1568/getInfo.php?workbook=07_01.xlsx&amp;sheet=A0&amp;row=208&amp;col=15&amp;number=115200&amp;sourceID=12","115200")</f>
        <v>115200</v>
      </c>
      <c r="P208" s="4" t="str">
        <f>HYPERLINK("http://141.218.60.56/~jnz1568/getInfo.php?workbook=07_01.xlsx&amp;sheet=A0&amp;row=208&amp;col=16&amp;number=&amp;sourceID=12","")</f>
        <v/>
      </c>
      <c r="Q208" s="4" t="str">
        <f>HYPERLINK("http://141.218.60.56/~jnz1568/getInfo.php?workbook=07_01.xlsx&amp;sheet=A0&amp;row=208&amp;col=17&amp;number=&amp;sourceID=12","")</f>
        <v/>
      </c>
      <c r="R208" s="4" t="str">
        <f>HYPERLINK("http://141.218.60.56/~jnz1568/getInfo.php?workbook=07_01.xlsx&amp;sheet=A0&amp;row=208&amp;col=18&amp;number=&amp;sourceID=12","")</f>
        <v/>
      </c>
      <c r="S208" s="4" t="str">
        <f>HYPERLINK("http://141.218.60.56/~jnz1568/getInfo.php?workbook=07_01.xlsx&amp;sheet=A0&amp;row=208&amp;col=19&amp;number=0.0019236&amp;sourceID=12","0.0019236")</f>
        <v>0.0019236</v>
      </c>
      <c r="T208" s="4" t="str">
        <f>HYPERLINK("http://141.218.60.56/~jnz1568/getInfo.php?workbook=07_01.xlsx&amp;sheet=A0&amp;row=208&amp;col=20&amp;number==&amp;sourceID=30","=")</f>
        <v>=</v>
      </c>
      <c r="U208" s="4" t="str">
        <f>HYPERLINK("http://141.218.60.56/~jnz1568/getInfo.php?workbook=07_01.xlsx&amp;sheet=A0&amp;row=208&amp;col=21&amp;number=&amp;sourceID=30","")</f>
        <v/>
      </c>
      <c r="V208" s="4" t="str">
        <f>HYPERLINK("http://141.218.60.56/~jnz1568/getInfo.php?workbook=07_01.xlsx&amp;sheet=A0&amp;row=208&amp;col=22&amp;number=115200&amp;sourceID=30","115200")</f>
        <v>115200</v>
      </c>
      <c r="W208" s="4" t="str">
        <f>HYPERLINK("http://141.218.60.56/~jnz1568/getInfo.php?workbook=07_01.xlsx&amp;sheet=A0&amp;row=208&amp;col=23&amp;number=&amp;sourceID=30","")</f>
        <v/>
      </c>
      <c r="X208" s="4" t="str">
        <f>HYPERLINK("http://141.218.60.56/~jnz1568/getInfo.php?workbook=07_01.xlsx&amp;sheet=A0&amp;row=208&amp;col=24&amp;number=&amp;sourceID=30","")</f>
        <v/>
      </c>
      <c r="Y208" s="4" t="str">
        <f>HYPERLINK("http://141.218.60.56/~jnz1568/getInfo.php?workbook=07_01.xlsx&amp;sheet=A0&amp;row=208&amp;col=25&amp;number=&amp;sourceID=13","")</f>
        <v/>
      </c>
      <c r="Z208" s="4" t="str">
        <f>HYPERLINK("http://141.218.60.56/~jnz1568/getInfo.php?workbook=07_01.xlsx&amp;sheet=A0&amp;row=208&amp;col=26&amp;number=&amp;sourceID=13","")</f>
        <v/>
      </c>
      <c r="AA208" s="4" t="str">
        <f>HYPERLINK("http://141.218.60.56/~jnz1568/getInfo.php?workbook=07_01.xlsx&amp;sheet=A0&amp;row=208&amp;col=27&amp;number=&amp;sourceID=13","")</f>
        <v/>
      </c>
      <c r="AB208" s="4" t="str">
        <f>HYPERLINK("http://141.218.60.56/~jnz1568/getInfo.php?workbook=07_01.xlsx&amp;sheet=A0&amp;row=208&amp;col=28&amp;number=&amp;sourceID=13","")</f>
        <v/>
      </c>
      <c r="AC208" s="4" t="str">
        <f>HYPERLINK("http://141.218.60.56/~jnz1568/getInfo.php?workbook=07_01.xlsx&amp;sheet=A0&amp;row=208&amp;col=29&amp;number=&amp;sourceID=13","")</f>
        <v/>
      </c>
      <c r="AD208" s="4" t="str">
        <f>HYPERLINK("http://141.218.60.56/~jnz1568/getInfo.php?workbook=07_01.xlsx&amp;sheet=A0&amp;row=208&amp;col=30&amp;number=&amp;sourceID=13","")</f>
        <v/>
      </c>
    </row>
    <row r="209" spans="1:30">
      <c r="A209" s="3">
        <v>7</v>
      </c>
      <c r="B209" s="3">
        <v>1</v>
      </c>
      <c r="C209" s="3">
        <v>22</v>
      </c>
      <c r="D209" s="3">
        <v>4</v>
      </c>
      <c r="E209" s="3">
        <f>((1/(INDEX(E0!J$4:J$28,C209,1)-INDEX(E0!J$4:J$28,D209,1))))*100000000</f>
        <v>0</v>
      </c>
      <c r="F209" s="4" t="str">
        <f>HYPERLINK("http://141.218.60.56/~jnz1568/getInfo.php?workbook=07_01.xlsx&amp;sheet=A0&amp;row=209&amp;col=6&amp;number==&amp;sourceID=11","=")</f>
        <v>=</v>
      </c>
      <c r="G209" s="4" t="str">
        <f>HYPERLINK("http://141.218.60.56/~jnz1568/getInfo.php?workbook=07_01.xlsx&amp;sheet=A0&amp;row=209&amp;col=7&amp;number=22642000000&amp;sourceID=11","22642000000")</f>
        <v>22642000000</v>
      </c>
      <c r="H209" s="4" t="str">
        <f>HYPERLINK("http://141.218.60.56/~jnz1568/getInfo.php?workbook=07_01.xlsx&amp;sheet=A0&amp;row=209&amp;col=8&amp;number=&amp;sourceID=11","")</f>
        <v/>
      </c>
      <c r="I209" s="4" t="str">
        <f>HYPERLINK("http://141.218.60.56/~jnz1568/getInfo.php?workbook=07_01.xlsx&amp;sheet=A0&amp;row=209&amp;col=9&amp;number=1.8093&amp;sourceID=11","1.8093")</f>
        <v>1.8093</v>
      </c>
      <c r="J209" s="4" t="str">
        <f>HYPERLINK("http://141.218.60.56/~jnz1568/getInfo.php?workbook=07_01.xlsx&amp;sheet=A0&amp;row=209&amp;col=10&amp;number=&amp;sourceID=11","")</f>
        <v/>
      </c>
      <c r="K209" s="4" t="str">
        <f>HYPERLINK("http://141.218.60.56/~jnz1568/getInfo.php?workbook=07_01.xlsx&amp;sheet=A0&amp;row=209&amp;col=11&amp;number=413.04&amp;sourceID=11","413.04")</f>
        <v>413.04</v>
      </c>
      <c r="L209" s="4" t="str">
        <f>HYPERLINK("http://141.218.60.56/~jnz1568/getInfo.php?workbook=07_01.xlsx&amp;sheet=A0&amp;row=209&amp;col=12&amp;number=&amp;sourceID=11","")</f>
        <v/>
      </c>
      <c r="M209" s="4" t="str">
        <f>HYPERLINK("http://141.218.60.56/~jnz1568/getInfo.php?workbook=07_01.xlsx&amp;sheet=A0&amp;row=209&amp;col=13&amp;number=22643000000&amp;sourceID=12","22643000000")</f>
        <v>22643000000</v>
      </c>
      <c r="N209" s="4" t="str">
        <f>HYPERLINK("http://141.218.60.56/~jnz1568/getInfo.php?workbook=07_01.xlsx&amp;sheet=A0&amp;row=209&amp;col=14&amp;number=22643000000&amp;sourceID=12","22643000000")</f>
        <v>22643000000</v>
      </c>
      <c r="O209" s="4" t="str">
        <f>HYPERLINK("http://141.218.60.56/~jnz1568/getInfo.php?workbook=07_01.xlsx&amp;sheet=A0&amp;row=209&amp;col=15&amp;number=&amp;sourceID=12","")</f>
        <v/>
      </c>
      <c r="P209" s="4" t="str">
        <f>HYPERLINK("http://141.218.60.56/~jnz1568/getInfo.php?workbook=07_01.xlsx&amp;sheet=A0&amp;row=209&amp;col=16&amp;number=1.8094&amp;sourceID=12","1.8094")</f>
        <v>1.8094</v>
      </c>
      <c r="Q209" s="4" t="str">
        <f>HYPERLINK("http://141.218.60.56/~jnz1568/getInfo.php?workbook=07_01.xlsx&amp;sheet=A0&amp;row=209&amp;col=17&amp;number=&amp;sourceID=12","")</f>
        <v/>
      </c>
      <c r="R209" s="4" t="str">
        <f>HYPERLINK("http://141.218.60.56/~jnz1568/getInfo.php?workbook=07_01.xlsx&amp;sheet=A0&amp;row=209&amp;col=18&amp;number=413.06&amp;sourceID=12","413.06")</f>
        <v>413.06</v>
      </c>
      <c r="S209" s="4" t="str">
        <f>HYPERLINK("http://141.218.60.56/~jnz1568/getInfo.php?workbook=07_01.xlsx&amp;sheet=A0&amp;row=209&amp;col=19&amp;number=&amp;sourceID=12","")</f>
        <v/>
      </c>
      <c r="T209" s="4" t="str">
        <f>HYPERLINK("http://141.218.60.56/~jnz1568/getInfo.php?workbook=07_01.xlsx&amp;sheet=A0&amp;row=209&amp;col=20&amp;number==&amp;sourceID=30","=")</f>
        <v>=</v>
      </c>
      <c r="U209" s="4" t="str">
        <f>HYPERLINK("http://141.218.60.56/~jnz1568/getInfo.php?workbook=07_01.xlsx&amp;sheet=A0&amp;row=209&amp;col=21&amp;number=22640000000&amp;sourceID=30","22640000000")</f>
        <v>22640000000</v>
      </c>
      <c r="V209" s="4" t="str">
        <f>HYPERLINK("http://141.218.60.56/~jnz1568/getInfo.php?workbook=07_01.xlsx&amp;sheet=A0&amp;row=209&amp;col=22&amp;number=&amp;sourceID=30","")</f>
        <v/>
      </c>
      <c r="W209" s="4" t="str">
        <f>HYPERLINK("http://141.218.60.56/~jnz1568/getInfo.php?workbook=07_01.xlsx&amp;sheet=A0&amp;row=209&amp;col=23&amp;number=&amp;sourceID=30","")</f>
        <v/>
      </c>
      <c r="X209" s="4" t="str">
        <f>HYPERLINK("http://141.218.60.56/~jnz1568/getInfo.php?workbook=07_01.xlsx&amp;sheet=A0&amp;row=209&amp;col=24&amp;number=413.1&amp;sourceID=30","413.1")</f>
        <v>413.1</v>
      </c>
      <c r="Y209" s="4" t="str">
        <f>HYPERLINK("http://141.218.60.56/~jnz1568/getInfo.php?workbook=07_01.xlsx&amp;sheet=A0&amp;row=209&amp;col=25&amp;number=&amp;sourceID=13","")</f>
        <v/>
      </c>
      <c r="Z209" s="4" t="str">
        <f>HYPERLINK("http://141.218.60.56/~jnz1568/getInfo.php?workbook=07_01.xlsx&amp;sheet=A0&amp;row=209&amp;col=26&amp;number=&amp;sourceID=13","")</f>
        <v/>
      </c>
      <c r="AA209" s="4" t="str">
        <f>HYPERLINK("http://141.218.60.56/~jnz1568/getInfo.php?workbook=07_01.xlsx&amp;sheet=A0&amp;row=209&amp;col=27&amp;number=&amp;sourceID=13","")</f>
        <v/>
      </c>
      <c r="AB209" s="4" t="str">
        <f>HYPERLINK("http://141.218.60.56/~jnz1568/getInfo.php?workbook=07_01.xlsx&amp;sheet=A0&amp;row=209&amp;col=28&amp;number=&amp;sourceID=13","")</f>
        <v/>
      </c>
      <c r="AC209" s="4" t="str">
        <f>HYPERLINK("http://141.218.60.56/~jnz1568/getInfo.php?workbook=07_01.xlsx&amp;sheet=A0&amp;row=209&amp;col=29&amp;number=&amp;sourceID=13","")</f>
        <v/>
      </c>
      <c r="AD209" s="4" t="str">
        <f>HYPERLINK("http://141.218.60.56/~jnz1568/getInfo.php?workbook=07_01.xlsx&amp;sheet=A0&amp;row=209&amp;col=30&amp;number=&amp;sourceID=13","")</f>
        <v/>
      </c>
    </row>
    <row r="210" spans="1:30">
      <c r="A210" s="3">
        <v>7</v>
      </c>
      <c r="B210" s="3">
        <v>1</v>
      </c>
      <c r="C210" s="3">
        <v>22</v>
      </c>
      <c r="D210" s="3">
        <v>5</v>
      </c>
      <c r="E210" s="3">
        <f>((1/(INDEX(E0!J$4:J$28,C210,1)-INDEX(E0!J$4:J$28,D210,1))))*100000000</f>
        <v>0</v>
      </c>
      <c r="F210" s="4" t="str">
        <f>HYPERLINK("http://141.218.60.56/~jnz1568/getInfo.php?workbook=07_01.xlsx&amp;sheet=A0&amp;row=210&amp;col=6&amp;number==&amp;sourceID=11","=")</f>
        <v>=</v>
      </c>
      <c r="G210" s="4" t="str">
        <f>HYPERLINK("http://141.218.60.56/~jnz1568/getInfo.php?workbook=07_01.xlsx&amp;sheet=A0&amp;row=210&amp;col=7&amp;number=&amp;sourceID=11","")</f>
        <v/>
      </c>
      <c r="H210" s="4" t="str">
        <f>HYPERLINK("http://141.218.60.56/~jnz1568/getInfo.php?workbook=07_01.xlsx&amp;sheet=A0&amp;row=210&amp;col=8&amp;number=&amp;sourceID=11","")</f>
        <v/>
      </c>
      <c r="I210" s="4" t="str">
        <f>HYPERLINK("http://141.218.60.56/~jnz1568/getInfo.php?workbook=07_01.xlsx&amp;sheet=A0&amp;row=210&amp;col=9&amp;number=0.24543&amp;sourceID=11","0.24543")</f>
        <v>0.24543</v>
      </c>
      <c r="J210" s="4" t="str">
        <f>HYPERLINK("http://141.218.60.56/~jnz1568/getInfo.php?workbook=07_01.xlsx&amp;sheet=A0&amp;row=210&amp;col=10&amp;number=&amp;sourceID=11","")</f>
        <v/>
      </c>
      <c r="K210" s="4" t="str">
        <f>HYPERLINK("http://141.218.60.56/~jnz1568/getInfo.php?workbook=07_01.xlsx&amp;sheet=A0&amp;row=210&amp;col=11&amp;number=3.1245&amp;sourceID=11","3.1245")</f>
        <v>3.1245</v>
      </c>
      <c r="L210" s="4" t="str">
        <f>HYPERLINK("http://141.218.60.56/~jnz1568/getInfo.php?workbook=07_01.xlsx&amp;sheet=A0&amp;row=210&amp;col=12&amp;number=&amp;sourceID=11","")</f>
        <v/>
      </c>
      <c r="M210" s="4" t="str">
        <f>HYPERLINK("http://141.218.60.56/~jnz1568/getInfo.php?workbook=07_01.xlsx&amp;sheet=A0&amp;row=210&amp;col=13&amp;number=3.3701&amp;sourceID=12","3.3701")</f>
        <v>3.3701</v>
      </c>
      <c r="N210" s="4" t="str">
        <f>HYPERLINK("http://141.218.60.56/~jnz1568/getInfo.php?workbook=07_01.xlsx&amp;sheet=A0&amp;row=210&amp;col=14&amp;number=&amp;sourceID=12","")</f>
        <v/>
      </c>
      <c r="O210" s="4" t="str">
        <f>HYPERLINK("http://141.218.60.56/~jnz1568/getInfo.php?workbook=07_01.xlsx&amp;sheet=A0&amp;row=210&amp;col=15&amp;number=&amp;sourceID=12","")</f>
        <v/>
      </c>
      <c r="P210" s="4" t="str">
        <f>HYPERLINK("http://141.218.60.56/~jnz1568/getInfo.php?workbook=07_01.xlsx&amp;sheet=A0&amp;row=210&amp;col=16&amp;number=0.24544&amp;sourceID=12","0.24544")</f>
        <v>0.24544</v>
      </c>
      <c r="Q210" s="4" t="str">
        <f>HYPERLINK("http://141.218.60.56/~jnz1568/getInfo.php?workbook=07_01.xlsx&amp;sheet=A0&amp;row=210&amp;col=17&amp;number=&amp;sourceID=12","")</f>
        <v/>
      </c>
      <c r="R210" s="4" t="str">
        <f>HYPERLINK("http://141.218.60.56/~jnz1568/getInfo.php?workbook=07_01.xlsx&amp;sheet=A0&amp;row=210&amp;col=18&amp;number=3.1247&amp;sourceID=12","3.1247")</f>
        <v>3.1247</v>
      </c>
      <c r="S210" s="4" t="str">
        <f>HYPERLINK("http://141.218.60.56/~jnz1568/getInfo.php?workbook=07_01.xlsx&amp;sheet=A0&amp;row=210&amp;col=19&amp;number=&amp;sourceID=12","")</f>
        <v/>
      </c>
      <c r="T210" s="4" t="str">
        <f>HYPERLINK("http://141.218.60.56/~jnz1568/getInfo.php?workbook=07_01.xlsx&amp;sheet=A0&amp;row=210&amp;col=20&amp;number==&amp;sourceID=30","=")</f>
        <v>=</v>
      </c>
      <c r="U210" s="4" t="str">
        <f>HYPERLINK("http://141.218.60.56/~jnz1568/getInfo.php?workbook=07_01.xlsx&amp;sheet=A0&amp;row=210&amp;col=21&amp;number=&amp;sourceID=30","")</f>
        <v/>
      </c>
      <c r="V210" s="4" t="str">
        <f>HYPERLINK("http://141.218.60.56/~jnz1568/getInfo.php?workbook=07_01.xlsx&amp;sheet=A0&amp;row=210&amp;col=22&amp;number=&amp;sourceID=30","")</f>
        <v/>
      </c>
      <c r="W210" s="4" t="str">
        <f>HYPERLINK("http://141.218.60.56/~jnz1568/getInfo.php?workbook=07_01.xlsx&amp;sheet=A0&amp;row=210&amp;col=23&amp;number=&amp;sourceID=30","")</f>
        <v/>
      </c>
      <c r="X210" s="4" t="str">
        <f>HYPERLINK("http://141.218.60.56/~jnz1568/getInfo.php?workbook=07_01.xlsx&amp;sheet=A0&amp;row=210&amp;col=24&amp;number=3.125&amp;sourceID=30","3.125")</f>
        <v>3.125</v>
      </c>
      <c r="Y210" s="4" t="str">
        <f>HYPERLINK("http://141.218.60.56/~jnz1568/getInfo.php?workbook=07_01.xlsx&amp;sheet=A0&amp;row=210&amp;col=25&amp;number=&amp;sourceID=13","")</f>
        <v/>
      </c>
      <c r="Z210" s="4" t="str">
        <f>HYPERLINK("http://141.218.60.56/~jnz1568/getInfo.php?workbook=07_01.xlsx&amp;sheet=A0&amp;row=210&amp;col=26&amp;number=&amp;sourceID=13","")</f>
        <v/>
      </c>
      <c r="AA210" s="4" t="str">
        <f>HYPERLINK("http://141.218.60.56/~jnz1568/getInfo.php?workbook=07_01.xlsx&amp;sheet=A0&amp;row=210&amp;col=27&amp;number=&amp;sourceID=13","")</f>
        <v/>
      </c>
      <c r="AB210" s="4" t="str">
        <f>HYPERLINK("http://141.218.60.56/~jnz1568/getInfo.php?workbook=07_01.xlsx&amp;sheet=A0&amp;row=210&amp;col=28&amp;number=&amp;sourceID=13","")</f>
        <v/>
      </c>
      <c r="AC210" s="4" t="str">
        <f>HYPERLINK("http://141.218.60.56/~jnz1568/getInfo.php?workbook=07_01.xlsx&amp;sheet=A0&amp;row=210&amp;col=29&amp;number=&amp;sourceID=13","")</f>
        <v/>
      </c>
      <c r="AD210" s="4" t="str">
        <f>HYPERLINK("http://141.218.60.56/~jnz1568/getInfo.php?workbook=07_01.xlsx&amp;sheet=A0&amp;row=210&amp;col=30&amp;number=&amp;sourceID=13","")</f>
        <v/>
      </c>
    </row>
    <row r="211" spans="1:30">
      <c r="A211" s="3">
        <v>7</v>
      </c>
      <c r="B211" s="3">
        <v>1</v>
      </c>
      <c r="C211" s="3">
        <v>22</v>
      </c>
      <c r="D211" s="3">
        <v>6</v>
      </c>
      <c r="E211" s="3">
        <f>((1/(INDEX(E0!J$4:J$28,C211,1)-INDEX(E0!J$4:J$28,D211,1))))*100000000</f>
        <v>0</v>
      </c>
      <c r="F211" s="4" t="str">
        <f>HYPERLINK("http://141.218.60.56/~jnz1568/getInfo.php?workbook=07_01.xlsx&amp;sheet=A0&amp;row=211&amp;col=6&amp;number==&amp;sourceID=11","=")</f>
        <v>=</v>
      </c>
      <c r="G211" s="4" t="str">
        <f>HYPERLINK("http://141.218.60.56/~jnz1568/getInfo.php?workbook=07_01.xlsx&amp;sheet=A0&amp;row=211&amp;col=7&amp;number=&amp;sourceID=11","")</f>
        <v/>
      </c>
      <c r="H211" s="4" t="str">
        <f>HYPERLINK("http://141.218.60.56/~jnz1568/getInfo.php?workbook=07_01.xlsx&amp;sheet=A0&amp;row=211&amp;col=8&amp;number=128510&amp;sourceID=11","128510")</f>
        <v>128510</v>
      </c>
      <c r="I211" s="4" t="str">
        <f>HYPERLINK("http://141.218.60.56/~jnz1568/getInfo.php?workbook=07_01.xlsx&amp;sheet=A0&amp;row=211&amp;col=9&amp;number=&amp;sourceID=11","")</f>
        <v/>
      </c>
      <c r="J211" s="4" t="str">
        <f>HYPERLINK("http://141.218.60.56/~jnz1568/getInfo.php?workbook=07_01.xlsx&amp;sheet=A0&amp;row=211&amp;col=10&amp;number=&amp;sourceID=11","")</f>
        <v/>
      </c>
      <c r="K211" s="4" t="str">
        <f>HYPERLINK("http://141.218.60.56/~jnz1568/getInfo.php?workbook=07_01.xlsx&amp;sheet=A0&amp;row=211&amp;col=11&amp;number=&amp;sourceID=11","")</f>
        <v/>
      </c>
      <c r="L211" s="4" t="str">
        <f>HYPERLINK("http://141.218.60.56/~jnz1568/getInfo.php?workbook=07_01.xlsx&amp;sheet=A0&amp;row=211&amp;col=12&amp;number=0.00024625&amp;sourceID=11","0.00024625")</f>
        <v>0.00024625</v>
      </c>
      <c r="M211" s="4" t="str">
        <f>HYPERLINK("http://141.218.60.56/~jnz1568/getInfo.php?workbook=07_01.xlsx&amp;sheet=A0&amp;row=211&amp;col=13&amp;number=128520&amp;sourceID=12","128520")</f>
        <v>128520</v>
      </c>
      <c r="N211" s="4" t="str">
        <f>HYPERLINK("http://141.218.60.56/~jnz1568/getInfo.php?workbook=07_01.xlsx&amp;sheet=A0&amp;row=211&amp;col=14&amp;number=&amp;sourceID=12","")</f>
        <v/>
      </c>
      <c r="O211" s="4" t="str">
        <f>HYPERLINK("http://141.218.60.56/~jnz1568/getInfo.php?workbook=07_01.xlsx&amp;sheet=A0&amp;row=211&amp;col=15&amp;number=128520&amp;sourceID=12","128520")</f>
        <v>128520</v>
      </c>
      <c r="P211" s="4" t="str">
        <f>HYPERLINK("http://141.218.60.56/~jnz1568/getInfo.php?workbook=07_01.xlsx&amp;sheet=A0&amp;row=211&amp;col=16&amp;number=&amp;sourceID=12","")</f>
        <v/>
      </c>
      <c r="Q211" s="4" t="str">
        <f>HYPERLINK("http://141.218.60.56/~jnz1568/getInfo.php?workbook=07_01.xlsx&amp;sheet=A0&amp;row=211&amp;col=17&amp;number=&amp;sourceID=12","")</f>
        <v/>
      </c>
      <c r="R211" s="4" t="str">
        <f>HYPERLINK("http://141.218.60.56/~jnz1568/getInfo.php?workbook=07_01.xlsx&amp;sheet=A0&amp;row=211&amp;col=18&amp;number=&amp;sourceID=12","")</f>
        <v/>
      </c>
      <c r="S211" s="4" t="str">
        <f>HYPERLINK("http://141.218.60.56/~jnz1568/getInfo.php?workbook=07_01.xlsx&amp;sheet=A0&amp;row=211&amp;col=19&amp;number=0.00024626&amp;sourceID=12","0.00024626")</f>
        <v>0.00024626</v>
      </c>
      <c r="T211" s="4" t="str">
        <f>HYPERLINK("http://141.218.60.56/~jnz1568/getInfo.php?workbook=07_01.xlsx&amp;sheet=A0&amp;row=211&amp;col=20&amp;number==&amp;sourceID=30","=")</f>
        <v>=</v>
      </c>
      <c r="U211" s="4" t="str">
        <f>HYPERLINK("http://141.218.60.56/~jnz1568/getInfo.php?workbook=07_01.xlsx&amp;sheet=A0&amp;row=211&amp;col=21&amp;number=&amp;sourceID=30","")</f>
        <v/>
      </c>
      <c r="V211" s="4" t="str">
        <f>HYPERLINK("http://141.218.60.56/~jnz1568/getInfo.php?workbook=07_01.xlsx&amp;sheet=A0&amp;row=211&amp;col=22&amp;number=128500&amp;sourceID=30","128500")</f>
        <v>128500</v>
      </c>
      <c r="W211" s="4" t="str">
        <f>HYPERLINK("http://141.218.60.56/~jnz1568/getInfo.php?workbook=07_01.xlsx&amp;sheet=A0&amp;row=211&amp;col=23&amp;number=&amp;sourceID=30","")</f>
        <v/>
      </c>
      <c r="X211" s="4" t="str">
        <f>HYPERLINK("http://141.218.60.56/~jnz1568/getInfo.php?workbook=07_01.xlsx&amp;sheet=A0&amp;row=211&amp;col=24&amp;number=&amp;sourceID=30","")</f>
        <v/>
      </c>
      <c r="Y211" s="4" t="str">
        <f>HYPERLINK("http://141.218.60.56/~jnz1568/getInfo.php?workbook=07_01.xlsx&amp;sheet=A0&amp;row=211&amp;col=25&amp;number=&amp;sourceID=13","")</f>
        <v/>
      </c>
      <c r="Z211" s="4" t="str">
        <f>HYPERLINK("http://141.218.60.56/~jnz1568/getInfo.php?workbook=07_01.xlsx&amp;sheet=A0&amp;row=211&amp;col=26&amp;number=&amp;sourceID=13","")</f>
        <v/>
      </c>
      <c r="AA211" s="4" t="str">
        <f>HYPERLINK("http://141.218.60.56/~jnz1568/getInfo.php?workbook=07_01.xlsx&amp;sheet=A0&amp;row=211&amp;col=27&amp;number=&amp;sourceID=13","")</f>
        <v/>
      </c>
      <c r="AB211" s="4" t="str">
        <f>HYPERLINK("http://141.218.60.56/~jnz1568/getInfo.php?workbook=07_01.xlsx&amp;sheet=A0&amp;row=211&amp;col=28&amp;number=&amp;sourceID=13","")</f>
        <v/>
      </c>
      <c r="AC211" s="4" t="str">
        <f>HYPERLINK("http://141.218.60.56/~jnz1568/getInfo.php?workbook=07_01.xlsx&amp;sheet=A0&amp;row=211&amp;col=29&amp;number=&amp;sourceID=13","")</f>
        <v/>
      </c>
      <c r="AD211" s="4" t="str">
        <f>HYPERLINK("http://141.218.60.56/~jnz1568/getInfo.php?workbook=07_01.xlsx&amp;sheet=A0&amp;row=211&amp;col=30&amp;number=&amp;sourceID=13","")</f>
        <v/>
      </c>
    </row>
    <row r="212" spans="1:30">
      <c r="A212" s="3">
        <v>7</v>
      </c>
      <c r="B212" s="3">
        <v>1</v>
      </c>
      <c r="C212" s="3">
        <v>22</v>
      </c>
      <c r="D212" s="3">
        <v>7</v>
      </c>
      <c r="E212" s="3">
        <f>((1/(INDEX(E0!J$4:J$28,C212,1)-INDEX(E0!J$4:J$28,D212,1))))*100000000</f>
        <v>0</v>
      </c>
      <c r="F212" s="4" t="str">
        <f>HYPERLINK("http://141.218.60.56/~jnz1568/getInfo.php?workbook=07_01.xlsx&amp;sheet=A0&amp;row=212&amp;col=6&amp;number==&amp;sourceID=11","=")</f>
        <v>=</v>
      </c>
      <c r="G212" s="4" t="str">
        <f>HYPERLINK("http://141.218.60.56/~jnz1568/getInfo.php?workbook=07_01.xlsx&amp;sheet=A0&amp;row=212&amp;col=7&amp;number=&amp;sourceID=11","")</f>
        <v/>
      </c>
      <c r="H212" s="4" t="str">
        <f>HYPERLINK("http://141.218.60.56/~jnz1568/getInfo.php?workbook=07_01.xlsx&amp;sheet=A0&amp;row=212&amp;col=8&amp;number=13502&amp;sourceID=11","13502")</f>
        <v>13502</v>
      </c>
      <c r="I212" s="4" t="str">
        <f>HYPERLINK("http://141.218.60.56/~jnz1568/getInfo.php?workbook=07_01.xlsx&amp;sheet=A0&amp;row=212&amp;col=9&amp;number=&amp;sourceID=11","")</f>
        <v/>
      </c>
      <c r="J212" s="4" t="str">
        <f>HYPERLINK("http://141.218.60.56/~jnz1568/getInfo.php?workbook=07_01.xlsx&amp;sheet=A0&amp;row=212&amp;col=10&amp;number=0.0024228&amp;sourceID=11","0.0024228")</f>
        <v>0.0024228</v>
      </c>
      <c r="K212" s="4" t="str">
        <f>HYPERLINK("http://141.218.60.56/~jnz1568/getInfo.php?workbook=07_01.xlsx&amp;sheet=A0&amp;row=212&amp;col=11&amp;number=&amp;sourceID=11","")</f>
        <v/>
      </c>
      <c r="L212" s="4" t="str">
        <f>HYPERLINK("http://141.218.60.56/~jnz1568/getInfo.php?workbook=07_01.xlsx&amp;sheet=A0&amp;row=212&amp;col=12&amp;number=1.4766e-06&amp;sourceID=11","1.4766e-06")</f>
        <v>1.4766e-06</v>
      </c>
      <c r="M212" s="4" t="str">
        <f>HYPERLINK("http://141.218.60.56/~jnz1568/getInfo.php?workbook=07_01.xlsx&amp;sheet=A0&amp;row=212&amp;col=13&amp;number=13503&amp;sourceID=12","13503")</f>
        <v>13503</v>
      </c>
      <c r="N212" s="4" t="str">
        <f>HYPERLINK("http://141.218.60.56/~jnz1568/getInfo.php?workbook=07_01.xlsx&amp;sheet=A0&amp;row=212&amp;col=14&amp;number=&amp;sourceID=12","")</f>
        <v/>
      </c>
      <c r="O212" s="4" t="str">
        <f>HYPERLINK("http://141.218.60.56/~jnz1568/getInfo.php?workbook=07_01.xlsx&amp;sheet=A0&amp;row=212&amp;col=15&amp;number=13503&amp;sourceID=12","13503")</f>
        <v>13503</v>
      </c>
      <c r="P212" s="4" t="str">
        <f>HYPERLINK("http://141.218.60.56/~jnz1568/getInfo.php?workbook=07_01.xlsx&amp;sheet=A0&amp;row=212&amp;col=16&amp;number=&amp;sourceID=12","")</f>
        <v/>
      </c>
      <c r="Q212" s="4" t="str">
        <f>HYPERLINK("http://141.218.60.56/~jnz1568/getInfo.php?workbook=07_01.xlsx&amp;sheet=A0&amp;row=212&amp;col=17&amp;number=0.0024228&amp;sourceID=12","0.0024228")</f>
        <v>0.0024228</v>
      </c>
      <c r="R212" s="4" t="str">
        <f>HYPERLINK("http://141.218.60.56/~jnz1568/getInfo.php?workbook=07_01.xlsx&amp;sheet=A0&amp;row=212&amp;col=18&amp;number=&amp;sourceID=12","")</f>
        <v/>
      </c>
      <c r="S212" s="4" t="str">
        <f>HYPERLINK("http://141.218.60.56/~jnz1568/getInfo.php?workbook=07_01.xlsx&amp;sheet=A0&amp;row=212&amp;col=19&amp;number=1.4766e-06&amp;sourceID=12","1.4766e-06")</f>
        <v>1.4766e-06</v>
      </c>
      <c r="T212" s="4" t="str">
        <f>HYPERLINK("http://141.218.60.56/~jnz1568/getInfo.php?workbook=07_01.xlsx&amp;sheet=A0&amp;row=212&amp;col=20&amp;number==&amp;sourceID=30","=")</f>
        <v>=</v>
      </c>
      <c r="U212" s="4" t="str">
        <f>HYPERLINK("http://141.218.60.56/~jnz1568/getInfo.php?workbook=07_01.xlsx&amp;sheet=A0&amp;row=212&amp;col=21&amp;number=&amp;sourceID=30","")</f>
        <v/>
      </c>
      <c r="V212" s="4" t="str">
        <f>HYPERLINK("http://141.218.60.56/~jnz1568/getInfo.php?workbook=07_01.xlsx&amp;sheet=A0&amp;row=212&amp;col=22&amp;number=13500&amp;sourceID=30","13500")</f>
        <v>13500</v>
      </c>
      <c r="W212" s="4" t="str">
        <f>HYPERLINK("http://141.218.60.56/~jnz1568/getInfo.php?workbook=07_01.xlsx&amp;sheet=A0&amp;row=212&amp;col=23&amp;number=0.002424&amp;sourceID=30","0.002424")</f>
        <v>0.002424</v>
      </c>
      <c r="X212" s="4" t="str">
        <f>HYPERLINK("http://141.218.60.56/~jnz1568/getInfo.php?workbook=07_01.xlsx&amp;sheet=A0&amp;row=212&amp;col=24&amp;number=&amp;sourceID=30","")</f>
        <v/>
      </c>
      <c r="Y212" s="4" t="str">
        <f>HYPERLINK("http://141.218.60.56/~jnz1568/getInfo.php?workbook=07_01.xlsx&amp;sheet=A0&amp;row=212&amp;col=25&amp;number=&amp;sourceID=13","")</f>
        <v/>
      </c>
      <c r="Z212" s="4" t="str">
        <f>HYPERLINK("http://141.218.60.56/~jnz1568/getInfo.php?workbook=07_01.xlsx&amp;sheet=A0&amp;row=212&amp;col=26&amp;number=&amp;sourceID=13","")</f>
        <v/>
      </c>
      <c r="AA212" s="4" t="str">
        <f>HYPERLINK("http://141.218.60.56/~jnz1568/getInfo.php?workbook=07_01.xlsx&amp;sheet=A0&amp;row=212&amp;col=27&amp;number=&amp;sourceID=13","")</f>
        <v/>
      </c>
      <c r="AB212" s="4" t="str">
        <f>HYPERLINK("http://141.218.60.56/~jnz1568/getInfo.php?workbook=07_01.xlsx&amp;sheet=A0&amp;row=212&amp;col=28&amp;number=&amp;sourceID=13","")</f>
        <v/>
      </c>
      <c r="AC212" s="4" t="str">
        <f>HYPERLINK("http://141.218.60.56/~jnz1568/getInfo.php?workbook=07_01.xlsx&amp;sheet=A0&amp;row=212&amp;col=29&amp;number=&amp;sourceID=13","")</f>
        <v/>
      </c>
      <c r="AD212" s="4" t="str">
        <f>HYPERLINK("http://141.218.60.56/~jnz1568/getInfo.php?workbook=07_01.xlsx&amp;sheet=A0&amp;row=212&amp;col=30&amp;number=&amp;sourceID=13","")</f>
        <v/>
      </c>
    </row>
    <row r="213" spans="1:30">
      <c r="A213" s="3">
        <v>7</v>
      </c>
      <c r="B213" s="3">
        <v>1</v>
      </c>
      <c r="C213" s="3">
        <v>22</v>
      </c>
      <c r="D213" s="3">
        <v>8</v>
      </c>
      <c r="E213" s="3">
        <f>((1/(INDEX(E0!J$4:J$28,C213,1)-INDEX(E0!J$4:J$28,D213,1))))*100000000</f>
        <v>0</v>
      </c>
      <c r="F213" s="4" t="str">
        <f>HYPERLINK("http://141.218.60.56/~jnz1568/getInfo.php?workbook=07_01.xlsx&amp;sheet=A0&amp;row=213&amp;col=6&amp;number==&amp;sourceID=11","=")</f>
        <v>=</v>
      </c>
      <c r="G213" s="4" t="str">
        <f>HYPERLINK("http://141.218.60.56/~jnz1568/getInfo.php?workbook=07_01.xlsx&amp;sheet=A0&amp;row=213&amp;col=7&amp;number=8148200000&amp;sourceID=11","8148200000")</f>
        <v>8148200000</v>
      </c>
      <c r="H213" s="4" t="str">
        <f>HYPERLINK("http://141.218.60.56/~jnz1568/getInfo.php?workbook=07_01.xlsx&amp;sheet=A0&amp;row=213&amp;col=8&amp;number=&amp;sourceID=11","")</f>
        <v/>
      </c>
      <c r="I213" s="4" t="str">
        <f>HYPERLINK("http://141.218.60.56/~jnz1568/getInfo.php?workbook=07_01.xlsx&amp;sheet=A0&amp;row=213&amp;col=9&amp;number=0.19306&amp;sourceID=11","0.19306")</f>
        <v>0.19306</v>
      </c>
      <c r="J213" s="4" t="str">
        <f>HYPERLINK("http://141.218.60.56/~jnz1568/getInfo.php?workbook=07_01.xlsx&amp;sheet=A0&amp;row=213&amp;col=10&amp;number=&amp;sourceID=11","")</f>
        <v/>
      </c>
      <c r="K213" s="4" t="str">
        <f>HYPERLINK("http://141.218.60.56/~jnz1568/getInfo.php?workbook=07_01.xlsx&amp;sheet=A0&amp;row=213&amp;col=11&amp;number=17.054&amp;sourceID=11","17.054")</f>
        <v>17.054</v>
      </c>
      <c r="L213" s="4" t="str">
        <f>HYPERLINK("http://141.218.60.56/~jnz1568/getInfo.php?workbook=07_01.xlsx&amp;sheet=A0&amp;row=213&amp;col=12&amp;number=&amp;sourceID=11","")</f>
        <v/>
      </c>
      <c r="M213" s="4" t="str">
        <f>HYPERLINK("http://141.218.60.56/~jnz1568/getInfo.php?workbook=07_01.xlsx&amp;sheet=A0&amp;row=213&amp;col=13&amp;number=8148500000&amp;sourceID=12","8148500000")</f>
        <v>8148500000</v>
      </c>
      <c r="N213" s="4" t="str">
        <f>HYPERLINK("http://141.218.60.56/~jnz1568/getInfo.php?workbook=07_01.xlsx&amp;sheet=A0&amp;row=213&amp;col=14&amp;number=8148500000&amp;sourceID=12","8148500000")</f>
        <v>8148500000</v>
      </c>
      <c r="O213" s="4" t="str">
        <f>HYPERLINK("http://141.218.60.56/~jnz1568/getInfo.php?workbook=07_01.xlsx&amp;sheet=A0&amp;row=213&amp;col=15&amp;number=&amp;sourceID=12","")</f>
        <v/>
      </c>
      <c r="P213" s="4" t="str">
        <f>HYPERLINK("http://141.218.60.56/~jnz1568/getInfo.php?workbook=07_01.xlsx&amp;sheet=A0&amp;row=213&amp;col=16&amp;number=0.19307&amp;sourceID=12","0.19307")</f>
        <v>0.19307</v>
      </c>
      <c r="Q213" s="4" t="str">
        <f>HYPERLINK("http://141.218.60.56/~jnz1568/getInfo.php?workbook=07_01.xlsx&amp;sheet=A0&amp;row=213&amp;col=17&amp;number=&amp;sourceID=12","")</f>
        <v/>
      </c>
      <c r="R213" s="4" t="str">
        <f>HYPERLINK("http://141.218.60.56/~jnz1568/getInfo.php?workbook=07_01.xlsx&amp;sheet=A0&amp;row=213&amp;col=18&amp;number=17.055&amp;sourceID=12","17.055")</f>
        <v>17.055</v>
      </c>
      <c r="S213" s="4" t="str">
        <f>HYPERLINK("http://141.218.60.56/~jnz1568/getInfo.php?workbook=07_01.xlsx&amp;sheet=A0&amp;row=213&amp;col=19&amp;number=&amp;sourceID=12","")</f>
        <v/>
      </c>
      <c r="T213" s="4" t="str">
        <f>HYPERLINK("http://141.218.60.56/~jnz1568/getInfo.php?workbook=07_01.xlsx&amp;sheet=A0&amp;row=213&amp;col=20&amp;number==&amp;sourceID=30","=")</f>
        <v>=</v>
      </c>
      <c r="U213" s="4" t="str">
        <f>HYPERLINK("http://141.218.60.56/~jnz1568/getInfo.php?workbook=07_01.xlsx&amp;sheet=A0&amp;row=213&amp;col=21&amp;number=8148000000&amp;sourceID=30","8148000000")</f>
        <v>8148000000</v>
      </c>
      <c r="V213" s="4" t="str">
        <f>HYPERLINK("http://141.218.60.56/~jnz1568/getInfo.php?workbook=07_01.xlsx&amp;sheet=A0&amp;row=213&amp;col=22&amp;number=&amp;sourceID=30","")</f>
        <v/>
      </c>
      <c r="W213" s="4" t="str">
        <f>HYPERLINK("http://141.218.60.56/~jnz1568/getInfo.php?workbook=07_01.xlsx&amp;sheet=A0&amp;row=213&amp;col=23&amp;number=&amp;sourceID=30","")</f>
        <v/>
      </c>
      <c r="X213" s="4" t="str">
        <f>HYPERLINK("http://141.218.60.56/~jnz1568/getInfo.php?workbook=07_01.xlsx&amp;sheet=A0&amp;row=213&amp;col=24&amp;number=17.06&amp;sourceID=30","17.06")</f>
        <v>17.06</v>
      </c>
      <c r="Y213" s="4" t="str">
        <f>HYPERLINK("http://141.218.60.56/~jnz1568/getInfo.php?workbook=07_01.xlsx&amp;sheet=A0&amp;row=213&amp;col=25&amp;number=&amp;sourceID=13","")</f>
        <v/>
      </c>
      <c r="Z213" s="4" t="str">
        <f>HYPERLINK("http://141.218.60.56/~jnz1568/getInfo.php?workbook=07_01.xlsx&amp;sheet=A0&amp;row=213&amp;col=26&amp;number=&amp;sourceID=13","")</f>
        <v/>
      </c>
      <c r="AA213" s="4" t="str">
        <f>HYPERLINK("http://141.218.60.56/~jnz1568/getInfo.php?workbook=07_01.xlsx&amp;sheet=A0&amp;row=213&amp;col=27&amp;number=&amp;sourceID=13","")</f>
        <v/>
      </c>
      <c r="AB213" s="4" t="str">
        <f>HYPERLINK("http://141.218.60.56/~jnz1568/getInfo.php?workbook=07_01.xlsx&amp;sheet=A0&amp;row=213&amp;col=28&amp;number=&amp;sourceID=13","")</f>
        <v/>
      </c>
      <c r="AC213" s="4" t="str">
        <f>HYPERLINK("http://141.218.60.56/~jnz1568/getInfo.php?workbook=07_01.xlsx&amp;sheet=A0&amp;row=213&amp;col=29&amp;number=&amp;sourceID=13","")</f>
        <v/>
      </c>
      <c r="AD213" s="4" t="str">
        <f>HYPERLINK("http://141.218.60.56/~jnz1568/getInfo.php?workbook=07_01.xlsx&amp;sheet=A0&amp;row=213&amp;col=30&amp;number=&amp;sourceID=13","")</f>
        <v/>
      </c>
    </row>
    <row r="214" spans="1:30">
      <c r="A214" s="3">
        <v>7</v>
      </c>
      <c r="B214" s="3">
        <v>1</v>
      </c>
      <c r="C214" s="3">
        <v>22</v>
      </c>
      <c r="D214" s="3">
        <v>9</v>
      </c>
      <c r="E214" s="3">
        <f>((1/(INDEX(E0!J$4:J$28,C214,1)-INDEX(E0!J$4:J$28,D214,1))))*100000000</f>
        <v>0</v>
      </c>
      <c r="F214" s="4" t="str">
        <f>HYPERLINK("http://141.218.60.56/~jnz1568/getInfo.php?workbook=07_01.xlsx&amp;sheet=A0&amp;row=214&amp;col=6&amp;number==&amp;sourceID=11","=")</f>
        <v>=</v>
      </c>
      <c r="G214" s="4" t="str">
        <f>HYPERLINK("http://141.218.60.56/~jnz1568/getInfo.php?workbook=07_01.xlsx&amp;sheet=A0&amp;row=214&amp;col=7&amp;number=&amp;sourceID=11","")</f>
        <v/>
      </c>
      <c r="H214" s="4" t="str">
        <f>HYPERLINK("http://141.218.60.56/~jnz1568/getInfo.php?workbook=07_01.xlsx&amp;sheet=A0&amp;row=214&amp;col=8&amp;number=53969&amp;sourceID=11","53969")</f>
        <v>53969</v>
      </c>
      <c r="I214" s="4" t="str">
        <f>HYPERLINK("http://141.218.60.56/~jnz1568/getInfo.php?workbook=07_01.xlsx&amp;sheet=A0&amp;row=214&amp;col=9&amp;number=&amp;sourceID=11","")</f>
        <v/>
      </c>
      <c r="J214" s="4" t="str">
        <f>HYPERLINK("http://141.218.60.56/~jnz1568/getInfo.php?workbook=07_01.xlsx&amp;sheet=A0&amp;row=214&amp;col=10&amp;number=0.017673&amp;sourceID=11","0.017673")</f>
        <v>0.017673</v>
      </c>
      <c r="K214" s="4" t="str">
        <f>HYPERLINK("http://141.218.60.56/~jnz1568/getInfo.php?workbook=07_01.xlsx&amp;sheet=A0&amp;row=214&amp;col=11&amp;number=&amp;sourceID=11","")</f>
        <v/>
      </c>
      <c r="L214" s="4" t="str">
        <f>HYPERLINK("http://141.218.60.56/~jnz1568/getInfo.php?workbook=07_01.xlsx&amp;sheet=A0&amp;row=214&amp;col=12&amp;number=0.00017919&amp;sourceID=11","0.00017919")</f>
        <v>0.00017919</v>
      </c>
      <c r="M214" s="4" t="str">
        <f>HYPERLINK("http://141.218.60.56/~jnz1568/getInfo.php?workbook=07_01.xlsx&amp;sheet=A0&amp;row=214&amp;col=13&amp;number=53971&amp;sourceID=12","53971")</f>
        <v>53971</v>
      </c>
      <c r="N214" s="4" t="str">
        <f>HYPERLINK("http://141.218.60.56/~jnz1568/getInfo.php?workbook=07_01.xlsx&amp;sheet=A0&amp;row=214&amp;col=14&amp;number=&amp;sourceID=12","")</f>
        <v/>
      </c>
      <c r="O214" s="4" t="str">
        <f>HYPERLINK("http://141.218.60.56/~jnz1568/getInfo.php?workbook=07_01.xlsx&amp;sheet=A0&amp;row=214&amp;col=15&amp;number=53971&amp;sourceID=12","53971")</f>
        <v>53971</v>
      </c>
      <c r="P214" s="4" t="str">
        <f>HYPERLINK("http://141.218.60.56/~jnz1568/getInfo.php?workbook=07_01.xlsx&amp;sheet=A0&amp;row=214&amp;col=16&amp;number=&amp;sourceID=12","")</f>
        <v/>
      </c>
      <c r="Q214" s="4" t="str">
        <f>HYPERLINK("http://141.218.60.56/~jnz1568/getInfo.php?workbook=07_01.xlsx&amp;sheet=A0&amp;row=214&amp;col=17&amp;number=0.017674&amp;sourceID=12","0.017674")</f>
        <v>0.017674</v>
      </c>
      <c r="R214" s="4" t="str">
        <f>HYPERLINK("http://141.218.60.56/~jnz1568/getInfo.php?workbook=07_01.xlsx&amp;sheet=A0&amp;row=214&amp;col=18&amp;number=&amp;sourceID=12","")</f>
        <v/>
      </c>
      <c r="S214" s="4" t="str">
        <f>HYPERLINK("http://141.218.60.56/~jnz1568/getInfo.php?workbook=07_01.xlsx&amp;sheet=A0&amp;row=214&amp;col=19&amp;number=0.00017919&amp;sourceID=12","0.00017919")</f>
        <v>0.00017919</v>
      </c>
      <c r="T214" s="4" t="str">
        <f>HYPERLINK("http://141.218.60.56/~jnz1568/getInfo.php?workbook=07_01.xlsx&amp;sheet=A0&amp;row=214&amp;col=20&amp;number==SUM(U214:X214)&amp;sourceID=30","=SUM(U214:X214)")</f>
        <v>=SUM(U214:X214)</v>
      </c>
      <c r="U214" s="4" t="str">
        <f>HYPERLINK("http://141.218.60.56/~jnz1568/getInfo.php?workbook=07_01.xlsx&amp;sheet=A0&amp;row=214&amp;col=21&amp;number=&amp;sourceID=30","")</f>
        <v/>
      </c>
      <c r="V214" s="4" t="str">
        <f>HYPERLINK("http://141.218.60.56/~jnz1568/getInfo.php?workbook=07_01.xlsx&amp;sheet=A0&amp;row=214&amp;col=22&amp;number=53970&amp;sourceID=30","53970")</f>
        <v>53970</v>
      </c>
      <c r="W214" s="4" t="str">
        <f>HYPERLINK("http://141.218.60.56/~jnz1568/getInfo.php?workbook=07_01.xlsx&amp;sheet=A0&amp;row=214&amp;col=23&amp;number=0.01767&amp;sourceID=30","0.01767")</f>
        <v>0.01767</v>
      </c>
      <c r="X214" s="4" t="str">
        <f>HYPERLINK("http://141.218.60.56/~jnz1568/getInfo.php?workbook=07_01.xlsx&amp;sheet=A0&amp;row=214&amp;col=24&amp;number=&amp;sourceID=30","")</f>
        <v/>
      </c>
      <c r="Y214" s="4" t="str">
        <f>HYPERLINK("http://141.218.60.56/~jnz1568/getInfo.php?workbook=07_01.xlsx&amp;sheet=A0&amp;row=214&amp;col=25&amp;number=&amp;sourceID=13","")</f>
        <v/>
      </c>
      <c r="Z214" s="4" t="str">
        <f>HYPERLINK("http://141.218.60.56/~jnz1568/getInfo.php?workbook=07_01.xlsx&amp;sheet=A0&amp;row=214&amp;col=26&amp;number=&amp;sourceID=13","")</f>
        <v/>
      </c>
      <c r="AA214" s="4" t="str">
        <f>HYPERLINK("http://141.218.60.56/~jnz1568/getInfo.php?workbook=07_01.xlsx&amp;sheet=A0&amp;row=214&amp;col=27&amp;number=&amp;sourceID=13","")</f>
        <v/>
      </c>
      <c r="AB214" s="4" t="str">
        <f>HYPERLINK("http://141.218.60.56/~jnz1568/getInfo.php?workbook=07_01.xlsx&amp;sheet=A0&amp;row=214&amp;col=28&amp;number=&amp;sourceID=13","")</f>
        <v/>
      </c>
      <c r="AC214" s="4" t="str">
        <f>HYPERLINK("http://141.218.60.56/~jnz1568/getInfo.php?workbook=07_01.xlsx&amp;sheet=A0&amp;row=214&amp;col=29&amp;number=&amp;sourceID=13","")</f>
        <v/>
      </c>
      <c r="AD214" s="4" t="str">
        <f>HYPERLINK("http://141.218.60.56/~jnz1568/getInfo.php?workbook=07_01.xlsx&amp;sheet=A0&amp;row=214&amp;col=30&amp;number=&amp;sourceID=13","")</f>
        <v/>
      </c>
    </row>
    <row r="215" spans="1:30">
      <c r="A215" s="3">
        <v>7</v>
      </c>
      <c r="B215" s="3">
        <v>1</v>
      </c>
      <c r="C215" s="3">
        <v>22</v>
      </c>
      <c r="D215" s="3">
        <v>10</v>
      </c>
      <c r="E215" s="3">
        <f>((1/(INDEX(E0!J$4:J$28,C215,1)-INDEX(E0!J$4:J$28,D215,1))))*100000000</f>
        <v>0</v>
      </c>
      <c r="F215" s="4" t="str">
        <f>HYPERLINK("http://141.218.60.56/~jnz1568/getInfo.php?workbook=07_01.xlsx&amp;sheet=A0&amp;row=215&amp;col=6&amp;number==&amp;sourceID=11","=")</f>
        <v>=</v>
      </c>
      <c r="G215" s="4" t="str">
        <f>HYPERLINK("http://141.218.60.56/~jnz1568/getInfo.php?workbook=07_01.xlsx&amp;sheet=A0&amp;row=215&amp;col=7&amp;number=&amp;sourceID=11","")</f>
        <v/>
      </c>
      <c r="H215" s="4" t="str">
        <f>HYPERLINK("http://141.218.60.56/~jnz1568/getInfo.php?workbook=07_01.xlsx&amp;sheet=A0&amp;row=215&amp;col=8&amp;number=&amp;sourceID=11","")</f>
        <v/>
      </c>
      <c r="I215" s="4" t="str">
        <f>HYPERLINK("http://141.218.60.56/~jnz1568/getInfo.php?workbook=07_01.xlsx&amp;sheet=A0&amp;row=215&amp;col=9&amp;number=0.42102&amp;sourceID=11","0.42102")</f>
        <v>0.42102</v>
      </c>
      <c r="J215" s="4" t="str">
        <f>HYPERLINK("http://141.218.60.56/~jnz1568/getInfo.php?workbook=07_01.xlsx&amp;sheet=A0&amp;row=215&amp;col=10&amp;number=&amp;sourceID=11","")</f>
        <v/>
      </c>
      <c r="K215" s="4" t="str">
        <f>HYPERLINK("http://141.218.60.56/~jnz1568/getInfo.php?workbook=07_01.xlsx&amp;sheet=A0&amp;row=215&amp;col=11&amp;number=0.13686&amp;sourceID=11","0.13686")</f>
        <v>0.13686</v>
      </c>
      <c r="L215" s="4" t="str">
        <f>HYPERLINK("http://141.218.60.56/~jnz1568/getInfo.php?workbook=07_01.xlsx&amp;sheet=A0&amp;row=215&amp;col=12&amp;number=&amp;sourceID=11","")</f>
        <v/>
      </c>
      <c r="M215" s="4" t="str">
        <f>HYPERLINK("http://141.218.60.56/~jnz1568/getInfo.php?workbook=07_01.xlsx&amp;sheet=A0&amp;row=215&amp;col=13&amp;number=0.5579&amp;sourceID=12","0.5579")</f>
        <v>0.5579</v>
      </c>
      <c r="N215" s="4" t="str">
        <f>HYPERLINK("http://141.218.60.56/~jnz1568/getInfo.php?workbook=07_01.xlsx&amp;sheet=A0&amp;row=215&amp;col=14&amp;number=&amp;sourceID=12","")</f>
        <v/>
      </c>
      <c r="O215" s="4" t="str">
        <f>HYPERLINK("http://141.218.60.56/~jnz1568/getInfo.php?workbook=07_01.xlsx&amp;sheet=A0&amp;row=215&amp;col=15&amp;number=&amp;sourceID=12","")</f>
        <v/>
      </c>
      <c r="P215" s="4" t="str">
        <f>HYPERLINK("http://141.218.60.56/~jnz1568/getInfo.php?workbook=07_01.xlsx&amp;sheet=A0&amp;row=215&amp;col=16&amp;number=0.42103&amp;sourceID=12","0.42103")</f>
        <v>0.42103</v>
      </c>
      <c r="Q215" s="4" t="str">
        <f>HYPERLINK("http://141.218.60.56/~jnz1568/getInfo.php?workbook=07_01.xlsx&amp;sheet=A0&amp;row=215&amp;col=17&amp;number=&amp;sourceID=12","")</f>
        <v/>
      </c>
      <c r="R215" s="4" t="str">
        <f>HYPERLINK("http://141.218.60.56/~jnz1568/getInfo.php?workbook=07_01.xlsx&amp;sheet=A0&amp;row=215&amp;col=18&amp;number=0.13687&amp;sourceID=12","0.13687")</f>
        <v>0.13687</v>
      </c>
      <c r="S215" s="4" t="str">
        <f>HYPERLINK("http://141.218.60.56/~jnz1568/getInfo.php?workbook=07_01.xlsx&amp;sheet=A0&amp;row=215&amp;col=19&amp;number=&amp;sourceID=12","")</f>
        <v/>
      </c>
      <c r="T215" s="4" t="str">
        <f>HYPERLINK("http://141.218.60.56/~jnz1568/getInfo.php?workbook=07_01.xlsx&amp;sheet=A0&amp;row=215&amp;col=20&amp;number==&amp;sourceID=30","=")</f>
        <v>=</v>
      </c>
      <c r="U215" s="4" t="str">
        <f>HYPERLINK("http://141.218.60.56/~jnz1568/getInfo.php?workbook=07_01.xlsx&amp;sheet=A0&amp;row=215&amp;col=21&amp;number=&amp;sourceID=30","")</f>
        <v/>
      </c>
      <c r="V215" s="4" t="str">
        <f>HYPERLINK("http://141.218.60.56/~jnz1568/getInfo.php?workbook=07_01.xlsx&amp;sheet=A0&amp;row=215&amp;col=22&amp;number=&amp;sourceID=30","")</f>
        <v/>
      </c>
      <c r="W215" s="4" t="str">
        <f>HYPERLINK("http://141.218.60.56/~jnz1568/getInfo.php?workbook=07_01.xlsx&amp;sheet=A0&amp;row=215&amp;col=23&amp;number=&amp;sourceID=30","")</f>
        <v/>
      </c>
      <c r="X215" s="4" t="str">
        <f>HYPERLINK("http://141.218.60.56/~jnz1568/getInfo.php?workbook=07_01.xlsx&amp;sheet=A0&amp;row=215&amp;col=24&amp;number=0.1369&amp;sourceID=30","0.1369")</f>
        <v>0.1369</v>
      </c>
      <c r="Y215" s="4" t="str">
        <f>HYPERLINK("http://141.218.60.56/~jnz1568/getInfo.php?workbook=07_01.xlsx&amp;sheet=A0&amp;row=215&amp;col=25&amp;number=&amp;sourceID=13","")</f>
        <v/>
      </c>
      <c r="Z215" s="4" t="str">
        <f>HYPERLINK("http://141.218.60.56/~jnz1568/getInfo.php?workbook=07_01.xlsx&amp;sheet=A0&amp;row=215&amp;col=26&amp;number=&amp;sourceID=13","")</f>
        <v/>
      </c>
      <c r="AA215" s="4" t="str">
        <f>HYPERLINK("http://141.218.60.56/~jnz1568/getInfo.php?workbook=07_01.xlsx&amp;sheet=A0&amp;row=215&amp;col=27&amp;number=&amp;sourceID=13","")</f>
        <v/>
      </c>
      <c r="AB215" s="4" t="str">
        <f>HYPERLINK("http://141.218.60.56/~jnz1568/getInfo.php?workbook=07_01.xlsx&amp;sheet=A0&amp;row=215&amp;col=28&amp;number=&amp;sourceID=13","")</f>
        <v/>
      </c>
      <c r="AC215" s="4" t="str">
        <f>HYPERLINK("http://141.218.60.56/~jnz1568/getInfo.php?workbook=07_01.xlsx&amp;sheet=A0&amp;row=215&amp;col=29&amp;number=&amp;sourceID=13","")</f>
        <v/>
      </c>
      <c r="AD215" s="4" t="str">
        <f>HYPERLINK("http://141.218.60.56/~jnz1568/getInfo.php?workbook=07_01.xlsx&amp;sheet=A0&amp;row=215&amp;col=30&amp;number=&amp;sourceID=13","")</f>
        <v/>
      </c>
    </row>
    <row r="216" spans="1:30">
      <c r="A216" s="3">
        <v>7</v>
      </c>
      <c r="B216" s="3">
        <v>1</v>
      </c>
      <c r="C216" s="3">
        <v>22</v>
      </c>
      <c r="D216" s="3">
        <v>11</v>
      </c>
      <c r="E216" s="3">
        <f>((1/(INDEX(E0!J$4:J$28,C216,1)-INDEX(E0!J$4:J$28,D216,1))))*100000000</f>
        <v>0</v>
      </c>
      <c r="F216" s="4" t="str">
        <f>HYPERLINK("http://141.218.60.56/~jnz1568/getInfo.php?workbook=07_01.xlsx&amp;sheet=A0&amp;row=216&amp;col=6&amp;number==&amp;sourceID=11","=")</f>
        <v>=</v>
      </c>
      <c r="G216" s="4" t="str">
        <f>HYPERLINK("http://141.218.60.56/~jnz1568/getInfo.php?workbook=07_01.xlsx&amp;sheet=A0&amp;row=216&amp;col=7&amp;number=&amp;sourceID=11","")</f>
        <v/>
      </c>
      <c r="H216" s="4" t="str">
        <f>HYPERLINK("http://141.218.60.56/~jnz1568/getInfo.php?workbook=07_01.xlsx&amp;sheet=A0&amp;row=216&amp;col=8&amp;number=63617&amp;sourceID=11","63617")</f>
        <v>63617</v>
      </c>
      <c r="I216" s="4" t="str">
        <f>HYPERLINK("http://141.218.60.56/~jnz1568/getInfo.php?workbook=07_01.xlsx&amp;sheet=A0&amp;row=216&amp;col=9&amp;number=&amp;sourceID=11","")</f>
        <v/>
      </c>
      <c r="J216" s="4" t="str">
        <f>HYPERLINK("http://141.218.60.56/~jnz1568/getInfo.php?workbook=07_01.xlsx&amp;sheet=A0&amp;row=216&amp;col=10&amp;number=&amp;sourceID=11","")</f>
        <v/>
      </c>
      <c r="K216" s="4" t="str">
        <f>HYPERLINK("http://141.218.60.56/~jnz1568/getInfo.php?workbook=07_01.xlsx&amp;sheet=A0&amp;row=216&amp;col=11&amp;number=&amp;sourceID=11","")</f>
        <v/>
      </c>
      <c r="L216" s="4" t="str">
        <f>HYPERLINK("http://141.218.60.56/~jnz1568/getInfo.php?workbook=07_01.xlsx&amp;sheet=A0&amp;row=216&amp;col=12&amp;number=1.2214e-05&amp;sourceID=11","1.2214e-05")</f>
        <v>1.2214e-05</v>
      </c>
      <c r="M216" s="4" t="str">
        <f>HYPERLINK("http://141.218.60.56/~jnz1568/getInfo.php?workbook=07_01.xlsx&amp;sheet=A0&amp;row=216&amp;col=13&amp;number=63620&amp;sourceID=12","63620")</f>
        <v>63620</v>
      </c>
      <c r="N216" s="4" t="str">
        <f>HYPERLINK("http://141.218.60.56/~jnz1568/getInfo.php?workbook=07_01.xlsx&amp;sheet=A0&amp;row=216&amp;col=14&amp;number=&amp;sourceID=12","")</f>
        <v/>
      </c>
      <c r="O216" s="4" t="str">
        <f>HYPERLINK("http://141.218.60.56/~jnz1568/getInfo.php?workbook=07_01.xlsx&amp;sheet=A0&amp;row=216&amp;col=15&amp;number=63620&amp;sourceID=12","63620")</f>
        <v>63620</v>
      </c>
      <c r="P216" s="4" t="str">
        <f>HYPERLINK("http://141.218.60.56/~jnz1568/getInfo.php?workbook=07_01.xlsx&amp;sheet=A0&amp;row=216&amp;col=16&amp;number=&amp;sourceID=12","")</f>
        <v/>
      </c>
      <c r="Q216" s="4" t="str">
        <f>HYPERLINK("http://141.218.60.56/~jnz1568/getInfo.php?workbook=07_01.xlsx&amp;sheet=A0&amp;row=216&amp;col=17&amp;number=&amp;sourceID=12","")</f>
        <v/>
      </c>
      <c r="R216" s="4" t="str">
        <f>HYPERLINK("http://141.218.60.56/~jnz1568/getInfo.php?workbook=07_01.xlsx&amp;sheet=A0&amp;row=216&amp;col=18&amp;number=&amp;sourceID=12","")</f>
        <v/>
      </c>
      <c r="S216" s="4" t="str">
        <f>HYPERLINK("http://141.218.60.56/~jnz1568/getInfo.php?workbook=07_01.xlsx&amp;sheet=A0&amp;row=216&amp;col=19&amp;number=1.2214e-05&amp;sourceID=12","1.2214e-05")</f>
        <v>1.2214e-05</v>
      </c>
      <c r="T216" s="4" t="str">
        <f>HYPERLINK("http://141.218.60.56/~jnz1568/getInfo.php?workbook=07_01.xlsx&amp;sheet=A0&amp;row=216&amp;col=20&amp;number==&amp;sourceID=30","=")</f>
        <v>=</v>
      </c>
      <c r="U216" s="4" t="str">
        <f>HYPERLINK("http://141.218.60.56/~jnz1568/getInfo.php?workbook=07_01.xlsx&amp;sheet=A0&amp;row=216&amp;col=21&amp;number=&amp;sourceID=30","")</f>
        <v/>
      </c>
      <c r="V216" s="4" t="str">
        <f>HYPERLINK("http://141.218.60.56/~jnz1568/getInfo.php?workbook=07_01.xlsx&amp;sheet=A0&amp;row=216&amp;col=22&amp;number=63620&amp;sourceID=30","63620")</f>
        <v>63620</v>
      </c>
      <c r="W216" s="4" t="str">
        <f>HYPERLINK("http://141.218.60.56/~jnz1568/getInfo.php?workbook=07_01.xlsx&amp;sheet=A0&amp;row=216&amp;col=23&amp;number=&amp;sourceID=30","")</f>
        <v/>
      </c>
      <c r="X216" s="4" t="str">
        <f>HYPERLINK("http://141.218.60.56/~jnz1568/getInfo.php?workbook=07_01.xlsx&amp;sheet=A0&amp;row=216&amp;col=24&amp;number=&amp;sourceID=30","")</f>
        <v/>
      </c>
      <c r="Y216" s="4" t="str">
        <f>HYPERLINK("http://141.218.60.56/~jnz1568/getInfo.php?workbook=07_01.xlsx&amp;sheet=A0&amp;row=216&amp;col=25&amp;number=&amp;sourceID=13","")</f>
        <v/>
      </c>
      <c r="Z216" s="4" t="str">
        <f>HYPERLINK("http://141.218.60.56/~jnz1568/getInfo.php?workbook=07_01.xlsx&amp;sheet=A0&amp;row=216&amp;col=26&amp;number=&amp;sourceID=13","")</f>
        <v/>
      </c>
      <c r="AA216" s="4" t="str">
        <f>HYPERLINK("http://141.218.60.56/~jnz1568/getInfo.php?workbook=07_01.xlsx&amp;sheet=A0&amp;row=216&amp;col=27&amp;number=&amp;sourceID=13","")</f>
        <v/>
      </c>
      <c r="AB216" s="4" t="str">
        <f>HYPERLINK("http://141.218.60.56/~jnz1568/getInfo.php?workbook=07_01.xlsx&amp;sheet=A0&amp;row=216&amp;col=28&amp;number=&amp;sourceID=13","")</f>
        <v/>
      </c>
      <c r="AC216" s="4" t="str">
        <f>HYPERLINK("http://141.218.60.56/~jnz1568/getInfo.php?workbook=07_01.xlsx&amp;sheet=A0&amp;row=216&amp;col=29&amp;number=&amp;sourceID=13","")</f>
        <v/>
      </c>
      <c r="AD216" s="4" t="str">
        <f>HYPERLINK("http://141.218.60.56/~jnz1568/getInfo.php?workbook=07_01.xlsx&amp;sheet=A0&amp;row=216&amp;col=30&amp;number=&amp;sourceID=13","")</f>
        <v/>
      </c>
    </row>
    <row r="217" spans="1:30">
      <c r="A217" s="3">
        <v>7</v>
      </c>
      <c r="B217" s="3">
        <v>1</v>
      </c>
      <c r="C217" s="3">
        <v>22</v>
      </c>
      <c r="D217" s="3">
        <v>12</v>
      </c>
      <c r="E217" s="3">
        <f>((1/(INDEX(E0!J$4:J$28,C217,1)-INDEX(E0!J$4:J$28,D217,1))))*100000000</f>
        <v>0</v>
      </c>
      <c r="F217" s="4" t="str">
        <f>HYPERLINK("http://141.218.60.56/~jnz1568/getInfo.php?workbook=07_01.xlsx&amp;sheet=A0&amp;row=217&amp;col=6&amp;number==&amp;sourceID=11","=")</f>
        <v>=</v>
      </c>
      <c r="G217" s="4" t="str">
        <f>HYPERLINK("http://141.218.60.56/~jnz1568/getInfo.php?workbook=07_01.xlsx&amp;sheet=A0&amp;row=217&amp;col=7&amp;number=&amp;sourceID=11","")</f>
        <v/>
      </c>
      <c r="H217" s="4" t="str">
        <f>HYPERLINK("http://141.218.60.56/~jnz1568/getInfo.php?workbook=07_01.xlsx&amp;sheet=A0&amp;row=217&amp;col=8&amp;number=6255.3&amp;sourceID=11","6255.3")</f>
        <v>6255.3</v>
      </c>
      <c r="I217" s="4" t="str">
        <f>HYPERLINK("http://141.218.60.56/~jnz1568/getInfo.php?workbook=07_01.xlsx&amp;sheet=A0&amp;row=217&amp;col=9&amp;number=&amp;sourceID=11","")</f>
        <v/>
      </c>
      <c r="J217" s="4" t="str">
        <f>HYPERLINK("http://141.218.60.56/~jnz1568/getInfo.php?workbook=07_01.xlsx&amp;sheet=A0&amp;row=217&amp;col=10&amp;number=0.00059271&amp;sourceID=11","0.00059271")</f>
        <v>0.00059271</v>
      </c>
      <c r="K217" s="4" t="str">
        <f>HYPERLINK("http://141.218.60.56/~jnz1568/getInfo.php?workbook=07_01.xlsx&amp;sheet=A0&amp;row=217&amp;col=11&amp;number=&amp;sourceID=11","")</f>
        <v/>
      </c>
      <c r="L217" s="4" t="str">
        <f>HYPERLINK("http://141.218.60.56/~jnz1568/getInfo.php?workbook=07_01.xlsx&amp;sheet=A0&amp;row=217&amp;col=12&amp;number=6.8503e-08&amp;sourceID=11","6.8503e-08")</f>
        <v>6.8503e-08</v>
      </c>
      <c r="M217" s="4" t="str">
        <f>HYPERLINK("http://141.218.60.56/~jnz1568/getInfo.php?workbook=07_01.xlsx&amp;sheet=A0&amp;row=217&amp;col=13&amp;number=6255.5&amp;sourceID=12","6255.5")</f>
        <v>6255.5</v>
      </c>
      <c r="N217" s="4" t="str">
        <f>HYPERLINK("http://141.218.60.56/~jnz1568/getInfo.php?workbook=07_01.xlsx&amp;sheet=A0&amp;row=217&amp;col=14&amp;number=&amp;sourceID=12","")</f>
        <v/>
      </c>
      <c r="O217" s="4" t="str">
        <f>HYPERLINK("http://141.218.60.56/~jnz1568/getInfo.php?workbook=07_01.xlsx&amp;sheet=A0&amp;row=217&amp;col=15&amp;number=6255.5&amp;sourceID=12","6255.5")</f>
        <v>6255.5</v>
      </c>
      <c r="P217" s="4" t="str">
        <f>HYPERLINK("http://141.218.60.56/~jnz1568/getInfo.php?workbook=07_01.xlsx&amp;sheet=A0&amp;row=217&amp;col=16&amp;number=&amp;sourceID=12","")</f>
        <v/>
      </c>
      <c r="Q217" s="4" t="str">
        <f>HYPERLINK("http://141.218.60.56/~jnz1568/getInfo.php?workbook=07_01.xlsx&amp;sheet=A0&amp;row=217&amp;col=17&amp;number=0.00059278&amp;sourceID=12","0.00059278")</f>
        <v>0.00059278</v>
      </c>
      <c r="R217" s="4" t="str">
        <f>HYPERLINK("http://141.218.60.56/~jnz1568/getInfo.php?workbook=07_01.xlsx&amp;sheet=A0&amp;row=217&amp;col=18&amp;number=&amp;sourceID=12","")</f>
        <v/>
      </c>
      <c r="S217" s="4" t="str">
        <f>HYPERLINK("http://141.218.60.56/~jnz1568/getInfo.php?workbook=07_01.xlsx&amp;sheet=A0&amp;row=217&amp;col=19&amp;number=6.8505e-08&amp;sourceID=12","6.8505e-08")</f>
        <v>6.8505e-08</v>
      </c>
      <c r="T217" s="4" t="str">
        <f>HYPERLINK("http://141.218.60.56/~jnz1568/getInfo.php?workbook=07_01.xlsx&amp;sheet=A0&amp;row=217&amp;col=20&amp;number==&amp;sourceID=30","=")</f>
        <v>=</v>
      </c>
      <c r="U217" s="4" t="str">
        <f>HYPERLINK("http://141.218.60.56/~jnz1568/getInfo.php?workbook=07_01.xlsx&amp;sheet=A0&amp;row=217&amp;col=21&amp;number=&amp;sourceID=30","")</f>
        <v/>
      </c>
      <c r="V217" s="4" t="str">
        <f>HYPERLINK("http://141.218.60.56/~jnz1568/getInfo.php?workbook=07_01.xlsx&amp;sheet=A0&amp;row=217&amp;col=22&amp;number=6256&amp;sourceID=30","6256")</f>
        <v>6256</v>
      </c>
      <c r="W217" s="4" t="str">
        <f>HYPERLINK("http://141.218.60.56/~jnz1568/getInfo.php?workbook=07_01.xlsx&amp;sheet=A0&amp;row=217&amp;col=23&amp;number=0.0005934&amp;sourceID=30","0.0005934")</f>
        <v>0.0005934</v>
      </c>
      <c r="X217" s="4" t="str">
        <f>HYPERLINK("http://141.218.60.56/~jnz1568/getInfo.php?workbook=07_01.xlsx&amp;sheet=A0&amp;row=217&amp;col=24&amp;number=&amp;sourceID=30","")</f>
        <v/>
      </c>
      <c r="Y217" s="4" t="str">
        <f>HYPERLINK("http://141.218.60.56/~jnz1568/getInfo.php?workbook=07_01.xlsx&amp;sheet=A0&amp;row=217&amp;col=25&amp;number=&amp;sourceID=13","")</f>
        <v/>
      </c>
      <c r="Z217" s="4" t="str">
        <f>HYPERLINK("http://141.218.60.56/~jnz1568/getInfo.php?workbook=07_01.xlsx&amp;sheet=A0&amp;row=217&amp;col=26&amp;number=&amp;sourceID=13","")</f>
        <v/>
      </c>
      <c r="AA217" s="4" t="str">
        <f>HYPERLINK("http://141.218.60.56/~jnz1568/getInfo.php?workbook=07_01.xlsx&amp;sheet=A0&amp;row=217&amp;col=27&amp;number=&amp;sourceID=13","")</f>
        <v/>
      </c>
      <c r="AB217" s="4" t="str">
        <f>HYPERLINK("http://141.218.60.56/~jnz1568/getInfo.php?workbook=07_01.xlsx&amp;sheet=A0&amp;row=217&amp;col=28&amp;number=&amp;sourceID=13","")</f>
        <v/>
      </c>
      <c r="AC217" s="4" t="str">
        <f>HYPERLINK("http://141.218.60.56/~jnz1568/getInfo.php?workbook=07_01.xlsx&amp;sheet=A0&amp;row=217&amp;col=29&amp;number=&amp;sourceID=13","")</f>
        <v/>
      </c>
      <c r="AD217" s="4" t="str">
        <f>HYPERLINK("http://141.218.60.56/~jnz1568/getInfo.php?workbook=07_01.xlsx&amp;sheet=A0&amp;row=217&amp;col=30&amp;number=&amp;sourceID=13","")</f>
        <v/>
      </c>
    </row>
    <row r="218" spans="1:30">
      <c r="A218" s="3">
        <v>7</v>
      </c>
      <c r="B218" s="3">
        <v>1</v>
      </c>
      <c r="C218" s="3">
        <v>22</v>
      </c>
      <c r="D218" s="3">
        <v>13</v>
      </c>
      <c r="E218" s="3">
        <f>((1/(INDEX(E0!J$4:J$28,C218,1)-INDEX(E0!J$4:J$28,D218,1))))*100000000</f>
        <v>0</v>
      </c>
      <c r="F218" s="4" t="str">
        <f>HYPERLINK("http://141.218.60.56/~jnz1568/getInfo.php?workbook=07_01.xlsx&amp;sheet=A0&amp;row=218&amp;col=6&amp;number==&amp;sourceID=11","=")</f>
        <v>=</v>
      </c>
      <c r="G218" s="4" t="str">
        <f>HYPERLINK("http://141.218.60.56/~jnz1568/getInfo.php?workbook=07_01.xlsx&amp;sheet=A0&amp;row=218&amp;col=7&amp;number=3568500000&amp;sourceID=11","3568500000")</f>
        <v>3568500000</v>
      </c>
      <c r="H218" s="4" t="str">
        <f>HYPERLINK("http://141.218.60.56/~jnz1568/getInfo.php?workbook=07_01.xlsx&amp;sheet=A0&amp;row=218&amp;col=8&amp;number=&amp;sourceID=11","")</f>
        <v/>
      </c>
      <c r="I218" s="4" t="str">
        <f>HYPERLINK("http://141.218.60.56/~jnz1568/getInfo.php?workbook=07_01.xlsx&amp;sheet=A0&amp;row=218&amp;col=9&amp;number=0.33566&amp;sourceID=11","0.33566")</f>
        <v>0.33566</v>
      </c>
      <c r="J218" s="4" t="str">
        <f>HYPERLINK("http://141.218.60.56/~jnz1568/getInfo.php?workbook=07_01.xlsx&amp;sheet=A0&amp;row=218&amp;col=10&amp;number=&amp;sourceID=11","")</f>
        <v/>
      </c>
      <c r="K218" s="4" t="str">
        <f>HYPERLINK("http://141.218.60.56/~jnz1568/getInfo.php?workbook=07_01.xlsx&amp;sheet=A0&amp;row=218&amp;col=11&amp;number=0.74799&amp;sourceID=11","0.74799")</f>
        <v>0.74799</v>
      </c>
      <c r="L218" s="4" t="str">
        <f>HYPERLINK("http://141.218.60.56/~jnz1568/getInfo.php?workbook=07_01.xlsx&amp;sheet=A0&amp;row=218&amp;col=12&amp;number=&amp;sourceID=11","")</f>
        <v/>
      </c>
      <c r="M218" s="4" t="str">
        <f>HYPERLINK("http://141.218.60.56/~jnz1568/getInfo.php?workbook=07_01.xlsx&amp;sheet=A0&amp;row=218&amp;col=13&amp;number=3568600000&amp;sourceID=12","3568600000")</f>
        <v>3568600000</v>
      </c>
      <c r="N218" s="4" t="str">
        <f>HYPERLINK("http://141.218.60.56/~jnz1568/getInfo.php?workbook=07_01.xlsx&amp;sheet=A0&amp;row=218&amp;col=14&amp;number=3568600000&amp;sourceID=12","3568600000")</f>
        <v>3568600000</v>
      </c>
      <c r="O218" s="4" t="str">
        <f>HYPERLINK("http://141.218.60.56/~jnz1568/getInfo.php?workbook=07_01.xlsx&amp;sheet=A0&amp;row=218&amp;col=15&amp;number=&amp;sourceID=12","")</f>
        <v/>
      </c>
      <c r="P218" s="4" t="str">
        <f>HYPERLINK("http://141.218.60.56/~jnz1568/getInfo.php?workbook=07_01.xlsx&amp;sheet=A0&amp;row=218&amp;col=16&amp;number=0.33567&amp;sourceID=12","0.33567")</f>
        <v>0.33567</v>
      </c>
      <c r="Q218" s="4" t="str">
        <f>HYPERLINK("http://141.218.60.56/~jnz1568/getInfo.php?workbook=07_01.xlsx&amp;sheet=A0&amp;row=218&amp;col=17&amp;number=&amp;sourceID=12","")</f>
        <v/>
      </c>
      <c r="R218" s="4" t="str">
        <f>HYPERLINK("http://141.218.60.56/~jnz1568/getInfo.php?workbook=07_01.xlsx&amp;sheet=A0&amp;row=218&amp;col=18&amp;number=0.74802&amp;sourceID=12","0.74802")</f>
        <v>0.74802</v>
      </c>
      <c r="S218" s="4" t="str">
        <f>HYPERLINK("http://141.218.60.56/~jnz1568/getInfo.php?workbook=07_01.xlsx&amp;sheet=A0&amp;row=218&amp;col=19&amp;number=&amp;sourceID=12","")</f>
        <v/>
      </c>
      <c r="T218" s="4" t="str">
        <f>HYPERLINK("http://141.218.60.56/~jnz1568/getInfo.php?workbook=07_01.xlsx&amp;sheet=A0&amp;row=218&amp;col=20&amp;number==&amp;sourceID=30","=")</f>
        <v>=</v>
      </c>
      <c r="U218" s="4" t="str">
        <f>HYPERLINK("http://141.218.60.56/~jnz1568/getInfo.php?workbook=07_01.xlsx&amp;sheet=A0&amp;row=218&amp;col=21&amp;number=3569000000&amp;sourceID=30","3569000000")</f>
        <v>3569000000</v>
      </c>
      <c r="V218" s="4" t="str">
        <f>HYPERLINK("http://141.218.60.56/~jnz1568/getInfo.php?workbook=07_01.xlsx&amp;sheet=A0&amp;row=218&amp;col=22&amp;number=&amp;sourceID=30","")</f>
        <v/>
      </c>
      <c r="W218" s="4" t="str">
        <f>HYPERLINK("http://141.218.60.56/~jnz1568/getInfo.php?workbook=07_01.xlsx&amp;sheet=A0&amp;row=218&amp;col=23&amp;number=&amp;sourceID=30","")</f>
        <v/>
      </c>
      <c r="X218" s="4" t="str">
        <f>HYPERLINK("http://141.218.60.56/~jnz1568/getInfo.php?workbook=07_01.xlsx&amp;sheet=A0&amp;row=218&amp;col=24&amp;number=0.748&amp;sourceID=30","0.748")</f>
        <v>0.748</v>
      </c>
      <c r="Y218" s="4" t="str">
        <f>HYPERLINK("http://141.218.60.56/~jnz1568/getInfo.php?workbook=07_01.xlsx&amp;sheet=A0&amp;row=218&amp;col=25&amp;number=&amp;sourceID=13","")</f>
        <v/>
      </c>
      <c r="Z218" s="4" t="str">
        <f>HYPERLINK("http://141.218.60.56/~jnz1568/getInfo.php?workbook=07_01.xlsx&amp;sheet=A0&amp;row=218&amp;col=26&amp;number=&amp;sourceID=13","")</f>
        <v/>
      </c>
      <c r="AA218" s="4" t="str">
        <f>HYPERLINK("http://141.218.60.56/~jnz1568/getInfo.php?workbook=07_01.xlsx&amp;sheet=A0&amp;row=218&amp;col=27&amp;number=&amp;sourceID=13","")</f>
        <v/>
      </c>
      <c r="AB218" s="4" t="str">
        <f>HYPERLINK("http://141.218.60.56/~jnz1568/getInfo.php?workbook=07_01.xlsx&amp;sheet=A0&amp;row=218&amp;col=28&amp;number=&amp;sourceID=13","")</f>
        <v/>
      </c>
      <c r="AC218" s="4" t="str">
        <f>HYPERLINK("http://141.218.60.56/~jnz1568/getInfo.php?workbook=07_01.xlsx&amp;sheet=A0&amp;row=218&amp;col=29&amp;number=&amp;sourceID=13","")</f>
        <v/>
      </c>
      <c r="AD218" s="4" t="str">
        <f>HYPERLINK("http://141.218.60.56/~jnz1568/getInfo.php?workbook=07_01.xlsx&amp;sheet=A0&amp;row=218&amp;col=30&amp;number=&amp;sourceID=13","")</f>
        <v/>
      </c>
    </row>
    <row r="219" spans="1:30">
      <c r="A219" s="3">
        <v>7</v>
      </c>
      <c r="B219" s="3">
        <v>1</v>
      </c>
      <c r="C219" s="3">
        <v>22</v>
      </c>
      <c r="D219" s="3">
        <v>14</v>
      </c>
      <c r="E219" s="3">
        <f>((1/(INDEX(E0!J$4:J$28,C219,1)-INDEX(E0!J$4:J$28,D219,1))))*100000000</f>
        <v>0</v>
      </c>
      <c r="F219" s="4" t="str">
        <f>HYPERLINK("http://141.218.60.56/~jnz1568/getInfo.php?workbook=07_01.xlsx&amp;sheet=A0&amp;row=219&amp;col=6&amp;number==&amp;sourceID=11","=")</f>
        <v>=</v>
      </c>
      <c r="G219" s="4" t="str">
        <f>HYPERLINK("http://141.218.60.56/~jnz1568/getInfo.php?workbook=07_01.xlsx&amp;sheet=A0&amp;row=219&amp;col=7&amp;number=5775700&amp;sourceID=11","5775700")</f>
        <v>5775700</v>
      </c>
      <c r="H219" s="4" t="str">
        <f>HYPERLINK("http://141.218.60.56/~jnz1568/getInfo.php?workbook=07_01.xlsx&amp;sheet=A0&amp;row=219&amp;col=8&amp;number=&amp;sourceID=11","")</f>
        <v/>
      </c>
      <c r="I219" s="4" t="str">
        <f>HYPERLINK("http://141.218.60.56/~jnz1568/getInfo.php?workbook=07_01.xlsx&amp;sheet=A0&amp;row=219&amp;col=9&amp;number=0.030194&amp;sourceID=11","0.030194")</f>
        <v>0.030194</v>
      </c>
      <c r="J219" s="4" t="str">
        <f>HYPERLINK("http://141.218.60.56/~jnz1568/getInfo.php?workbook=07_01.xlsx&amp;sheet=A0&amp;row=219&amp;col=10&amp;number=&amp;sourceID=11","")</f>
        <v/>
      </c>
      <c r="K219" s="4" t="str">
        <f>HYPERLINK("http://141.218.60.56/~jnz1568/getInfo.php?workbook=07_01.xlsx&amp;sheet=A0&amp;row=219&amp;col=11&amp;number=&amp;sourceID=11","")</f>
        <v/>
      </c>
      <c r="L219" s="4" t="str">
        <f>HYPERLINK("http://141.218.60.56/~jnz1568/getInfo.php?workbook=07_01.xlsx&amp;sheet=A0&amp;row=219&amp;col=12&amp;number=&amp;sourceID=11","")</f>
        <v/>
      </c>
      <c r="M219" s="4" t="str">
        <f>HYPERLINK("http://141.218.60.56/~jnz1568/getInfo.php?workbook=07_01.xlsx&amp;sheet=A0&amp;row=219&amp;col=13&amp;number=5775900&amp;sourceID=12","5775900")</f>
        <v>5775900</v>
      </c>
      <c r="N219" s="4" t="str">
        <f>HYPERLINK("http://141.218.60.56/~jnz1568/getInfo.php?workbook=07_01.xlsx&amp;sheet=A0&amp;row=219&amp;col=14&amp;number=5775900&amp;sourceID=12","5775900")</f>
        <v>5775900</v>
      </c>
      <c r="O219" s="4" t="str">
        <f>HYPERLINK("http://141.218.60.56/~jnz1568/getInfo.php?workbook=07_01.xlsx&amp;sheet=A0&amp;row=219&amp;col=15&amp;number=&amp;sourceID=12","")</f>
        <v/>
      </c>
      <c r="P219" s="4" t="str">
        <f>HYPERLINK("http://141.218.60.56/~jnz1568/getInfo.php?workbook=07_01.xlsx&amp;sheet=A0&amp;row=219&amp;col=16&amp;number=0.030195&amp;sourceID=12","0.030195")</f>
        <v>0.030195</v>
      </c>
      <c r="Q219" s="4" t="str">
        <f>HYPERLINK("http://141.218.60.56/~jnz1568/getInfo.php?workbook=07_01.xlsx&amp;sheet=A0&amp;row=219&amp;col=17&amp;number=&amp;sourceID=12","")</f>
        <v/>
      </c>
      <c r="R219" s="4" t="str">
        <f>HYPERLINK("http://141.218.60.56/~jnz1568/getInfo.php?workbook=07_01.xlsx&amp;sheet=A0&amp;row=219&amp;col=18&amp;number=&amp;sourceID=12","")</f>
        <v/>
      </c>
      <c r="S219" s="4" t="str">
        <f>HYPERLINK("http://141.218.60.56/~jnz1568/getInfo.php?workbook=07_01.xlsx&amp;sheet=A0&amp;row=219&amp;col=19&amp;number=&amp;sourceID=12","")</f>
        <v/>
      </c>
      <c r="T219" s="4" t="str">
        <f>HYPERLINK("http://141.218.60.56/~jnz1568/getInfo.php?workbook=07_01.xlsx&amp;sheet=A0&amp;row=219&amp;col=20&amp;number==&amp;sourceID=30","=")</f>
        <v>=</v>
      </c>
      <c r="U219" s="4" t="str">
        <f>HYPERLINK("http://141.218.60.56/~jnz1568/getInfo.php?workbook=07_01.xlsx&amp;sheet=A0&amp;row=219&amp;col=21&amp;number=5776000&amp;sourceID=30","5776000")</f>
        <v>5776000</v>
      </c>
      <c r="V219" s="4" t="str">
        <f>HYPERLINK("http://141.218.60.56/~jnz1568/getInfo.php?workbook=07_01.xlsx&amp;sheet=A0&amp;row=219&amp;col=22&amp;number=&amp;sourceID=30","")</f>
        <v/>
      </c>
      <c r="W219" s="4" t="str">
        <f>HYPERLINK("http://141.218.60.56/~jnz1568/getInfo.php?workbook=07_01.xlsx&amp;sheet=A0&amp;row=219&amp;col=23&amp;number=&amp;sourceID=30","")</f>
        <v/>
      </c>
      <c r="X219" s="4" t="str">
        <f>HYPERLINK("http://141.218.60.56/~jnz1568/getInfo.php?workbook=07_01.xlsx&amp;sheet=A0&amp;row=219&amp;col=24&amp;number=&amp;sourceID=30","")</f>
        <v/>
      </c>
      <c r="Y219" s="4" t="str">
        <f>HYPERLINK("http://141.218.60.56/~jnz1568/getInfo.php?workbook=07_01.xlsx&amp;sheet=A0&amp;row=219&amp;col=25&amp;number=&amp;sourceID=13","")</f>
        <v/>
      </c>
      <c r="Z219" s="4" t="str">
        <f>HYPERLINK("http://141.218.60.56/~jnz1568/getInfo.php?workbook=07_01.xlsx&amp;sheet=A0&amp;row=219&amp;col=26&amp;number=&amp;sourceID=13","")</f>
        <v/>
      </c>
      <c r="AA219" s="4" t="str">
        <f>HYPERLINK("http://141.218.60.56/~jnz1568/getInfo.php?workbook=07_01.xlsx&amp;sheet=A0&amp;row=219&amp;col=27&amp;number=&amp;sourceID=13","")</f>
        <v/>
      </c>
      <c r="AB219" s="4" t="str">
        <f>HYPERLINK("http://141.218.60.56/~jnz1568/getInfo.php?workbook=07_01.xlsx&amp;sheet=A0&amp;row=219&amp;col=28&amp;number=&amp;sourceID=13","")</f>
        <v/>
      </c>
      <c r="AC219" s="4" t="str">
        <f>HYPERLINK("http://141.218.60.56/~jnz1568/getInfo.php?workbook=07_01.xlsx&amp;sheet=A0&amp;row=219&amp;col=29&amp;number=&amp;sourceID=13","")</f>
        <v/>
      </c>
      <c r="AD219" s="4" t="str">
        <f>HYPERLINK("http://141.218.60.56/~jnz1568/getInfo.php?workbook=07_01.xlsx&amp;sheet=A0&amp;row=219&amp;col=30&amp;number=&amp;sourceID=13","")</f>
        <v/>
      </c>
    </row>
    <row r="220" spans="1:30">
      <c r="A220" s="3">
        <v>7</v>
      </c>
      <c r="B220" s="3">
        <v>1</v>
      </c>
      <c r="C220" s="3">
        <v>22</v>
      </c>
      <c r="D220" s="3">
        <v>15</v>
      </c>
      <c r="E220" s="3">
        <f>((1/(INDEX(E0!J$4:J$28,C220,1)-INDEX(E0!J$4:J$28,D220,1))))*100000000</f>
        <v>0</v>
      </c>
      <c r="F220" s="4" t="str">
        <f>HYPERLINK("http://141.218.60.56/~jnz1568/getInfo.php?workbook=07_01.xlsx&amp;sheet=A0&amp;row=220&amp;col=6&amp;number==&amp;sourceID=11","=")</f>
        <v>=</v>
      </c>
      <c r="G220" s="4" t="str">
        <f>HYPERLINK("http://141.218.60.56/~jnz1568/getInfo.php?workbook=07_01.xlsx&amp;sheet=A0&amp;row=220&amp;col=7&amp;number=&amp;sourceID=11","")</f>
        <v/>
      </c>
      <c r="H220" s="4" t="str">
        <f>HYPERLINK("http://141.218.60.56/~jnz1568/getInfo.php?workbook=07_01.xlsx&amp;sheet=A0&amp;row=220&amp;col=8&amp;number=25014&amp;sourceID=11","25014")</f>
        <v>25014</v>
      </c>
      <c r="I220" s="4" t="str">
        <f>HYPERLINK("http://141.218.60.56/~jnz1568/getInfo.php?workbook=07_01.xlsx&amp;sheet=A0&amp;row=220&amp;col=9&amp;number=&amp;sourceID=11","")</f>
        <v/>
      </c>
      <c r="J220" s="4" t="str">
        <f>HYPERLINK("http://141.218.60.56/~jnz1568/getInfo.php?workbook=07_01.xlsx&amp;sheet=A0&amp;row=220&amp;col=10&amp;number=0.00081989&amp;sourceID=11","0.00081989")</f>
        <v>0.00081989</v>
      </c>
      <c r="K220" s="4" t="str">
        <f>HYPERLINK("http://141.218.60.56/~jnz1568/getInfo.php?workbook=07_01.xlsx&amp;sheet=A0&amp;row=220&amp;col=11&amp;number=&amp;sourceID=11","")</f>
        <v/>
      </c>
      <c r="L220" s="4" t="str">
        <f>HYPERLINK("http://141.218.60.56/~jnz1568/getInfo.php?workbook=07_01.xlsx&amp;sheet=A0&amp;row=220&amp;col=12&amp;number=8.3158e-06&amp;sourceID=11","8.3158e-06")</f>
        <v>8.3158e-06</v>
      </c>
      <c r="M220" s="4" t="str">
        <f>HYPERLINK("http://141.218.60.56/~jnz1568/getInfo.php?workbook=07_01.xlsx&amp;sheet=A0&amp;row=220&amp;col=13&amp;number=25015&amp;sourceID=12","25015")</f>
        <v>25015</v>
      </c>
      <c r="N220" s="4" t="str">
        <f>HYPERLINK("http://141.218.60.56/~jnz1568/getInfo.php?workbook=07_01.xlsx&amp;sheet=A0&amp;row=220&amp;col=14&amp;number=&amp;sourceID=12","")</f>
        <v/>
      </c>
      <c r="O220" s="4" t="str">
        <f>HYPERLINK("http://141.218.60.56/~jnz1568/getInfo.php?workbook=07_01.xlsx&amp;sheet=A0&amp;row=220&amp;col=15&amp;number=25015&amp;sourceID=12","25015")</f>
        <v>25015</v>
      </c>
      <c r="P220" s="4" t="str">
        <f>HYPERLINK("http://141.218.60.56/~jnz1568/getInfo.php?workbook=07_01.xlsx&amp;sheet=A0&amp;row=220&amp;col=16&amp;number=&amp;sourceID=12","")</f>
        <v/>
      </c>
      <c r="Q220" s="4" t="str">
        <f>HYPERLINK("http://141.218.60.56/~jnz1568/getInfo.php?workbook=07_01.xlsx&amp;sheet=A0&amp;row=220&amp;col=17&amp;number=0.00081992&amp;sourceID=12","0.00081992")</f>
        <v>0.00081992</v>
      </c>
      <c r="R220" s="4" t="str">
        <f>HYPERLINK("http://141.218.60.56/~jnz1568/getInfo.php?workbook=07_01.xlsx&amp;sheet=A0&amp;row=220&amp;col=18&amp;number=&amp;sourceID=12","")</f>
        <v/>
      </c>
      <c r="S220" s="4" t="str">
        <f>HYPERLINK("http://141.218.60.56/~jnz1568/getInfo.php?workbook=07_01.xlsx&amp;sheet=A0&amp;row=220&amp;col=19&amp;number=8.3161e-06&amp;sourceID=12","8.3161e-06")</f>
        <v>8.3161e-06</v>
      </c>
      <c r="T220" s="4" t="str">
        <f>HYPERLINK("http://141.218.60.56/~jnz1568/getInfo.php?workbook=07_01.xlsx&amp;sheet=A0&amp;row=220&amp;col=20&amp;number==&amp;sourceID=30","=")</f>
        <v>=</v>
      </c>
      <c r="U220" s="4" t="str">
        <f>HYPERLINK("http://141.218.60.56/~jnz1568/getInfo.php?workbook=07_01.xlsx&amp;sheet=A0&amp;row=220&amp;col=21&amp;number=&amp;sourceID=30","")</f>
        <v/>
      </c>
      <c r="V220" s="4" t="str">
        <f>HYPERLINK("http://141.218.60.56/~jnz1568/getInfo.php?workbook=07_01.xlsx&amp;sheet=A0&amp;row=220&amp;col=22&amp;number=25020&amp;sourceID=30","25020")</f>
        <v>25020</v>
      </c>
      <c r="W220" s="4" t="str">
        <f>HYPERLINK("http://141.218.60.56/~jnz1568/getInfo.php?workbook=07_01.xlsx&amp;sheet=A0&amp;row=220&amp;col=23&amp;number=0.0008189&amp;sourceID=30","0.0008189")</f>
        <v>0.0008189</v>
      </c>
      <c r="X220" s="4" t="str">
        <f>HYPERLINK("http://141.218.60.56/~jnz1568/getInfo.php?workbook=07_01.xlsx&amp;sheet=A0&amp;row=220&amp;col=24&amp;number=&amp;sourceID=30","")</f>
        <v/>
      </c>
      <c r="Y220" s="4" t="str">
        <f>HYPERLINK("http://141.218.60.56/~jnz1568/getInfo.php?workbook=07_01.xlsx&amp;sheet=A0&amp;row=220&amp;col=25&amp;number=&amp;sourceID=13","")</f>
        <v/>
      </c>
      <c r="Z220" s="4" t="str">
        <f>HYPERLINK("http://141.218.60.56/~jnz1568/getInfo.php?workbook=07_01.xlsx&amp;sheet=A0&amp;row=220&amp;col=26&amp;number=&amp;sourceID=13","")</f>
        <v/>
      </c>
      <c r="AA220" s="4" t="str">
        <f>HYPERLINK("http://141.218.60.56/~jnz1568/getInfo.php?workbook=07_01.xlsx&amp;sheet=A0&amp;row=220&amp;col=27&amp;number=&amp;sourceID=13","")</f>
        <v/>
      </c>
      <c r="AB220" s="4" t="str">
        <f>HYPERLINK("http://141.218.60.56/~jnz1568/getInfo.php?workbook=07_01.xlsx&amp;sheet=A0&amp;row=220&amp;col=28&amp;number=&amp;sourceID=13","")</f>
        <v/>
      </c>
      <c r="AC220" s="4" t="str">
        <f>HYPERLINK("http://141.218.60.56/~jnz1568/getInfo.php?workbook=07_01.xlsx&amp;sheet=A0&amp;row=220&amp;col=29&amp;number=&amp;sourceID=13","")</f>
        <v/>
      </c>
      <c r="AD220" s="4" t="str">
        <f>HYPERLINK("http://141.218.60.56/~jnz1568/getInfo.php?workbook=07_01.xlsx&amp;sheet=A0&amp;row=220&amp;col=30&amp;number=&amp;sourceID=13","")</f>
        <v/>
      </c>
    </row>
    <row r="221" spans="1:30">
      <c r="A221" s="3">
        <v>7</v>
      </c>
      <c r="B221" s="3">
        <v>1</v>
      </c>
      <c r="C221" s="3">
        <v>22</v>
      </c>
      <c r="D221" s="3">
        <v>16</v>
      </c>
      <c r="E221" s="3">
        <f>((1/(INDEX(E0!J$4:J$28,C221,1)-INDEX(E0!J$4:J$28,D221,1))))*100000000</f>
        <v>0</v>
      </c>
      <c r="F221" s="4" t="str">
        <f>HYPERLINK("http://141.218.60.56/~jnz1568/getInfo.php?workbook=07_01.xlsx&amp;sheet=A0&amp;row=221&amp;col=6&amp;number==&amp;sourceID=11","=")</f>
        <v>=</v>
      </c>
      <c r="G221" s="4" t="str">
        <f>HYPERLINK("http://141.218.60.56/~jnz1568/getInfo.php?workbook=07_01.xlsx&amp;sheet=A0&amp;row=221&amp;col=7&amp;number=115650000&amp;sourceID=11","115650000")</f>
        <v>115650000</v>
      </c>
      <c r="H221" s="4" t="str">
        <f>HYPERLINK("http://141.218.60.56/~jnz1568/getInfo.php?workbook=07_01.xlsx&amp;sheet=A0&amp;row=221&amp;col=8&amp;number=&amp;sourceID=11","")</f>
        <v/>
      </c>
      <c r="I221" s="4" t="str">
        <f>HYPERLINK("http://141.218.60.56/~jnz1568/getInfo.php?workbook=07_01.xlsx&amp;sheet=A0&amp;row=221&amp;col=9&amp;number=0.075456&amp;sourceID=11","0.075456")</f>
        <v>0.075456</v>
      </c>
      <c r="J221" s="4" t="str">
        <f>HYPERLINK("http://141.218.60.56/~jnz1568/getInfo.php?workbook=07_01.xlsx&amp;sheet=A0&amp;row=221&amp;col=10&amp;number=&amp;sourceID=11","")</f>
        <v/>
      </c>
      <c r="K221" s="4" t="str">
        <f>HYPERLINK("http://141.218.60.56/~jnz1568/getInfo.php?workbook=07_01.xlsx&amp;sheet=A0&amp;row=221&amp;col=11&amp;number=0.036627&amp;sourceID=11","0.036627")</f>
        <v>0.036627</v>
      </c>
      <c r="L221" s="4" t="str">
        <f>HYPERLINK("http://141.218.60.56/~jnz1568/getInfo.php?workbook=07_01.xlsx&amp;sheet=A0&amp;row=221&amp;col=12&amp;number=&amp;sourceID=11","")</f>
        <v/>
      </c>
      <c r="M221" s="4" t="str">
        <f>HYPERLINK("http://141.218.60.56/~jnz1568/getInfo.php?workbook=07_01.xlsx&amp;sheet=A0&amp;row=221&amp;col=13&amp;number=115660000&amp;sourceID=12","115660000")</f>
        <v>115660000</v>
      </c>
      <c r="N221" s="4" t="str">
        <f>HYPERLINK("http://141.218.60.56/~jnz1568/getInfo.php?workbook=07_01.xlsx&amp;sheet=A0&amp;row=221&amp;col=14&amp;number=115660000&amp;sourceID=12","115660000")</f>
        <v>115660000</v>
      </c>
      <c r="O221" s="4" t="str">
        <f>HYPERLINK("http://141.218.60.56/~jnz1568/getInfo.php?workbook=07_01.xlsx&amp;sheet=A0&amp;row=221&amp;col=15&amp;number=&amp;sourceID=12","")</f>
        <v/>
      </c>
      <c r="P221" s="4" t="str">
        <f>HYPERLINK("http://141.218.60.56/~jnz1568/getInfo.php?workbook=07_01.xlsx&amp;sheet=A0&amp;row=221&amp;col=16&amp;number=0.075459&amp;sourceID=12","0.075459")</f>
        <v>0.075459</v>
      </c>
      <c r="Q221" s="4" t="str">
        <f>HYPERLINK("http://141.218.60.56/~jnz1568/getInfo.php?workbook=07_01.xlsx&amp;sheet=A0&amp;row=221&amp;col=17&amp;number=&amp;sourceID=12","")</f>
        <v/>
      </c>
      <c r="R221" s="4" t="str">
        <f>HYPERLINK("http://141.218.60.56/~jnz1568/getInfo.php?workbook=07_01.xlsx&amp;sheet=A0&amp;row=221&amp;col=18&amp;number=0.036629&amp;sourceID=12","0.036629")</f>
        <v>0.036629</v>
      </c>
      <c r="S221" s="4" t="str">
        <f>HYPERLINK("http://141.218.60.56/~jnz1568/getInfo.php?workbook=07_01.xlsx&amp;sheet=A0&amp;row=221&amp;col=19&amp;number=&amp;sourceID=12","")</f>
        <v/>
      </c>
      <c r="T221" s="4" t="str">
        <f>HYPERLINK("http://141.218.60.56/~jnz1568/getInfo.php?workbook=07_01.xlsx&amp;sheet=A0&amp;row=221&amp;col=20&amp;number==&amp;sourceID=30","=")</f>
        <v>=</v>
      </c>
      <c r="U221" s="4" t="str">
        <f>HYPERLINK("http://141.218.60.56/~jnz1568/getInfo.php?workbook=07_01.xlsx&amp;sheet=A0&amp;row=221&amp;col=21&amp;number=115700000&amp;sourceID=30","115700000")</f>
        <v>115700000</v>
      </c>
      <c r="V221" s="4" t="str">
        <f>HYPERLINK("http://141.218.60.56/~jnz1568/getInfo.php?workbook=07_01.xlsx&amp;sheet=A0&amp;row=221&amp;col=22&amp;number=&amp;sourceID=30","")</f>
        <v/>
      </c>
      <c r="W221" s="4" t="str">
        <f>HYPERLINK("http://141.218.60.56/~jnz1568/getInfo.php?workbook=07_01.xlsx&amp;sheet=A0&amp;row=221&amp;col=23&amp;number=&amp;sourceID=30","")</f>
        <v/>
      </c>
      <c r="X221" s="4" t="str">
        <f>HYPERLINK("http://141.218.60.56/~jnz1568/getInfo.php?workbook=07_01.xlsx&amp;sheet=A0&amp;row=221&amp;col=24&amp;number=0.03663&amp;sourceID=30","0.03663")</f>
        <v>0.03663</v>
      </c>
      <c r="Y221" s="4" t="str">
        <f>HYPERLINK("http://141.218.60.56/~jnz1568/getInfo.php?workbook=07_01.xlsx&amp;sheet=A0&amp;row=221&amp;col=25&amp;number=&amp;sourceID=13","")</f>
        <v/>
      </c>
      <c r="Z221" s="4" t="str">
        <f>HYPERLINK("http://141.218.60.56/~jnz1568/getInfo.php?workbook=07_01.xlsx&amp;sheet=A0&amp;row=221&amp;col=26&amp;number=&amp;sourceID=13","")</f>
        <v/>
      </c>
      <c r="AA221" s="4" t="str">
        <f>HYPERLINK("http://141.218.60.56/~jnz1568/getInfo.php?workbook=07_01.xlsx&amp;sheet=A0&amp;row=221&amp;col=27&amp;number=&amp;sourceID=13","")</f>
        <v/>
      </c>
      <c r="AB221" s="4" t="str">
        <f>HYPERLINK("http://141.218.60.56/~jnz1568/getInfo.php?workbook=07_01.xlsx&amp;sheet=A0&amp;row=221&amp;col=28&amp;number=&amp;sourceID=13","")</f>
        <v/>
      </c>
      <c r="AC221" s="4" t="str">
        <f>HYPERLINK("http://141.218.60.56/~jnz1568/getInfo.php?workbook=07_01.xlsx&amp;sheet=A0&amp;row=221&amp;col=29&amp;number=&amp;sourceID=13","")</f>
        <v/>
      </c>
      <c r="AD221" s="4" t="str">
        <f>HYPERLINK("http://141.218.60.56/~jnz1568/getInfo.php?workbook=07_01.xlsx&amp;sheet=A0&amp;row=221&amp;col=30&amp;number=&amp;sourceID=13","")</f>
        <v/>
      </c>
    </row>
    <row r="222" spans="1:30">
      <c r="A222" s="3">
        <v>7</v>
      </c>
      <c r="B222" s="3">
        <v>1</v>
      </c>
      <c r="C222" s="3">
        <v>22</v>
      </c>
      <c r="D222" s="3">
        <v>17</v>
      </c>
      <c r="E222" s="3">
        <f>((1/(INDEX(E0!J$4:J$28,C222,1)-INDEX(E0!J$4:J$28,D222,1))))*100000000</f>
        <v>0</v>
      </c>
      <c r="F222" s="4" t="str">
        <f>HYPERLINK("http://141.218.60.56/~jnz1568/getInfo.php?workbook=07_01.xlsx&amp;sheet=A0&amp;row=222&amp;col=6&amp;number==&amp;sourceID=11","=")</f>
        <v>=</v>
      </c>
      <c r="G222" s="4" t="str">
        <f>HYPERLINK("http://141.218.60.56/~jnz1568/getInfo.php?workbook=07_01.xlsx&amp;sheet=A0&amp;row=222&amp;col=7&amp;number=&amp;sourceID=11","")</f>
        <v/>
      </c>
      <c r="H222" s="4" t="str">
        <f>HYPERLINK("http://141.218.60.56/~jnz1568/getInfo.php?workbook=07_01.xlsx&amp;sheet=A0&amp;row=222&amp;col=8&amp;number=&amp;sourceID=11","")</f>
        <v/>
      </c>
      <c r="I222" s="4" t="str">
        <f>HYPERLINK("http://141.218.60.56/~jnz1568/getInfo.php?workbook=07_01.xlsx&amp;sheet=A0&amp;row=222&amp;col=9&amp;number=0&amp;sourceID=11","0")</f>
        <v>0</v>
      </c>
      <c r="J222" s="4" t="str">
        <f>HYPERLINK("http://141.218.60.56/~jnz1568/getInfo.php?workbook=07_01.xlsx&amp;sheet=A0&amp;row=222&amp;col=10&amp;number=&amp;sourceID=11","")</f>
        <v/>
      </c>
      <c r="K222" s="4" t="str">
        <f>HYPERLINK("http://141.218.60.56/~jnz1568/getInfo.php?workbook=07_01.xlsx&amp;sheet=A0&amp;row=222&amp;col=11&amp;number=0&amp;sourceID=11","0")</f>
        <v>0</v>
      </c>
      <c r="L222" s="4" t="str">
        <f>HYPERLINK("http://141.218.60.56/~jnz1568/getInfo.php?workbook=07_01.xlsx&amp;sheet=A0&amp;row=222&amp;col=12&amp;number=&amp;sourceID=11","")</f>
        <v/>
      </c>
      <c r="M222" s="4" t="str">
        <f>HYPERLINK("http://141.218.60.56/~jnz1568/getInfo.php?workbook=07_01.xlsx&amp;sheet=A0&amp;row=222&amp;col=13&amp;number=0&amp;sourceID=12","0")</f>
        <v>0</v>
      </c>
      <c r="N222" s="4" t="str">
        <f>HYPERLINK("http://141.218.60.56/~jnz1568/getInfo.php?workbook=07_01.xlsx&amp;sheet=A0&amp;row=222&amp;col=14&amp;number=&amp;sourceID=12","")</f>
        <v/>
      </c>
      <c r="O222" s="4" t="str">
        <f>HYPERLINK("http://141.218.60.56/~jnz1568/getInfo.php?workbook=07_01.xlsx&amp;sheet=A0&amp;row=222&amp;col=15&amp;number=&amp;sourceID=12","")</f>
        <v/>
      </c>
      <c r="P222" s="4" t="str">
        <f>HYPERLINK("http://141.218.60.56/~jnz1568/getInfo.php?workbook=07_01.xlsx&amp;sheet=A0&amp;row=222&amp;col=16&amp;number=0&amp;sourceID=12","0")</f>
        <v>0</v>
      </c>
      <c r="Q222" s="4" t="str">
        <f>HYPERLINK("http://141.218.60.56/~jnz1568/getInfo.php?workbook=07_01.xlsx&amp;sheet=A0&amp;row=222&amp;col=17&amp;number=&amp;sourceID=12","")</f>
        <v/>
      </c>
      <c r="R222" s="4" t="str">
        <f>HYPERLINK("http://141.218.60.56/~jnz1568/getInfo.php?workbook=07_01.xlsx&amp;sheet=A0&amp;row=222&amp;col=18&amp;number=0&amp;sourceID=12","0")</f>
        <v>0</v>
      </c>
      <c r="S222" s="4" t="str">
        <f>HYPERLINK("http://141.218.60.56/~jnz1568/getInfo.php?workbook=07_01.xlsx&amp;sheet=A0&amp;row=222&amp;col=19&amp;number=&amp;sourceID=12","")</f>
        <v/>
      </c>
      <c r="T222" s="4" t="str">
        <f>HYPERLINK("http://141.218.60.56/~jnz1568/getInfo.php?workbook=07_01.xlsx&amp;sheet=A0&amp;row=222&amp;col=20&amp;number==&amp;sourceID=30","=")</f>
        <v>=</v>
      </c>
      <c r="U222" s="4" t="str">
        <f>HYPERLINK("http://141.218.60.56/~jnz1568/getInfo.php?workbook=07_01.xlsx&amp;sheet=A0&amp;row=222&amp;col=21&amp;number=&amp;sourceID=30","")</f>
        <v/>
      </c>
      <c r="V222" s="4" t="str">
        <f>HYPERLINK("http://141.218.60.56/~jnz1568/getInfo.php?workbook=07_01.xlsx&amp;sheet=A0&amp;row=222&amp;col=22&amp;number=&amp;sourceID=30","")</f>
        <v/>
      </c>
      <c r="W222" s="4" t="str">
        <f>HYPERLINK("http://141.218.60.56/~jnz1568/getInfo.php?workbook=07_01.xlsx&amp;sheet=A0&amp;row=222&amp;col=23&amp;number=&amp;sourceID=30","")</f>
        <v/>
      </c>
      <c r="X222" s="4" t="str">
        <f>HYPERLINK("http://141.218.60.56/~jnz1568/getInfo.php?workbook=07_01.xlsx&amp;sheet=A0&amp;row=222&amp;col=24&amp;number=0&amp;sourceID=30","0")</f>
        <v>0</v>
      </c>
      <c r="Y222" s="4" t="str">
        <f>HYPERLINK("http://141.218.60.56/~jnz1568/getInfo.php?workbook=07_01.xlsx&amp;sheet=A0&amp;row=222&amp;col=25&amp;number=&amp;sourceID=13","")</f>
        <v/>
      </c>
      <c r="Z222" s="4" t="str">
        <f>HYPERLINK("http://141.218.60.56/~jnz1568/getInfo.php?workbook=07_01.xlsx&amp;sheet=A0&amp;row=222&amp;col=26&amp;number=&amp;sourceID=13","")</f>
        <v/>
      </c>
      <c r="AA222" s="4" t="str">
        <f>HYPERLINK("http://141.218.60.56/~jnz1568/getInfo.php?workbook=07_01.xlsx&amp;sheet=A0&amp;row=222&amp;col=27&amp;number=&amp;sourceID=13","")</f>
        <v/>
      </c>
      <c r="AB222" s="4" t="str">
        <f>HYPERLINK("http://141.218.60.56/~jnz1568/getInfo.php?workbook=07_01.xlsx&amp;sheet=A0&amp;row=222&amp;col=28&amp;number=&amp;sourceID=13","")</f>
        <v/>
      </c>
      <c r="AC222" s="4" t="str">
        <f>HYPERLINK("http://141.218.60.56/~jnz1568/getInfo.php?workbook=07_01.xlsx&amp;sheet=A0&amp;row=222&amp;col=29&amp;number=&amp;sourceID=13","")</f>
        <v/>
      </c>
      <c r="AD222" s="4" t="str">
        <f>HYPERLINK("http://141.218.60.56/~jnz1568/getInfo.php?workbook=07_01.xlsx&amp;sheet=A0&amp;row=222&amp;col=30&amp;number=&amp;sourceID=13","")</f>
        <v/>
      </c>
    </row>
    <row r="223" spans="1:30">
      <c r="A223" s="3">
        <v>7</v>
      </c>
      <c r="B223" s="3">
        <v>1</v>
      </c>
      <c r="C223" s="3">
        <v>22</v>
      </c>
      <c r="D223" s="3">
        <v>18</v>
      </c>
      <c r="E223" s="3">
        <f>((1/(INDEX(E0!J$4:J$28,C223,1)-INDEX(E0!J$4:J$28,D223,1))))*100000000</f>
        <v>0</v>
      </c>
      <c r="F223" s="4" t="str">
        <f>HYPERLINK("http://141.218.60.56/~jnz1568/getInfo.php?workbook=07_01.xlsx&amp;sheet=A0&amp;row=223&amp;col=6&amp;number==&amp;sourceID=11","=")</f>
        <v>=</v>
      </c>
      <c r="G223" s="4" t="str">
        <f>HYPERLINK("http://141.218.60.56/~jnz1568/getInfo.php?workbook=07_01.xlsx&amp;sheet=A0&amp;row=223&amp;col=7&amp;number=&amp;sourceID=11","")</f>
        <v/>
      </c>
      <c r="H223" s="4" t="str">
        <f>HYPERLINK("http://141.218.60.56/~jnz1568/getInfo.php?workbook=07_01.xlsx&amp;sheet=A0&amp;row=223&amp;col=8&amp;number=4.335e-11&amp;sourceID=11","4.335e-11")</f>
        <v>4.335e-11</v>
      </c>
      <c r="I223" s="4" t="str">
        <f>HYPERLINK("http://141.218.60.56/~jnz1568/getInfo.php?workbook=07_01.xlsx&amp;sheet=A0&amp;row=223&amp;col=9&amp;number=&amp;sourceID=11","")</f>
        <v/>
      </c>
      <c r="J223" s="4" t="str">
        <f>HYPERLINK("http://141.218.60.56/~jnz1568/getInfo.php?workbook=07_01.xlsx&amp;sheet=A0&amp;row=223&amp;col=10&amp;number=&amp;sourceID=11","")</f>
        <v/>
      </c>
      <c r="K223" s="4" t="str">
        <f>HYPERLINK("http://141.218.60.56/~jnz1568/getInfo.php?workbook=07_01.xlsx&amp;sheet=A0&amp;row=223&amp;col=11&amp;number=&amp;sourceID=11","")</f>
        <v/>
      </c>
      <c r="L223" s="4" t="str">
        <f>HYPERLINK("http://141.218.60.56/~jnz1568/getInfo.php?workbook=07_01.xlsx&amp;sheet=A0&amp;row=223&amp;col=12&amp;number=0&amp;sourceID=11","0")</f>
        <v>0</v>
      </c>
      <c r="M223" s="4" t="str">
        <f>HYPERLINK("http://141.218.60.56/~jnz1568/getInfo.php?workbook=07_01.xlsx&amp;sheet=A0&amp;row=223&amp;col=13&amp;number=4.3361e-11&amp;sourceID=12","4.3361e-11")</f>
        <v>4.3361e-11</v>
      </c>
      <c r="N223" s="4" t="str">
        <f>HYPERLINK("http://141.218.60.56/~jnz1568/getInfo.php?workbook=07_01.xlsx&amp;sheet=A0&amp;row=223&amp;col=14&amp;number=&amp;sourceID=12","")</f>
        <v/>
      </c>
      <c r="O223" s="4" t="str">
        <f>HYPERLINK("http://141.218.60.56/~jnz1568/getInfo.php?workbook=07_01.xlsx&amp;sheet=A0&amp;row=223&amp;col=15&amp;number=4.3361e-11&amp;sourceID=12","4.3361e-11")</f>
        <v>4.3361e-11</v>
      </c>
      <c r="P223" s="4" t="str">
        <f>HYPERLINK("http://141.218.60.56/~jnz1568/getInfo.php?workbook=07_01.xlsx&amp;sheet=A0&amp;row=223&amp;col=16&amp;number=&amp;sourceID=12","")</f>
        <v/>
      </c>
      <c r="Q223" s="4" t="str">
        <f>HYPERLINK("http://141.218.60.56/~jnz1568/getInfo.php?workbook=07_01.xlsx&amp;sheet=A0&amp;row=223&amp;col=17&amp;number=&amp;sourceID=12","")</f>
        <v/>
      </c>
      <c r="R223" s="4" t="str">
        <f>HYPERLINK("http://141.218.60.56/~jnz1568/getInfo.php?workbook=07_01.xlsx&amp;sheet=A0&amp;row=223&amp;col=18&amp;number=&amp;sourceID=12","")</f>
        <v/>
      </c>
      <c r="S223" s="4" t="str">
        <f>HYPERLINK("http://141.218.60.56/~jnz1568/getInfo.php?workbook=07_01.xlsx&amp;sheet=A0&amp;row=223&amp;col=19&amp;number=0&amp;sourceID=12","0")</f>
        <v>0</v>
      </c>
      <c r="T223" s="4" t="str">
        <f>HYPERLINK("http://141.218.60.56/~jnz1568/getInfo.php?workbook=07_01.xlsx&amp;sheet=A0&amp;row=223&amp;col=20&amp;number==&amp;sourceID=30","=")</f>
        <v>=</v>
      </c>
      <c r="U223" s="4" t="str">
        <f>HYPERLINK("http://141.218.60.56/~jnz1568/getInfo.php?workbook=07_01.xlsx&amp;sheet=A0&amp;row=223&amp;col=21&amp;number=&amp;sourceID=30","")</f>
        <v/>
      </c>
      <c r="V223" s="4" t="str">
        <f>HYPERLINK("http://141.218.60.56/~jnz1568/getInfo.php?workbook=07_01.xlsx&amp;sheet=A0&amp;row=223&amp;col=22&amp;number=4.336e-11&amp;sourceID=30","4.336e-11")</f>
        <v>4.336e-11</v>
      </c>
      <c r="W223" s="4" t="str">
        <f>HYPERLINK("http://141.218.60.56/~jnz1568/getInfo.php?workbook=07_01.xlsx&amp;sheet=A0&amp;row=223&amp;col=23&amp;number=&amp;sourceID=30","")</f>
        <v/>
      </c>
      <c r="X223" s="4" t="str">
        <f>HYPERLINK("http://141.218.60.56/~jnz1568/getInfo.php?workbook=07_01.xlsx&amp;sheet=A0&amp;row=223&amp;col=24&amp;number=&amp;sourceID=30","")</f>
        <v/>
      </c>
      <c r="Y223" s="4" t="str">
        <f>HYPERLINK("http://141.218.60.56/~jnz1568/getInfo.php?workbook=07_01.xlsx&amp;sheet=A0&amp;row=223&amp;col=25&amp;number=&amp;sourceID=13","")</f>
        <v/>
      </c>
      <c r="Z223" s="4" t="str">
        <f>HYPERLINK("http://141.218.60.56/~jnz1568/getInfo.php?workbook=07_01.xlsx&amp;sheet=A0&amp;row=223&amp;col=26&amp;number=&amp;sourceID=13","")</f>
        <v/>
      </c>
      <c r="AA223" s="4" t="str">
        <f>HYPERLINK("http://141.218.60.56/~jnz1568/getInfo.php?workbook=07_01.xlsx&amp;sheet=A0&amp;row=223&amp;col=27&amp;number=&amp;sourceID=13","")</f>
        <v/>
      </c>
      <c r="AB223" s="4" t="str">
        <f>HYPERLINK("http://141.218.60.56/~jnz1568/getInfo.php?workbook=07_01.xlsx&amp;sheet=A0&amp;row=223&amp;col=28&amp;number=&amp;sourceID=13","")</f>
        <v/>
      </c>
      <c r="AC223" s="4" t="str">
        <f>HYPERLINK("http://141.218.60.56/~jnz1568/getInfo.php?workbook=07_01.xlsx&amp;sheet=A0&amp;row=223&amp;col=29&amp;number=&amp;sourceID=13","")</f>
        <v/>
      </c>
      <c r="AD223" s="4" t="str">
        <f>HYPERLINK("http://141.218.60.56/~jnz1568/getInfo.php?workbook=07_01.xlsx&amp;sheet=A0&amp;row=223&amp;col=30&amp;number=&amp;sourceID=13","")</f>
        <v/>
      </c>
    </row>
    <row r="224" spans="1:30">
      <c r="A224" s="3">
        <v>7</v>
      </c>
      <c r="B224" s="3">
        <v>1</v>
      </c>
      <c r="C224" s="3">
        <v>22</v>
      </c>
      <c r="D224" s="3">
        <v>19</v>
      </c>
      <c r="E224" s="3">
        <f>((1/(INDEX(E0!J$4:J$28,C224,1)-INDEX(E0!J$4:J$28,D224,1))))*100000000</f>
        <v>0</v>
      </c>
      <c r="F224" s="4" t="str">
        <f>HYPERLINK("http://141.218.60.56/~jnz1568/getInfo.php?workbook=07_01.xlsx&amp;sheet=A0&amp;row=224&amp;col=6&amp;number==&amp;sourceID=11","=")</f>
        <v>=</v>
      </c>
      <c r="G224" s="4" t="str">
        <f>HYPERLINK("http://141.218.60.56/~jnz1568/getInfo.php?workbook=07_01.xlsx&amp;sheet=A0&amp;row=224&amp;col=7&amp;number=&amp;sourceID=11","")</f>
        <v/>
      </c>
      <c r="H224" s="4" t="str">
        <f>HYPERLINK("http://141.218.60.56/~jnz1568/getInfo.php?workbook=07_01.xlsx&amp;sheet=A0&amp;row=224&amp;col=8&amp;number=1.1e-14&amp;sourceID=11","1.1e-14")</f>
        <v>1.1e-14</v>
      </c>
      <c r="I224" s="4" t="str">
        <f>HYPERLINK("http://141.218.60.56/~jnz1568/getInfo.php?workbook=07_01.xlsx&amp;sheet=A0&amp;row=224&amp;col=9&amp;number=&amp;sourceID=11","")</f>
        <v/>
      </c>
      <c r="J224" s="4" t="str">
        <f>HYPERLINK("http://141.218.60.56/~jnz1568/getInfo.php?workbook=07_01.xlsx&amp;sheet=A0&amp;row=224&amp;col=10&amp;number=7.0742e-08&amp;sourceID=11","7.0742e-08")</f>
        <v>7.0742e-08</v>
      </c>
      <c r="K224" s="4" t="str">
        <f>HYPERLINK("http://141.218.60.56/~jnz1568/getInfo.php?workbook=07_01.xlsx&amp;sheet=A0&amp;row=224&amp;col=11&amp;number=&amp;sourceID=11","")</f>
        <v/>
      </c>
      <c r="L224" s="4" t="str">
        <f>HYPERLINK("http://141.218.60.56/~jnz1568/getInfo.php?workbook=07_01.xlsx&amp;sheet=A0&amp;row=224&amp;col=12&amp;number=0&amp;sourceID=11","0")</f>
        <v>0</v>
      </c>
      <c r="M224" s="4" t="str">
        <f>HYPERLINK("http://141.218.60.56/~jnz1568/getInfo.php?workbook=07_01.xlsx&amp;sheet=A0&amp;row=224&amp;col=13&amp;number=7.0762e-08&amp;sourceID=12","7.0762e-08")</f>
        <v>7.0762e-08</v>
      </c>
      <c r="N224" s="4" t="str">
        <f>HYPERLINK("http://141.218.60.56/~jnz1568/getInfo.php?workbook=07_01.xlsx&amp;sheet=A0&amp;row=224&amp;col=14&amp;number=&amp;sourceID=12","")</f>
        <v/>
      </c>
      <c r="O224" s="4" t="str">
        <f>HYPERLINK("http://141.218.60.56/~jnz1568/getInfo.php?workbook=07_01.xlsx&amp;sheet=A0&amp;row=224&amp;col=15&amp;number=1.1e-14&amp;sourceID=12","1.1e-14")</f>
        <v>1.1e-14</v>
      </c>
      <c r="P224" s="4" t="str">
        <f>HYPERLINK("http://141.218.60.56/~jnz1568/getInfo.php?workbook=07_01.xlsx&amp;sheet=A0&amp;row=224&amp;col=16&amp;number=&amp;sourceID=12","")</f>
        <v/>
      </c>
      <c r="Q224" s="4" t="str">
        <f>HYPERLINK("http://141.218.60.56/~jnz1568/getInfo.php?workbook=07_01.xlsx&amp;sheet=A0&amp;row=224&amp;col=17&amp;number=7.0762e-08&amp;sourceID=12","7.0762e-08")</f>
        <v>7.0762e-08</v>
      </c>
      <c r="R224" s="4" t="str">
        <f>HYPERLINK("http://141.218.60.56/~jnz1568/getInfo.php?workbook=07_01.xlsx&amp;sheet=A0&amp;row=224&amp;col=18&amp;number=&amp;sourceID=12","")</f>
        <v/>
      </c>
      <c r="S224" s="4" t="str">
        <f>HYPERLINK("http://141.218.60.56/~jnz1568/getInfo.php?workbook=07_01.xlsx&amp;sheet=A0&amp;row=224&amp;col=19&amp;number=0&amp;sourceID=12","0")</f>
        <v>0</v>
      </c>
      <c r="T224" s="4" t="str">
        <f>HYPERLINK("http://141.218.60.56/~jnz1568/getInfo.php?workbook=07_01.xlsx&amp;sheet=A0&amp;row=224&amp;col=20&amp;number==&amp;sourceID=30","=")</f>
        <v>=</v>
      </c>
      <c r="U224" s="4" t="str">
        <f>HYPERLINK("http://141.218.60.56/~jnz1568/getInfo.php?workbook=07_01.xlsx&amp;sheet=A0&amp;row=224&amp;col=21&amp;number=&amp;sourceID=30","")</f>
        <v/>
      </c>
      <c r="V224" s="4" t="str">
        <f>HYPERLINK("http://141.218.60.56/~jnz1568/getInfo.php?workbook=07_01.xlsx&amp;sheet=A0&amp;row=224&amp;col=22&amp;number=1.1e-14&amp;sourceID=30","1.1e-14")</f>
        <v>1.1e-14</v>
      </c>
      <c r="W224" s="4" t="str">
        <f>HYPERLINK("http://141.218.60.56/~jnz1568/getInfo.php?workbook=07_01.xlsx&amp;sheet=A0&amp;row=224&amp;col=23&amp;number=7.076e-08&amp;sourceID=30","7.076e-08")</f>
        <v>7.076e-08</v>
      </c>
      <c r="X224" s="4" t="str">
        <f>HYPERLINK("http://141.218.60.56/~jnz1568/getInfo.php?workbook=07_01.xlsx&amp;sheet=A0&amp;row=224&amp;col=24&amp;number=&amp;sourceID=30","")</f>
        <v/>
      </c>
      <c r="Y224" s="4" t="str">
        <f>HYPERLINK("http://141.218.60.56/~jnz1568/getInfo.php?workbook=07_01.xlsx&amp;sheet=A0&amp;row=224&amp;col=25&amp;number=&amp;sourceID=13","")</f>
        <v/>
      </c>
      <c r="Z224" s="4" t="str">
        <f>HYPERLINK("http://141.218.60.56/~jnz1568/getInfo.php?workbook=07_01.xlsx&amp;sheet=A0&amp;row=224&amp;col=26&amp;number=&amp;sourceID=13","")</f>
        <v/>
      </c>
      <c r="AA224" s="4" t="str">
        <f>HYPERLINK("http://141.218.60.56/~jnz1568/getInfo.php?workbook=07_01.xlsx&amp;sheet=A0&amp;row=224&amp;col=27&amp;number=&amp;sourceID=13","")</f>
        <v/>
      </c>
      <c r="AB224" s="4" t="str">
        <f>HYPERLINK("http://141.218.60.56/~jnz1568/getInfo.php?workbook=07_01.xlsx&amp;sheet=A0&amp;row=224&amp;col=28&amp;number=&amp;sourceID=13","")</f>
        <v/>
      </c>
      <c r="AC224" s="4" t="str">
        <f>HYPERLINK("http://141.218.60.56/~jnz1568/getInfo.php?workbook=07_01.xlsx&amp;sheet=A0&amp;row=224&amp;col=29&amp;number=&amp;sourceID=13","")</f>
        <v/>
      </c>
      <c r="AD224" s="4" t="str">
        <f>HYPERLINK("http://141.218.60.56/~jnz1568/getInfo.php?workbook=07_01.xlsx&amp;sheet=A0&amp;row=224&amp;col=30&amp;number=&amp;sourceID=13","")</f>
        <v/>
      </c>
    </row>
    <row r="225" spans="1:30">
      <c r="A225" s="3">
        <v>7</v>
      </c>
      <c r="B225" s="3">
        <v>1</v>
      </c>
      <c r="C225" s="3">
        <v>22</v>
      </c>
      <c r="D225" s="3">
        <v>20</v>
      </c>
      <c r="E225" s="3">
        <f>((1/(INDEX(E0!J$4:J$28,C225,1)-INDEX(E0!J$4:J$28,D225,1))))*100000000</f>
        <v>0</v>
      </c>
      <c r="F225" s="4" t="str">
        <f>HYPERLINK("http://141.218.60.56/~jnz1568/getInfo.php?workbook=07_01.xlsx&amp;sheet=A0&amp;row=225&amp;col=6&amp;number==&amp;sourceID=11","=")</f>
        <v>=</v>
      </c>
      <c r="G225" s="4" t="str">
        <f>HYPERLINK("http://141.218.60.56/~jnz1568/getInfo.php?workbook=07_01.xlsx&amp;sheet=A0&amp;row=225&amp;col=7&amp;number=0.12808&amp;sourceID=11","0.12808")</f>
        <v>0.12808</v>
      </c>
      <c r="H225" s="4" t="str">
        <f>HYPERLINK("http://141.218.60.56/~jnz1568/getInfo.php?workbook=07_01.xlsx&amp;sheet=A0&amp;row=225&amp;col=8&amp;number=&amp;sourceID=11","")</f>
        <v/>
      </c>
      <c r="I225" s="4" t="str">
        <f>HYPERLINK("http://141.218.60.56/~jnz1568/getInfo.php?workbook=07_01.xlsx&amp;sheet=A0&amp;row=225&amp;col=9&amp;number=0&amp;sourceID=11","0")</f>
        <v>0</v>
      </c>
      <c r="J225" s="4" t="str">
        <f>HYPERLINK("http://141.218.60.56/~jnz1568/getInfo.php?workbook=07_01.xlsx&amp;sheet=A0&amp;row=225&amp;col=10&amp;number=&amp;sourceID=11","")</f>
        <v/>
      </c>
      <c r="K225" s="4" t="str">
        <f>HYPERLINK("http://141.218.60.56/~jnz1568/getInfo.php?workbook=07_01.xlsx&amp;sheet=A0&amp;row=225&amp;col=11&amp;number=0&amp;sourceID=11","0")</f>
        <v>0</v>
      </c>
      <c r="L225" s="4" t="str">
        <f>HYPERLINK("http://141.218.60.56/~jnz1568/getInfo.php?workbook=07_01.xlsx&amp;sheet=A0&amp;row=225&amp;col=12&amp;number=&amp;sourceID=11","")</f>
        <v/>
      </c>
      <c r="M225" s="4" t="str">
        <f>HYPERLINK("http://141.218.60.56/~jnz1568/getInfo.php?workbook=07_01.xlsx&amp;sheet=A0&amp;row=225&amp;col=13&amp;number=0.12812&amp;sourceID=12","0.12812")</f>
        <v>0.12812</v>
      </c>
      <c r="N225" s="4" t="str">
        <f>HYPERLINK("http://141.218.60.56/~jnz1568/getInfo.php?workbook=07_01.xlsx&amp;sheet=A0&amp;row=225&amp;col=14&amp;number=0.12812&amp;sourceID=12","0.12812")</f>
        <v>0.12812</v>
      </c>
      <c r="O225" s="4" t="str">
        <f>HYPERLINK("http://141.218.60.56/~jnz1568/getInfo.php?workbook=07_01.xlsx&amp;sheet=A0&amp;row=225&amp;col=15&amp;number=&amp;sourceID=12","")</f>
        <v/>
      </c>
      <c r="P225" s="4" t="str">
        <f>HYPERLINK("http://141.218.60.56/~jnz1568/getInfo.php?workbook=07_01.xlsx&amp;sheet=A0&amp;row=225&amp;col=16&amp;number=0&amp;sourceID=12","0")</f>
        <v>0</v>
      </c>
      <c r="Q225" s="4" t="str">
        <f>HYPERLINK("http://141.218.60.56/~jnz1568/getInfo.php?workbook=07_01.xlsx&amp;sheet=A0&amp;row=225&amp;col=17&amp;number=&amp;sourceID=12","")</f>
        <v/>
      </c>
      <c r="R225" s="4" t="str">
        <f>HYPERLINK("http://141.218.60.56/~jnz1568/getInfo.php?workbook=07_01.xlsx&amp;sheet=A0&amp;row=225&amp;col=18&amp;number=0&amp;sourceID=12","0")</f>
        <v>0</v>
      </c>
      <c r="S225" s="4" t="str">
        <f>HYPERLINK("http://141.218.60.56/~jnz1568/getInfo.php?workbook=07_01.xlsx&amp;sheet=A0&amp;row=225&amp;col=19&amp;number=&amp;sourceID=12","")</f>
        <v/>
      </c>
      <c r="T225" s="4" t="str">
        <f>HYPERLINK("http://141.218.60.56/~jnz1568/getInfo.php?workbook=07_01.xlsx&amp;sheet=A0&amp;row=225&amp;col=20&amp;number==&amp;sourceID=30","=")</f>
        <v>=</v>
      </c>
      <c r="U225" s="4" t="str">
        <f>HYPERLINK("http://141.218.60.56/~jnz1568/getInfo.php?workbook=07_01.xlsx&amp;sheet=A0&amp;row=225&amp;col=21&amp;number=0.1281&amp;sourceID=30","0.1281")</f>
        <v>0.1281</v>
      </c>
      <c r="V225" s="4" t="str">
        <f>HYPERLINK("http://141.218.60.56/~jnz1568/getInfo.php?workbook=07_01.xlsx&amp;sheet=A0&amp;row=225&amp;col=22&amp;number=&amp;sourceID=30","")</f>
        <v/>
      </c>
      <c r="W225" s="4" t="str">
        <f>HYPERLINK("http://141.218.60.56/~jnz1568/getInfo.php?workbook=07_01.xlsx&amp;sheet=A0&amp;row=225&amp;col=23&amp;number=&amp;sourceID=30","")</f>
        <v/>
      </c>
      <c r="X225" s="4" t="str">
        <f>HYPERLINK("http://141.218.60.56/~jnz1568/getInfo.php?workbook=07_01.xlsx&amp;sheet=A0&amp;row=225&amp;col=24&amp;number=0&amp;sourceID=30","0")</f>
        <v>0</v>
      </c>
      <c r="Y225" s="4" t="str">
        <f>HYPERLINK("http://141.218.60.56/~jnz1568/getInfo.php?workbook=07_01.xlsx&amp;sheet=A0&amp;row=225&amp;col=25&amp;number=&amp;sourceID=13","")</f>
        <v/>
      </c>
      <c r="Z225" s="4" t="str">
        <f>HYPERLINK("http://141.218.60.56/~jnz1568/getInfo.php?workbook=07_01.xlsx&amp;sheet=A0&amp;row=225&amp;col=26&amp;number=&amp;sourceID=13","")</f>
        <v/>
      </c>
      <c r="AA225" s="4" t="str">
        <f>HYPERLINK("http://141.218.60.56/~jnz1568/getInfo.php?workbook=07_01.xlsx&amp;sheet=A0&amp;row=225&amp;col=27&amp;number=&amp;sourceID=13","")</f>
        <v/>
      </c>
      <c r="AB225" s="4" t="str">
        <f>HYPERLINK("http://141.218.60.56/~jnz1568/getInfo.php?workbook=07_01.xlsx&amp;sheet=A0&amp;row=225&amp;col=28&amp;number=&amp;sourceID=13","")</f>
        <v/>
      </c>
      <c r="AC225" s="4" t="str">
        <f>HYPERLINK("http://141.218.60.56/~jnz1568/getInfo.php?workbook=07_01.xlsx&amp;sheet=A0&amp;row=225&amp;col=29&amp;number=&amp;sourceID=13","")</f>
        <v/>
      </c>
      <c r="AD225" s="4" t="str">
        <f>HYPERLINK("http://141.218.60.56/~jnz1568/getInfo.php?workbook=07_01.xlsx&amp;sheet=A0&amp;row=225&amp;col=30&amp;number=&amp;sourceID=13","")</f>
        <v/>
      </c>
    </row>
    <row r="226" spans="1:30">
      <c r="A226" s="3">
        <v>7</v>
      </c>
      <c r="B226" s="3">
        <v>1</v>
      </c>
      <c r="C226" s="3">
        <v>23</v>
      </c>
      <c r="D226" s="3">
        <v>1</v>
      </c>
      <c r="E226" s="3">
        <f>((1/(INDEX(E0!J$4:J$28,C226,1)-INDEX(E0!J$4:J$28,D226,1))))*100000000</f>
        <v>0</v>
      </c>
      <c r="F226" s="4" t="str">
        <f>HYPERLINK("http://141.218.60.56/~jnz1568/getInfo.php?workbook=07_01.xlsx&amp;sheet=A0&amp;row=226&amp;col=6&amp;number==&amp;sourceID=11","=")</f>
        <v>=</v>
      </c>
      <c r="G226" s="4" t="str">
        <f>HYPERLINK("http://141.218.60.56/~jnz1568/getInfo.php?workbook=07_01.xlsx&amp;sheet=A0&amp;row=226&amp;col=7&amp;number=&amp;sourceID=11","")</f>
        <v/>
      </c>
      <c r="H226" s="4" t="str">
        <f>HYPERLINK("http://141.218.60.56/~jnz1568/getInfo.php?workbook=07_01.xlsx&amp;sheet=A0&amp;row=226&amp;col=8&amp;number=&amp;sourceID=11","")</f>
        <v/>
      </c>
      <c r="I226" s="4" t="str">
        <f>HYPERLINK("http://141.218.60.56/~jnz1568/getInfo.php?workbook=07_01.xlsx&amp;sheet=A0&amp;row=226&amp;col=9&amp;number=&amp;sourceID=11","")</f>
        <v/>
      </c>
      <c r="J226" s="4" t="str">
        <f>HYPERLINK("http://141.218.60.56/~jnz1568/getInfo.php?workbook=07_01.xlsx&amp;sheet=A0&amp;row=226&amp;col=10&amp;number=&amp;sourceID=11","")</f>
        <v/>
      </c>
      <c r="K226" s="4" t="str">
        <f>HYPERLINK("http://141.218.60.56/~jnz1568/getInfo.php?workbook=07_01.xlsx&amp;sheet=A0&amp;row=226&amp;col=11&amp;number=&amp;sourceID=11","")</f>
        <v/>
      </c>
      <c r="L226" s="4" t="str">
        <f>HYPERLINK("http://141.218.60.56/~jnz1568/getInfo.php?workbook=07_01.xlsx&amp;sheet=A0&amp;row=226&amp;col=12&amp;number=1.9864e-10&amp;sourceID=11","1.9864e-10")</f>
        <v>1.9864e-10</v>
      </c>
      <c r="M226" s="4" t="str">
        <f>HYPERLINK("http://141.218.60.56/~jnz1568/getInfo.php?workbook=07_01.xlsx&amp;sheet=A0&amp;row=226&amp;col=13&amp;number=8.6191e-11&amp;sourceID=12","8.6191e-11")</f>
        <v>8.6191e-11</v>
      </c>
      <c r="N226" s="4" t="str">
        <f>HYPERLINK("http://141.218.60.56/~jnz1568/getInfo.php?workbook=07_01.xlsx&amp;sheet=A0&amp;row=226&amp;col=14&amp;number=&amp;sourceID=12","")</f>
        <v/>
      </c>
      <c r="O226" s="4" t="str">
        <f>HYPERLINK("http://141.218.60.56/~jnz1568/getInfo.php?workbook=07_01.xlsx&amp;sheet=A0&amp;row=226&amp;col=15&amp;number=&amp;sourceID=12","")</f>
        <v/>
      </c>
      <c r="P226" s="4" t="str">
        <f>HYPERLINK("http://141.218.60.56/~jnz1568/getInfo.php?workbook=07_01.xlsx&amp;sheet=A0&amp;row=226&amp;col=16&amp;number=&amp;sourceID=12","")</f>
        <v/>
      </c>
      <c r="Q226" s="4" t="str">
        <f>HYPERLINK("http://141.218.60.56/~jnz1568/getInfo.php?workbook=07_01.xlsx&amp;sheet=A0&amp;row=226&amp;col=17&amp;number=&amp;sourceID=12","")</f>
        <v/>
      </c>
      <c r="R226" s="4" t="str">
        <f>HYPERLINK("http://141.218.60.56/~jnz1568/getInfo.php?workbook=07_01.xlsx&amp;sheet=A0&amp;row=226&amp;col=18&amp;number=&amp;sourceID=12","")</f>
        <v/>
      </c>
      <c r="S226" s="4" t="str">
        <f>HYPERLINK("http://141.218.60.56/~jnz1568/getInfo.php?workbook=07_01.xlsx&amp;sheet=A0&amp;row=226&amp;col=19&amp;number=8.6191e-11&amp;sourceID=12","8.6191e-11")</f>
        <v>8.6191e-11</v>
      </c>
      <c r="T226" s="4" t="str">
        <f>HYPERLINK("http://141.218.60.56/~jnz1568/getInfo.php?workbook=07_01.xlsx&amp;sheet=A0&amp;row=226&amp;col=20&amp;number=&amp;sourceID=30","")</f>
        <v/>
      </c>
      <c r="U226" s="4" t="str">
        <f>HYPERLINK("http://141.218.60.56/~jnz1568/getInfo.php?workbook=07_01.xlsx&amp;sheet=A0&amp;row=226&amp;col=21&amp;number=&amp;sourceID=30","")</f>
        <v/>
      </c>
      <c r="V226" s="4" t="str">
        <f>HYPERLINK("http://141.218.60.56/~jnz1568/getInfo.php?workbook=07_01.xlsx&amp;sheet=A0&amp;row=226&amp;col=22&amp;number=&amp;sourceID=30","")</f>
        <v/>
      </c>
      <c r="W226" s="4" t="str">
        <f>HYPERLINK("http://141.218.60.56/~jnz1568/getInfo.php?workbook=07_01.xlsx&amp;sheet=A0&amp;row=226&amp;col=23&amp;number=&amp;sourceID=30","")</f>
        <v/>
      </c>
      <c r="X226" s="4" t="str">
        <f>HYPERLINK("http://141.218.60.56/~jnz1568/getInfo.php?workbook=07_01.xlsx&amp;sheet=A0&amp;row=226&amp;col=24&amp;number=&amp;sourceID=30","")</f>
        <v/>
      </c>
      <c r="Y226" s="4" t="str">
        <f>HYPERLINK("http://141.218.60.56/~jnz1568/getInfo.php?workbook=07_01.xlsx&amp;sheet=A0&amp;row=226&amp;col=25&amp;number=&amp;sourceID=13","")</f>
        <v/>
      </c>
      <c r="Z226" s="4" t="str">
        <f>HYPERLINK("http://141.218.60.56/~jnz1568/getInfo.php?workbook=07_01.xlsx&amp;sheet=A0&amp;row=226&amp;col=26&amp;number=&amp;sourceID=13","")</f>
        <v/>
      </c>
      <c r="AA226" s="4" t="str">
        <f>HYPERLINK("http://141.218.60.56/~jnz1568/getInfo.php?workbook=07_01.xlsx&amp;sheet=A0&amp;row=226&amp;col=27&amp;number=&amp;sourceID=13","")</f>
        <v/>
      </c>
      <c r="AB226" s="4" t="str">
        <f>HYPERLINK("http://141.218.60.56/~jnz1568/getInfo.php?workbook=07_01.xlsx&amp;sheet=A0&amp;row=226&amp;col=28&amp;number=&amp;sourceID=13","")</f>
        <v/>
      </c>
      <c r="AC226" s="4" t="str">
        <f>HYPERLINK("http://141.218.60.56/~jnz1568/getInfo.php?workbook=07_01.xlsx&amp;sheet=A0&amp;row=226&amp;col=29&amp;number=&amp;sourceID=13","")</f>
        <v/>
      </c>
      <c r="AD226" s="4" t="str">
        <f>HYPERLINK("http://141.218.60.56/~jnz1568/getInfo.php?workbook=07_01.xlsx&amp;sheet=A0&amp;row=226&amp;col=30&amp;number=&amp;sourceID=13","")</f>
        <v/>
      </c>
    </row>
    <row r="227" spans="1:30">
      <c r="A227" s="3">
        <v>7</v>
      </c>
      <c r="B227" s="3">
        <v>1</v>
      </c>
      <c r="C227" s="3">
        <v>23</v>
      </c>
      <c r="D227" s="3">
        <v>2</v>
      </c>
      <c r="E227" s="3">
        <f>((1/(INDEX(E0!J$4:J$28,C227,1)-INDEX(E0!J$4:J$28,D227,1))))*100000000</f>
        <v>0</v>
      </c>
      <c r="F227" s="4" t="str">
        <f>HYPERLINK("http://141.218.60.56/~jnz1568/getInfo.php?workbook=07_01.xlsx&amp;sheet=A0&amp;row=227&amp;col=6&amp;number==&amp;sourceID=11","=")</f>
        <v>=</v>
      </c>
      <c r="G227" s="4" t="str">
        <f>HYPERLINK("http://141.218.60.56/~jnz1568/getInfo.php?workbook=07_01.xlsx&amp;sheet=A0&amp;row=227&amp;col=7&amp;number=&amp;sourceID=11","")</f>
        <v/>
      </c>
      <c r="H227" s="4" t="str">
        <f>HYPERLINK("http://141.218.60.56/~jnz1568/getInfo.php?workbook=07_01.xlsx&amp;sheet=A0&amp;row=227&amp;col=8&amp;number=&amp;sourceID=11","")</f>
        <v/>
      </c>
      <c r="I227" s="4" t="str">
        <f>HYPERLINK("http://141.218.60.56/~jnz1568/getInfo.php?workbook=07_01.xlsx&amp;sheet=A0&amp;row=227&amp;col=9&amp;number=144.83&amp;sourceID=11","144.83")</f>
        <v>144.83</v>
      </c>
      <c r="J227" s="4" t="str">
        <f>HYPERLINK("http://141.218.60.56/~jnz1568/getInfo.php?workbook=07_01.xlsx&amp;sheet=A0&amp;row=227&amp;col=10&amp;number=&amp;sourceID=11","")</f>
        <v/>
      </c>
      <c r="K227" s="4" t="str">
        <f>HYPERLINK("http://141.218.60.56/~jnz1568/getInfo.php?workbook=07_01.xlsx&amp;sheet=A0&amp;row=227&amp;col=11&amp;number=&amp;sourceID=11","")</f>
        <v/>
      </c>
      <c r="L227" s="4" t="str">
        <f>HYPERLINK("http://141.218.60.56/~jnz1568/getInfo.php?workbook=07_01.xlsx&amp;sheet=A0&amp;row=227&amp;col=12&amp;number=&amp;sourceID=11","")</f>
        <v/>
      </c>
      <c r="M227" s="4" t="str">
        <f>HYPERLINK("http://141.218.60.56/~jnz1568/getInfo.php?workbook=07_01.xlsx&amp;sheet=A0&amp;row=227&amp;col=13&amp;number=144.83&amp;sourceID=12","144.83")</f>
        <v>144.83</v>
      </c>
      <c r="N227" s="4" t="str">
        <f>HYPERLINK("http://141.218.60.56/~jnz1568/getInfo.php?workbook=07_01.xlsx&amp;sheet=A0&amp;row=227&amp;col=14&amp;number=&amp;sourceID=12","")</f>
        <v/>
      </c>
      <c r="O227" s="4" t="str">
        <f>HYPERLINK("http://141.218.60.56/~jnz1568/getInfo.php?workbook=07_01.xlsx&amp;sheet=A0&amp;row=227&amp;col=15&amp;number=&amp;sourceID=12","")</f>
        <v/>
      </c>
      <c r="P227" s="4" t="str">
        <f>HYPERLINK("http://141.218.60.56/~jnz1568/getInfo.php?workbook=07_01.xlsx&amp;sheet=A0&amp;row=227&amp;col=16&amp;number=144.83&amp;sourceID=12","144.83")</f>
        <v>144.83</v>
      </c>
      <c r="Q227" s="4" t="str">
        <f>HYPERLINK("http://141.218.60.56/~jnz1568/getInfo.php?workbook=07_01.xlsx&amp;sheet=A0&amp;row=227&amp;col=17&amp;number=&amp;sourceID=12","")</f>
        <v/>
      </c>
      <c r="R227" s="4" t="str">
        <f>HYPERLINK("http://141.218.60.56/~jnz1568/getInfo.php?workbook=07_01.xlsx&amp;sheet=A0&amp;row=227&amp;col=18&amp;number=&amp;sourceID=12","")</f>
        <v/>
      </c>
      <c r="S227" s="4" t="str">
        <f>HYPERLINK("http://141.218.60.56/~jnz1568/getInfo.php?workbook=07_01.xlsx&amp;sheet=A0&amp;row=227&amp;col=19&amp;number=&amp;sourceID=12","")</f>
        <v/>
      </c>
      <c r="T227" s="4" t="str">
        <f>HYPERLINK("http://141.218.60.56/~jnz1568/getInfo.php?workbook=07_01.xlsx&amp;sheet=A0&amp;row=227&amp;col=20&amp;number=&amp;sourceID=30","")</f>
        <v/>
      </c>
      <c r="U227" s="4" t="str">
        <f>HYPERLINK("http://141.218.60.56/~jnz1568/getInfo.php?workbook=07_01.xlsx&amp;sheet=A0&amp;row=227&amp;col=21&amp;number=&amp;sourceID=30","")</f>
        <v/>
      </c>
      <c r="V227" s="4" t="str">
        <f>HYPERLINK("http://141.218.60.56/~jnz1568/getInfo.php?workbook=07_01.xlsx&amp;sheet=A0&amp;row=227&amp;col=22&amp;number=&amp;sourceID=30","")</f>
        <v/>
      </c>
      <c r="W227" s="4" t="str">
        <f>HYPERLINK("http://141.218.60.56/~jnz1568/getInfo.php?workbook=07_01.xlsx&amp;sheet=A0&amp;row=227&amp;col=23&amp;number=&amp;sourceID=30","")</f>
        <v/>
      </c>
      <c r="X227" s="4" t="str">
        <f>HYPERLINK("http://141.218.60.56/~jnz1568/getInfo.php?workbook=07_01.xlsx&amp;sheet=A0&amp;row=227&amp;col=24&amp;number=&amp;sourceID=30","")</f>
        <v/>
      </c>
      <c r="Y227" s="4" t="str">
        <f>HYPERLINK("http://141.218.60.56/~jnz1568/getInfo.php?workbook=07_01.xlsx&amp;sheet=A0&amp;row=227&amp;col=25&amp;number=&amp;sourceID=13","")</f>
        <v/>
      </c>
      <c r="Z227" s="4" t="str">
        <f>HYPERLINK("http://141.218.60.56/~jnz1568/getInfo.php?workbook=07_01.xlsx&amp;sheet=A0&amp;row=227&amp;col=26&amp;number=&amp;sourceID=13","")</f>
        <v/>
      </c>
      <c r="AA227" s="4" t="str">
        <f>HYPERLINK("http://141.218.60.56/~jnz1568/getInfo.php?workbook=07_01.xlsx&amp;sheet=A0&amp;row=227&amp;col=27&amp;number=&amp;sourceID=13","")</f>
        <v/>
      </c>
      <c r="AB227" s="4" t="str">
        <f>HYPERLINK("http://141.218.60.56/~jnz1568/getInfo.php?workbook=07_01.xlsx&amp;sheet=A0&amp;row=227&amp;col=28&amp;number=&amp;sourceID=13","")</f>
        <v/>
      </c>
      <c r="AC227" s="4" t="str">
        <f>HYPERLINK("http://141.218.60.56/~jnz1568/getInfo.php?workbook=07_01.xlsx&amp;sheet=A0&amp;row=227&amp;col=29&amp;number=&amp;sourceID=13","")</f>
        <v/>
      </c>
      <c r="AD227" s="4" t="str">
        <f>HYPERLINK("http://141.218.60.56/~jnz1568/getInfo.php?workbook=07_01.xlsx&amp;sheet=A0&amp;row=227&amp;col=30&amp;number=&amp;sourceID=13","")</f>
        <v/>
      </c>
    </row>
    <row r="228" spans="1:30">
      <c r="A228" s="3">
        <v>7</v>
      </c>
      <c r="B228" s="3">
        <v>1</v>
      </c>
      <c r="C228" s="3">
        <v>23</v>
      </c>
      <c r="D228" s="3">
        <v>3</v>
      </c>
      <c r="E228" s="3">
        <f>((1/(INDEX(E0!J$4:J$28,C228,1)-INDEX(E0!J$4:J$28,D228,1))))*100000000</f>
        <v>0</v>
      </c>
      <c r="F228" s="4" t="str">
        <f>HYPERLINK("http://141.218.60.56/~jnz1568/getInfo.php?workbook=07_01.xlsx&amp;sheet=A0&amp;row=228&amp;col=6&amp;number==&amp;sourceID=11","=")</f>
        <v>=</v>
      </c>
      <c r="G228" s="4" t="str">
        <f>HYPERLINK("http://141.218.60.56/~jnz1568/getInfo.php?workbook=07_01.xlsx&amp;sheet=A0&amp;row=228&amp;col=7&amp;number=&amp;sourceID=11","")</f>
        <v/>
      </c>
      <c r="H228" s="4" t="str">
        <f>HYPERLINK("http://141.218.60.56/~jnz1568/getInfo.php?workbook=07_01.xlsx&amp;sheet=A0&amp;row=228&amp;col=8&amp;number=&amp;sourceID=11","")</f>
        <v/>
      </c>
      <c r="I228" s="4" t="str">
        <f>HYPERLINK("http://141.218.60.56/~jnz1568/getInfo.php?workbook=07_01.xlsx&amp;sheet=A0&amp;row=228&amp;col=9&amp;number=&amp;sourceID=11","")</f>
        <v/>
      </c>
      <c r="J228" s="4" t="str">
        <f>HYPERLINK("http://141.218.60.56/~jnz1568/getInfo.php?workbook=07_01.xlsx&amp;sheet=A0&amp;row=228&amp;col=10&amp;number=&amp;sourceID=11","")</f>
        <v/>
      </c>
      <c r="K228" s="4" t="str">
        <f>HYPERLINK("http://141.218.60.56/~jnz1568/getInfo.php?workbook=07_01.xlsx&amp;sheet=A0&amp;row=228&amp;col=11&amp;number=&amp;sourceID=11","")</f>
        <v/>
      </c>
      <c r="L228" s="4" t="str">
        <f>HYPERLINK("http://141.218.60.56/~jnz1568/getInfo.php?workbook=07_01.xlsx&amp;sheet=A0&amp;row=228&amp;col=12&amp;number=2.0563e-11&amp;sourceID=11","2.0563e-11")</f>
        <v>2.0563e-11</v>
      </c>
      <c r="M228" s="4" t="str">
        <f>HYPERLINK("http://141.218.60.56/~jnz1568/getInfo.php?workbook=07_01.xlsx&amp;sheet=A0&amp;row=228&amp;col=13&amp;number=1.9882e-11&amp;sourceID=12","1.9882e-11")</f>
        <v>1.9882e-11</v>
      </c>
      <c r="N228" s="4" t="str">
        <f>HYPERLINK("http://141.218.60.56/~jnz1568/getInfo.php?workbook=07_01.xlsx&amp;sheet=A0&amp;row=228&amp;col=14&amp;number=&amp;sourceID=12","")</f>
        <v/>
      </c>
      <c r="O228" s="4" t="str">
        <f>HYPERLINK("http://141.218.60.56/~jnz1568/getInfo.php?workbook=07_01.xlsx&amp;sheet=A0&amp;row=228&amp;col=15&amp;number=&amp;sourceID=12","")</f>
        <v/>
      </c>
      <c r="P228" s="4" t="str">
        <f>HYPERLINK("http://141.218.60.56/~jnz1568/getInfo.php?workbook=07_01.xlsx&amp;sheet=A0&amp;row=228&amp;col=16&amp;number=&amp;sourceID=12","")</f>
        <v/>
      </c>
      <c r="Q228" s="4" t="str">
        <f>HYPERLINK("http://141.218.60.56/~jnz1568/getInfo.php?workbook=07_01.xlsx&amp;sheet=A0&amp;row=228&amp;col=17&amp;number=&amp;sourceID=12","")</f>
        <v/>
      </c>
      <c r="R228" s="4" t="str">
        <f>HYPERLINK("http://141.218.60.56/~jnz1568/getInfo.php?workbook=07_01.xlsx&amp;sheet=A0&amp;row=228&amp;col=18&amp;number=&amp;sourceID=12","")</f>
        <v/>
      </c>
      <c r="S228" s="4" t="str">
        <f>HYPERLINK("http://141.218.60.56/~jnz1568/getInfo.php?workbook=07_01.xlsx&amp;sheet=A0&amp;row=228&amp;col=19&amp;number=1.9882e-11&amp;sourceID=12","1.9882e-11")</f>
        <v>1.9882e-11</v>
      </c>
      <c r="T228" s="4" t="str">
        <f>HYPERLINK("http://141.218.60.56/~jnz1568/getInfo.php?workbook=07_01.xlsx&amp;sheet=A0&amp;row=228&amp;col=20&amp;number=&amp;sourceID=30","")</f>
        <v/>
      </c>
      <c r="U228" s="4" t="str">
        <f>HYPERLINK("http://141.218.60.56/~jnz1568/getInfo.php?workbook=07_01.xlsx&amp;sheet=A0&amp;row=228&amp;col=21&amp;number=&amp;sourceID=30","")</f>
        <v/>
      </c>
      <c r="V228" s="4" t="str">
        <f>HYPERLINK("http://141.218.60.56/~jnz1568/getInfo.php?workbook=07_01.xlsx&amp;sheet=A0&amp;row=228&amp;col=22&amp;number=&amp;sourceID=30","")</f>
        <v/>
      </c>
      <c r="W228" s="4" t="str">
        <f>HYPERLINK("http://141.218.60.56/~jnz1568/getInfo.php?workbook=07_01.xlsx&amp;sheet=A0&amp;row=228&amp;col=23&amp;number=&amp;sourceID=30","")</f>
        <v/>
      </c>
      <c r="X228" s="4" t="str">
        <f>HYPERLINK("http://141.218.60.56/~jnz1568/getInfo.php?workbook=07_01.xlsx&amp;sheet=A0&amp;row=228&amp;col=24&amp;number=&amp;sourceID=30","")</f>
        <v/>
      </c>
      <c r="Y228" s="4" t="str">
        <f>HYPERLINK("http://141.218.60.56/~jnz1568/getInfo.php?workbook=07_01.xlsx&amp;sheet=A0&amp;row=228&amp;col=25&amp;number=&amp;sourceID=13","")</f>
        <v/>
      </c>
      <c r="Z228" s="4" t="str">
        <f>HYPERLINK("http://141.218.60.56/~jnz1568/getInfo.php?workbook=07_01.xlsx&amp;sheet=A0&amp;row=228&amp;col=26&amp;number=&amp;sourceID=13","")</f>
        <v/>
      </c>
      <c r="AA228" s="4" t="str">
        <f>HYPERLINK("http://141.218.60.56/~jnz1568/getInfo.php?workbook=07_01.xlsx&amp;sheet=A0&amp;row=228&amp;col=27&amp;number=&amp;sourceID=13","")</f>
        <v/>
      </c>
      <c r="AB228" s="4" t="str">
        <f>HYPERLINK("http://141.218.60.56/~jnz1568/getInfo.php?workbook=07_01.xlsx&amp;sheet=A0&amp;row=228&amp;col=28&amp;number=&amp;sourceID=13","")</f>
        <v/>
      </c>
      <c r="AC228" s="4" t="str">
        <f>HYPERLINK("http://141.218.60.56/~jnz1568/getInfo.php?workbook=07_01.xlsx&amp;sheet=A0&amp;row=228&amp;col=29&amp;number=&amp;sourceID=13","")</f>
        <v/>
      </c>
      <c r="AD228" s="4" t="str">
        <f>HYPERLINK("http://141.218.60.56/~jnz1568/getInfo.php?workbook=07_01.xlsx&amp;sheet=A0&amp;row=228&amp;col=30&amp;number=&amp;sourceID=13","")</f>
        <v/>
      </c>
    </row>
    <row r="229" spans="1:30">
      <c r="A229" s="3">
        <v>7</v>
      </c>
      <c r="B229" s="3">
        <v>1</v>
      </c>
      <c r="C229" s="3">
        <v>23</v>
      </c>
      <c r="D229" s="3">
        <v>4</v>
      </c>
      <c r="E229" s="3">
        <f>((1/(INDEX(E0!J$4:J$28,C229,1)-INDEX(E0!J$4:J$28,D229,1))))*100000000</f>
        <v>0</v>
      </c>
      <c r="F229" s="4" t="str">
        <f>HYPERLINK("http://141.218.60.56/~jnz1568/getInfo.php?workbook=07_01.xlsx&amp;sheet=A0&amp;row=229&amp;col=6&amp;number==&amp;sourceID=11","=")</f>
        <v>=</v>
      </c>
      <c r="G229" s="4" t="str">
        <f>HYPERLINK("http://141.218.60.56/~jnz1568/getInfo.php?workbook=07_01.xlsx&amp;sheet=A0&amp;row=229&amp;col=7&amp;number=&amp;sourceID=11","")</f>
        <v/>
      </c>
      <c r="H229" s="4" t="str">
        <f>HYPERLINK("http://141.218.60.56/~jnz1568/getInfo.php?workbook=07_01.xlsx&amp;sheet=A0&amp;row=229&amp;col=8&amp;number=&amp;sourceID=11","")</f>
        <v/>
      </c>
      <c r="I229" s="4" t="str">
        <f>HYPERLINK("http://141.218.60.56/~jnz1568/getInfo.php?workbook=07_01.xlsx&amp;sheet=A0&amp;row=229&amp;col=9&amp;number=48.295&amp;sourceID=11","48.295")</f>
        <v>48.295</v>
      </c>
      <c r="J229" s="4" t="str">
        <f>HYPERLINK("http://141.218.60.56/~jnz1568/getInfo.php?workbook=07_01.xlsx&amp;sheet=A0&amp;row=229&amp;col=10&amp;number=&amp;sourceID=11","")</f>
        <v/>
      </c>
      <c r="K229" s="4" t="str">
        <f>HYPERLINK("http://141.218.60.56/~jnz1568/getInfo.php?workbook=07_01.xlsx&amp;sheet=A0&amp;row=229&amp;col=11&amp;number=1.7674e-07&amp;sourceID=11","1.7674e-07")</f>
        <v>1.7674e-07</v>
      </c>
      <c r="L229" s="4" t="str">
        <f>HYPERLINK("http://141.218.60.56/~jnz1568/getInfo.php?workbook=07_01.xlsx&amp;sheet=A0&amp;row=229&amp;col=12&amp;number=&amp;sourceID=11","")</f>
        <v/>
      </c>
      <c r="M229" s="4" t="str">
        <f>HYPERLINK("http://141.218.60.56/~jnz1568/getInfo.php?workbook=07_01.xlsx&amp;sheet=A0&amp;row=229&amp;col=13&amp;number=48.297&amp;sourceID=12","48.297")</f>
        <v>48.297</v>
      </c>
      <c r="N229" s="4" t="str">
        <f>HYPERLINK("http://141.218.60.56/~jnz1568/getInfo.php?workbook=07_01.xlsx&amp;sheet=A0&amp;row=229&amp;col=14&amp;number=&amp;sourceID=12","")</f>
        <v/>
      </c>
      <c r="O229" s="4" t="str">
        <f>HYPERLINK("http://141.218.60.56/~jnz1568/getInfo.php?workbook=07_01.xlsx&amp;sheet=A0&amp;row=229&amp;col=15&amp;number=&amp;sourceID=12","")</f>
        <v/>
      </c>
      <c r="P229" s="4" t="str">
        <f>HYPERLINK("http://141.218.60.56/~jnz1568/getInfo.php?workbook=07_01.xlsx&amp;sheet=A0&amp;row=229&amp;col=16&amp;number=48.297&amp;sourceID=12","48.297")</f>
        <v>48.297</v>
      </c>
      <c r="Q229" s="4" t="str">
        <f>HYPERLINK("http://141.218.60.56/~jnz1568/getInfo.php?workbook=07_01.xlsx&amp;sheet=A0&amp;row=229&amp;col=17&amp;number=&amp;sourceID=12","")</f>
        <v/>
      </c>
      <c r="R229" s="4" t="str">
        <f>HYPERLINK("http://141.218.60.56/~jnz1568/getInfo.php?workbook=07_01.xlsx&amp;sheet=A0&amp;row=229&amp;col=18&amp;number=1.7633e-07&amp;sourceID=12","1.7633e-07")</f>
        <v>1.7633e-07</v>
      </c>
      <c r="S229" s="4" t="str">
        <f>HYPERLINK("http://141.218.60.56/~jnz1568/getInfo.php?workbook=07_01.xlsx&amp;sheet=A0&amp;row=229&amp;col=19&amp;number=&amp;sourceID=12","")</f>
        <v/>
      </c>
      <c r="T229" s="4" t="str">
        <f>HYPERLINK("http://141.218.60.56/~jnz1568/getInfo.php?workbook=07_01.xlsx&amp;sheet=A0&amp;row=229&amp;col=20&amp;number==SUM(U229:X229)&amp;sourceID=30","=SUM(U229:X229)")</f>
        <v>=SUM(U229:X229)</v>
      </c>
      <c r="U229" s="4" t="str">
        <f>HYPERLINK("http://141.218.60.56/~jnz1568/getInfo.php?workbook=07_01.xlsx&amp;sheet=A0&amp;row=229&amp;col=21&amp;number=&amp;sourceID=30","")</f>
        <v/>
      </c>
      <c r="V229" s="4" t="str">
        <f>HYPERLINK("http://141.218.60.56/~jnz1568/getInfo.php?workbook=07_01.xlsx&amp;sheet=A0&amp;row=229&amp;col=22&amp;number=&amp;sourceID=30","")</f>
        <v/>
      </c>
      <c r="W229" s="4" t="str">
        <f>HYPERLINK("http://141.218.60.56/~jnz1568/getInfo.php?workbook=07_01.xlsx&amp;sheet=A0&amp;row=229&amp;col=23&amp;number=&amp;sourceID=30","")</f>
        <v/>
      </c>
      <c r="X229" s="4" t="str">
        <f>HYPERLINK("http://141.218.60.56/~jnz1568/getInfo.php?workbook=07_01.xlsx&amp;sheet=A0&amp;row=229&amp;col=24&amp;number=1.77e-07&amp;sourceID=30","1.77e-07")</f>
        <v>1.77e-07</v>
      </c>
      <c r="Y229" s="4" t="str">
        <f>HYPERLINK("http://141.218.60.56/~jnz1568/getInfo.php?workbook=07_01.xlsx&amp;sheet=A0&amp;row=229&amp;col=25&amp;number=&amp;sourceID=13","")</f>
        <v/>
      </c>
      <c r="Z229" s="4" t="str">
        <f>HYPERLINK("http://141.218.60.56/~jnz1568/getInfo.php?workbook=07_01.xlsx&amp;sheet=A0&amp;row=229&amp;col=26&amp;number=&amp;sourceID=13","")</f>
        <v/>
      </c>
      <c r="AA229" s="4" t="str">
        <f>HYPERLINK("http://141.218.60.56/~jnz1568/getInfo.php?workbook=07_01.xlsx&amp;sheet=A0&amp;row=229&amp;col=27&amp;number=&amp;sourceID=13","")</f>
        <v/>
      </c>
      <c r="AB229" s="4" t="str">
        <f>HYPERLINK("http://141.218.60.56/~jnz1568/getInfo.php?workbook=07_01.xlsx&amp;sheet=A0&amp;row=229&amp;col=28&amp;number=&amp;sourceID=13","")</f>
        <v/>
      </c>
      <c r="AC229" s="4" t="str">
        <f>HYPERLINK("http://141.218.60.56/~jnz1568/getInfo.php?workbook=07_01.xlsx&amp;sheet=A0&amp;row=229&amp;col=29&amp;number=&amp;sourceID=13","")</f>
        <v/>
      </c>
      <c r="AD229" s="4" t="str">
        <f>HYPERLINK("http://141.218.60.56/~jnz1568/getInfo.php?workbook=07_01.xlsx&amp;sheet=A0&amp;row=229&amp;col=30&amp;number=&amp;sourceID=13","")</f>
        <v/>
      </c>
    </row>
    <row r="230" spans="1:30">
      <c r="A230" s="3">
        <v>7</v>
      </c>
      <c r="B230" s="3">
        <v>1</v>
      </c>
      <c r="C230" s="3">
        <v>23</v>
      </c>
      <c r="D230" s="3">
        <v>5</v>
      </c>
      <c r="E230" s="3">
        <f>((1/(INDEX(E0!J$4:J$28,C230,1)-INDEX(E0!J$4:J$28,D230,1))))*100000000</f>
        <v>0</v>
      </c>
      <c r="F230" s="4" t="str">
        <f>HYPERLINK("http://141.218.60.56/~jnz1568/getInfo.php?workbook=07_01.xlsx&amp;sheet=A0&amp;row=230&amp;col=6&amp;number==&amp;sourceID=11","=")</f>
        <v>=</v>
      </c>
      <c r="G230" s="4" t="str">
        <f>HYPERLINK("http://141.218.60.56/~jnz1568/getInfo.php?workbook=07_01.xlsx&amp;sheet=A0&amp;row=230&amp;col=7&amp;number=&amp;sourceID=11","")</f>
        <v/>
      </c>
      <c r="H230" s="4" t="str">
        <f>HYPERLINK("http://141.218.60.56/~jnz1568/getInfo.php?workbook=07_01.xlsx&amp;sheet=A0&amp;row=230&amp;col=8&amp;number=&amp;sourceID=11","")</f>
        <v/>
      </c>
      <c r="I230" s="4" t="str">
        <f>HYPERLINK("http://141.218.60.56/~jnz1568/getInfo.php?workbook=07_01.xlsx&amp;sheet=A0&amp;row=230&amp;col=9&amp;number=61.35&amp;sourceID=11","61.35")</f>
        <v>61.35</v>
      </c>
      <c r="J230" s="4" t="str">
        <f>HYPERLINK("http://141.218.60.56/~jnz1568/getInfo.php?workbook=07_01.xlsx&amp;sheet=A0&amp;row=230&amp;col=10&amp;number=&amp;sourceID=11","")</f>
        <v/>
      </c>
      <c r="K230" s="4" t="str">
        <f>HYPERLINK("http://141.218.60.56/~jnz1568/getInfo.php?workbook=07_01.xlsx&amp;sheet=A0&amp;row=230&amp;col=11&amp;number=&amp;sourceID=11","")</f>
        <v/>
      </c>
      <c r="L230" s="4" t="str">
        <f>HYPERLINK("http://141.218.60.56/~jnz1568/getInfo.php?workbook=07_01.xlsx&amp;sheet=A0&amp;row=230&amp;col=12&amp;number=&amp;sourceID=11","")</f>
        <v/>
      </c>
      <c r="M230" s="4" t="str">
        <f>HYPERLINK("http://141.218.60.56/~jnz1568/getInfo.php?workbook=07_01.xlsx&amp;sheet=A0&amp;row=230&amp;col=13&amp;number=61.352&amp;sourceID=12","61.352")</f>
        <v>61.352</v>
      </c>
      <c r="N230" s="4" t="str">
        <f>HYPERLINK("http://141.218.60.56/~jnz1568/getInfo.php?workbook=07_01.xlsx&amp;sheet=A0&amp;row=230&amp;col=14&amp;number=&amp;sourceID=12","")</f>
        <v/>
      </c>
      <c r="O230" s="4" t="str">
        <f>HYPERLINK("http://141.218.60.56/~jnz1568/getInfo.php?workbook=07_01.xlsx&amp;sheet=A0&amp;row=230&amp;col=15&amp;number=&amp;sourceID=12","")</f>
        <v/>
      </c>
      <c r="P230" s="4" t="str">
        <f>HYPERLINK("http://141.218.60.56/~jnz1568/getInfo.php?workbook=07_01.xlsx&amp;sheet=A0&amp;row=230&amp;col=16&amp;number=61.352&amp;sourceID=12","61.352")</f>
        <v>61.352</v>
      </c>
      <c r="Q230" s="4" t="str">
        <f>HYPERLINK("http://141.218.60.56/~jnz1568/getInfo.php?workbook=07_01.xlsx&amp;sheet=A0&amp;row=230&amp;col=17&amp;number=&amp;sourceID=12","")</f>
        <v/>
      </c>
      <c r="R230" s="4" t="str">
        <f>HYPERLINK("http://141.218.60.56/~jnz1568/getInfo.php?workbook=07_01.xlsx&amp;sheet=A0&amp;row=230&amp;col=18&amp;number=&amp;sourceID=12","")</f>
        <v/>
      </c>
      <c r="S230" s="4" t="str">
        <f>HYPERLINK("http://141.218.60.56/~jnz1568/getInfo.php?workbook=07_01.xlsx&amp;sheet=A0&amp;row=230&amp;col=19&amp;number=&amp;sourceID=12","")</f>
        <v/>
      </c>
      <c r="T230" s="4" t="str">
        <f>HYPERLINK("http://141.218.60.56/~jnz1568/getInfo.php?workbook=07_01.xlsx&amp;sheet=A0&amp;row=230&amp;col=20&amp;number=&amp;sourceID=30","")</f>
        <v/>
      </c>
      <c r="U230" s="4" t="str">
        <f>HYPERLINK("http://141.218.60.56/~jnz1568/getInfo.php?workbook=07_01.xlsx&amp;sheet=A0&amp;row=230&amp;col=21&amp;number=&amp;sourceID=30","")</f>
        <v/>
      </c>
      <c r="V230" s="4" t="str">
        <f>HYPERLINK("http://141.218.60.56/~jnz1568/getInfo.php?workbook=07_01.xlsx&amp;sheet=A0&amp;row=230&amp;col=22&amp;number=&amp;sourceID=30","")</f>
        <v/>
      </c>
      <c r="W230" s="4" t="str">
        <f>HYPERLINK("http://141.218.60.56/~jnz1568/getInfo.php?workbook=07_01.xlsx&amp;sheet=A0&amp;row=230&amp;col=23&amp;number=&amp;sourceID=30","")</f>
        <v/>
      </c>
      <c r="X230" s="4" t="str">
        <f>HYPERLINK("http://141.218.60.56/~jnz1568/getInfo.php?workbook=07_01.xlsx&amp;sheet=A0&amp;row=230&amp;col=24&amp;number=&amp;sourceID=30","")</f>
        <v/>
      </c>
      <c r="Y230" s="4" t="str">
        <f>HYPERLINK("http://141.218.60.56/~jnz1568/getInfo.php?workbook=07_01.xlsx&amp;sheet=A0&amp;row=230&amp;col=25&amp;number=&amp;sourceID=13","")</f>
        <v/>
      </c>
      <c r="Z230" s="4" t="str">
        <f>HYPERLINK("http://141.218.60.56/~jnz1568/getInfo.php?workbook=07_01.xlsx&amp;sheet=A0&amp;row=230&amp;col=26&amp;number=&amp;sourceID=13","")</f>
        <v/>
      </c>
      <c r="AA230" s="4" t="str">
        <f>HYPERLINK("http://141.218.60.56/~jnz1568/getInfo.php?workbook=07_01.xlsx&amp;sheet=A0&amp;row=230&amp;col=27&amp;number=&amp;sourceID=13","")</f>
        <v/>
      </c>
      <c r="AB230" s="4" t="str">
        <f>HYPERLINK("http://141.218.60.56/~jnz1568/getInfo.php?workbook=07_01.xlsx&amp;sheet=A0&amp;row=230&amp;col=28&amp;number=&amp;sourceID=13","")</f>
        <v/>
      </c>
      <c r="AC230" s="4" t="str">
        <f>HYPERLINK("http://141.218.60.56/~jnz1568/getInfo.php?workbook=07_01.xlsx&amp;sheet=A0&amp;row=230&amp;col=29&amp;number=&amp;sourceID=13","")</f>
        <v/>
      </c>
      <c r="AD230" s="4" t="str">
        <f>HYPERLINK("http://141.218.60.56/~jnz1568/getInfo.php?workbook=07_01.xlsx&amp;sheet=A0&amp;row=230&amp;col=30&amp;number=&amp;sourceID=13","")</f>
        <v/>
      </c>
    </row>
    <row r="231" spans="1:30">
      <c r="A231" s="3">
        <v>7</v>
      </c>
      <c r="B231" s="3">
        <v>1</v>
      </c>
      <c r="C231" s="3">
        <v>23</v>
      </c>
      <c r="D231" s="3">
        <v>6</v>
      </c>
      <c r="E231" s="3">
        <f>((1/(INDEX(E0!J$4:J$28,C231,1)-INDEX(E0!J$4:J$28,D231,1))))*100000000</f>
        <v>0</v>
      </c>
      <c r="F231" s="4" t="str">
        <f>HYPERLINK("http://141.218.60.56/~jnz1568/getInfo.php?workbook=07_01.xlsx&amp;sheet=A0&amp;row=231&amp;col=6&amp;number==&amp;sourceID=11","=")</f>
        <v>=</v>
      </c>
      <c r="G231" s="4" t="str">
        <f>HYPERLINK("http://141.218.60.56/~jnz1568/getInfo.php?workbook=07_01.xlsx&amp;sheet=A0&amp;row=231&amp;col=7&amp;number=&amp;sourceID=11","")</f>
        <v/>
      </c>
      <c r="H231" s="4" t="str">
        <f>HYPERLINK("http://141.218.60.56/~jnz1568/getInfo.php?workbook=07_01.xlsx&amp;sheet=A0&amp;row=231&amp;col=8&amp;number=&amp;sourceID=11","")</f>
        <v/>
      </c>
      <c r="I231" s="4" t="str">
        <f>HYPERLINK("http://141.218.60.56/~jnz1568/getInfo.php?workbook=07_01.xlsx&amp;sheet=A0&amp;row=231&amp;col=9&amp;number=&amp;sourceID=11","")</f>
        <v/>
      </c>
      <c r="J231" s="4" t="str">
        <f>HYPERLINK("http://141.218.60.56/~jnz1568/getInfo.php?workbook=07_01.xlsx&amp;sheet=A0&amp;row=231&amp;col=10&amp;number=&amp;sourceID=11","")</f>
        <v/>
      </c>
      <c r="K231" s="4" t="str">
        <f>HYPERLINK("http://141.218.60.56/~jnz1568/getInfo.php?workbook=07_01.xlsx&amp;sheet=A0&amp;row=231&amp;col=11&amp;number=&amp;sourceID=11","")</f>
        <v/>
      </c>
      <c r="L231" s="4" t="str">
        <f>HYPERLINK("http://141.218.60.56/~jnz1568/getInfo.php?workbook=07_01.xlsx&amp;sheet=A0&amp;row=231&amp;col=12&amp;number=5.18e-13&amp;sourceID=11","5.18e-13")</f>
        <v>5.18e-13</v>
      </c>
      <c r="M231" s="4" t="str">
        <f>HYPERLINK("http://141.218.60.56/~jnz1568/getInfo.php?workbook=07_01.xlsx&amp;sheet=A0&amp;row=231&amp;col=13&amp;number=5.18e-13&amp;sourceID=12","5.18e-13")</f>
        <v>5.18e-13</v>
      </c>
      <c r="N231" s="4" t="str">
        <f>HYPERLINK("http://141.218.60.56/~jnz1568/getInfo.php?workbook=07_01.xlsx&amp;sheet=A0&amp;row=231&amp;col=14&amp;number=&amp;sourceID=12","")</f>
        <v/>
      </c>
      <c r="O231" s="4" t="str">
        <f>HYPERLINK("http://141.218.60.56/~jnz1568/getInfo.php?workbook=07_01.xlsx&amp;sheet=A0&amp;row=231&amp;col=15&amp;number=&amp;sourceID=12","")</f>
        <v/>
      </c>
      <c r="P231" s="4" t="str">
        <f>HYPERLINK("http://141.218.60.56/~jnz1568/getInfo.php?workbook=07_01.xlsx&amp;sheet=A0&amp;row=231&amp;col=16&amp;number=&amp;sourceID=12","")</f>
        <v/>
      </c>
      <c r="Q231" s="4" t="str">
        <f>HYPERLINK("http://141.218.60.56/~jnz1568/getInfo.php?workbook=07_01.xlsx&amp;sheet=A0&amp;row=231&amp;col=17&amp;number=&amp;sourceID=12","")</f>
        <v/>
      </c>
      <c r="R231" s="4" t="str">
        <f>HYPERLINK("http://141.218.60.56/~jnz1568/getInfo.php?workbook=07_01.xlsx&amp;sheet=A0&amp;row=231&amp;col=18&amp;number=&amp;sourceID=12","")</f>
        <v/>
      </c>
      <c r="S231" s="4" t="str">
        <f>HYPERLINK("http://141.218.60.56/~jnz1568/getInfo.php?workbook=07_01.xlsx&amp;sheet=A0&amp;row=231&amp;col=19&amp;number=5.18e-13&amp;sourceID=12","5.18e-13")</f>
        <v>5.18e-13</v>
      </c>
      <c r="T231" s="4" t="str">
        <f>HYPERLINK("http://141.218.60.56/~jnz1568/getInfo.php?workbook=07_01.xlsx&amp;sheet=A0&amp;row=231&amp;col=20&amp;number=&amp;sourceID=30","")</f>
        <v/>
      </c>
      <c r="U231" s="4" t="str">
        <f>HYPERLINK("http://141.218.60.56/~jnz1568/getInfo.php?workbook=07_01.xlsx&amp;sheet=A0&amp;row=231&amp;col=21&amp;number=&amp;sourceID=30","")</f>
        <v/>
      </c>
      <c r="V231" s="4" t="str">
        <f>HYPERLINK("http://141.218.60.56/~jnz1568/getInfo.php?workbook=07_01.xlsx&amp;sheet=A0&amp;row=231&amp;col=22&amp;number=&amp;sourceID=30","")</f>
        <v/>
      </c>
      <c r="W231" s="4" t="str">
        <f>HYPERLINK("http://141.218.60.56/~jnz1568/getInfo.php?workbook=07_01.xlsx&amp;sheet=A0&amp;row=231&amp;col=23&amp;number=&amp;sourceID=30","")</f>
        <v/>
      </c>
      <c r="X231" s="4" t="str">
        <f>HYPERLINK("http://141.218.60.56/~jnz1568/getInfo.php?workbook=07_01.xlsx&amp;sheet=A0&amp;row=231&amp;col=24&amp;number=&amp;sourceID=30","")</f>
        <v/>
      </c>
      <c r="Y231" s="4" t="str">
        <f>HYPERLINK("http://141.218.60.56/~jnz1568/getInfo.php?workbook=07_01.xlsx&amp;sheet=A0&amp;row=231&amp;col=25&amp;number=&amp;sourceID=13","")</f>
        <v/>
      </c>
      <c r="Z231" s="4" t="str">
        <f>HYPERLINK("http://141.218.60.56/~jnz1568/getInfo.php?workbook=07_01.xlsx&amp;sheet=A0&amp;row=231&amp;col=26&amp;number=&amp;sourceID=13","")</f>
        <v/>
      </c>
      <c r="AA231" s="4" t="str">
        <f>HYPERLINK("http://141.218.60.56/~jnz1568/getInfo.php?workbook=07_01.xlsx&amp;sheet=A0&amp;row=231&amp;col=27&amp;number=&amp;sourceID=13","")</f>
        <v/>
      </c>
      <c r="AB231" s="4" t="str">
        <f>HYPERLINK("http://141.218.60.56/~jnz1568/getInfo.php?workbook=07_01.xlsx&amp;sheet=A0&amp;row=231&amp;col=28&amp;number=&amp;sourceID=13","")</f>
        <v/>
      </c>
      <c r="AC231" s="4" t="str">
        <f>HYPERLINK("http://141.218.60.56/~jnz1568/getInfo.php?workbook=07_01.xlsx&amp;sheet=A0&amp;row=231&amp;col=29&amp;number=&amp;sourceID=13","")</f>
        <v/>
      </c>
      <c r="AD231" s="4" t="str">
        <f>HYPERLINK("http://141.218.60.56/~jnz1568/getInfo.php?workbook=07_01.xlsx&amp;sheet=A0&amp;row=231&amp;col=30&amp;number=&amp;sourceID=13","")</f>
        <v/>
      </c>
    </row>
    <row r="232" spans="1:30">
      <c r="A232" s="3">
        <v>7</v>
      </c>
      <c r="B232" s="3">
        <v>1</v>
      </c>
      <c r="C232" s="3">
        <v>23</v>
      </c>
      <c r="D232" s="3">
        <v>7</v>
      </c>
      <c r="E232" s="3">
        <f>((1/(INDEX(E0!J$4:J$28,C232,1)-INDEX(E0!J$4:J$28,D232,1))))*100000000</f>
        <v>0</v>
      </c>
      <c r="F232" s="4" t="str">
        <f>HYPERLINK("http://141.218.60.56/~jnz1568/getInfo.php?workbook=07_01.xlsx&amp;sheet=A0&amp;row=232&amp;col=6&amp;number==&amp;sourceID=11","=")</f>
        <v>=</v>
      </c>
      <c r="G232" s="4" t="str">
        <f>HYPERLINK("http://141.218.60.56/~jnz1568/getInfo.php?workbook=07_01.xlsx&amp;sheet=A0&amp;row=232&amp;col=7&amp;number=&amp;sourceID=11","")</f>
        <v/>
      </c>
      <c r="H232" s="4" t="str">
        <f>HYPERLINK("http://141.218.60.56/~jnz1568/getInfo.php?workbook=07_01.xlsx&amp;sheet=A0&amp;row=232&amp;col=8&amp;number=1229900&amp;sourceID=11","1229900")</f>
        <v>1229900</v>
      </c>
      <c r="I232" s="4" t="str">
        <f>HYPERLINK("http://141.218.60.56/~jnz1568/getInfo.php?workbook=07_01.xlsx&amp;sheet=A0&amp;row=232&amp;col=9&amp;number=&amp;sourceID=11","")</f>
        <v/>
      </c>
      <c r="J232" s="4" t="str">
        <f>HYPERLINK("http://141.218.60.56/~jnz1568/getInfo.php?workbook=07_01.xlsx&amp;sheet=A0&amp;row=232&amp;col=10&amp;number=&amp;sourceID=11","")</f>
        <v/>
      </c>
      <c r="K232" s="4" t="str">
        <f>HYPERLINK("http://141.218.60.56/~jnz1568/getInfo.php?workbook=07_01.xlsx&amp;sheet=A0&amp;row=232&amp;col=11&amp;number=&amp;sourceID=11","")</f>
        <v/>
      </c>
      <c r="L232" s="4" t="str">
        <f>HYPERLINK("http://141.218.60.56/~jnz1568/getInfo.php?workbook=07_01.xlsx&amp;sheet=A0&amp;row=232&amp;col=12&amp;number=0.00025218&amp;sourceID=11","0.00025218")</f>
        <v>0.00025218</v>
      </c>
      <c r="M232" s="4" t="str">
        <f>HYPERLINK("http://141.218.60.56/~jnz1568/getInfo.php?workbook=07_01.xlsx&amp;sheet=A0&amp;row=232&amp;col=13&amp;number=1229900&amp;sourceID=12","1229900")</f>
        <v>1229900</v>
      </c>
      <c r="N232" s="4" t="str">
        <f>HYPERLINK("http://141.218.60.56/~jnz1568/getInfo.php?workbook=07_01.xlsx&amp;sheet=A0&amp;row=232&amp;col=14&amp;number=&amp;sourceID=12","")</f>
        <v/>
      </c>
      <c r="O232" s="4" t="str">
        <f>HYPERLINK("http://141.218.60.56/~jnz1568/getInfo.php?workbook=07_01.xlsx&amp;sheet=A0&amp;row=232&amp;col=15&amp;number=1229900&amp;sourceID=12","1229900")</f>
        <v>1229900</v>
      </c>
      <c r="P232" s="4" t="str">
        <f>HYPERLINK("http://141.218.60.56/~jnz1568/getInfo.php?workbook=07_01.xlsx&amp;sheet=A0&amp;row=232&amp;col=16&amp;number=&amp;sourceID=12","")</f>
        <v/>
      </c>
      <c r="Q232" s="4" t="str">
        <f>HYPERLINK("http://141.218.60.56/~jnz1568/getInfo.php?workbook=07_01.xlsx&amp;sheet=A0&amp;row=232&amp;col=17&amp;number=&amp;sourceID=12","")</f>
        <v/>
      </c>
      <c r="R232" s="4" t="str">
        <f>HYPERLINK("http://141.218.60.56/~jnz1568/getInfo.php?workbook=07_01.xlsx&amp;sheet=A0&amp;row=232&amp;col=18&amp;number=&amp;sourceID=12","")</f>
        <v/>
      </c>
      <c r="S232" s="4" t="str">
        <f>HYPERLINK("http://141.218.60.56/~jnz1568/getInfo.php?workbook=07_01.xlsx&amp;sheet=A0&amp;row=232&amp;col=19&amp;number=0.00025219&amp;sourceID=12","0.00025219")</f>
        <v>0.00025219</v>
      </c>
      <c r="T232" s="4" t="str">
        <f>HYPERLINK("http://141.218.60.56/~jnz1568/getInfo.php?workbook=07_01.xlsx&amp;sheet=A0&amp;row=232&amp;col=20&amp;number==SUM(U232:X232)&amp;sourceID=30","=SUM(U232:X232)")</f>
        <v>=SUM(U232:X232)</v>
      </c>
      <c r="U232" s="4" t="str">
        <f>HYPERLINK("http://141.218.60.56/~jnz1568/getInfo.php?workbook=07_01.xlsx&amp;sheet=A0&amp;row=232&amp;col=21&amp;number=&amp;sourceID=30","")</f>
        <v/>
      </c>
      <c r="V232" s="4" t="str">
        <f>HYPERLINK("http://141.218.60.56/~jnz1568/getInfo.php?workbook=07_01.xlsx&amp;sheet=A0&amp;row=232&amp;col=22&amp;number=1230000&amp;sourceID=30","1230000")</f>
        <v>1230000</v>
      </c>
      <c r="W232" s="4" t="str">
        <f>HYPERLINK("http://141.218.60.56/~jnz1568/getInfo.php?workbook=07_01.xlsx&amp;sheet=A0&amp;row=232&amp;col=23&amp;number=&amp;sourceID=30","")</f>
        <v/>
      </c>
      <c r="X232" s="4" t="str">
        <f>HYPERLINK("http://141.218.60.56/~jnz1568/getInfo.php?workbook=07_01.xlsx&amp;sheet=A0&amp;row=232&amp;col=24&amp;number=&amp;sourceID=30","")</f>
        <v/>
      </c>
      <c r="Y232" s="4" t="str">
        <f>HYPERLINK("http://141.218.60.56/~jnz1568/getInfo.php?workbook=07_01.xlsx&amp;sheet=A0&amp;row=232&amp;col=25&amp;number=&amp;sourceID=13","")</f>
        <v/>
      </c>
      <c r="Z232" s="4" t="str">
        <f>HYPERLINK("http://141.218.60.56/~jnz1568/getInfo.php?workbook=07_01.xlsx&amp;sheet=A0&amp;row=232&amp;col=26&amp;number=&amp;sourceID=13","")</f>
        <v/>
      </c>
      <c r="AA232" s="4" t="str">
        <f>HYPERLINK("http://141.218.60.56/~jnz1568/getInfo.php?workbook=07_01.xlsx&amp;sheet=A0&amp;row=232&amp;col=27&amp;number=&amp;sourceID=13","")</f>
        <v/>
      </c>
      <c r="AB232" s="4" t="str">
        <f>HYPERLINK("http://141.218.60.56/~jnz1568/getInfo.php?workbook=07_01.xlsx&amp;sheet=A0&amp;row=232&amp;col=28&amp;number=&amp;sourceID=13","")</f>
        <v/>
      </c>
      <c r="AC232" s="4" t="str">
        <f>HYPERLINK("http://141.218.60.56/~jnz1568/getInfo.php?workbook=07_01.xlsx&amp;sheet=A0&amp;row=232&amp;col=29&amp;number=&amp;sourceID=13","")</f>
        <v/>
      </c>
      <c r="AD232" s="4" t="str">
        <f>HYPERLINK("http://141.218.60.56/~jnz1568/getInfo.php?workbook=07_01.xlsx&amp;sheet=A0&amp;row=232&amp;col=30&amp;number=&amp;sourceID=13","")</f>
        <v/>
      </c>
    </row>
    <row r="233" spans="1:30">
      <c r="A233" s="3">
        <v>7</v>
      </c>
      <c r="B233" s="3">
        <v>1</v>
      </c>
      <c r="C233" s="3">
        <v>23</v>
      </c>
      <c r="D233" s="3">
        <v>8</v>
      </c>
      <c r="E233" s="3">
        <f>((1/(INDEX(E0!J$4:J$28,C233,1)-INDEX(E0!J$4:J$28,D233,1))))*100000000</f>
        <v>0</v>
      </c>
      <c r="F233" s="4" t="str">
        <f>HYPERLINK("http://141.218.60.56/~jnz1568/getInfo.php?workbook=07_01.xlsx&amp;sheet=A0&amp;row=233&amp;col=6&amp;number==&amp;sourceID=11","=")</f>
        <v>=</v>
      </c>
      <c r="G233" s="4" t="str">
        <f>HYPERLINK("http://141.218.60.56/~jnz1568/getInfo.php?workbook=07_01.xlsx&amp;sheet=A0&amp;row=233&amp;col=7&amp;number=&amp;sourceID=11","")</f>
        <v/>
      </c>
      <c r="H233" s="4" t="str">
        <f>HYPERLINK("http://141.218.60.56/~jnz1568/getInfo.php?workbook=07_01.xlsx&amp;sheet=A0&amp;row=233&amp;col=8&amp;number=&amp;sourceID=11","")</f>
        <v/>
      </c>
      <c r="I233" s="4" t="str">
        <f>HYPERLINK("http://141.218.60.56/~jnz1568/getInfo.php?workbook=07_01.xlsx&amp;sheet=A0&amp;row=233&amp;col=9&amp;number=20.416&amp;sourceID=11","20.416")</f>
        <v>20.416</v>
      </c>
      <c r="J233" s="4" t="str">
        <f>HYPERLINK("http://141.218.60.56/~jnz1568/getInfo.php?workbook=07_01.xlsx&amp;sheet=A0&amp;row=233&amp;col=10&amp;number=&amp;sourceID=11","")</f>
        <v/>
      </c>
      <c r="K233" s="4" t="str">
        <f>HYPERLINK("http://141.218.60.56/~jnz1568/getInfo.php?workbook=07_01.xlsx&amp;sheet=A0&amp;row=233&amp;col=11&amp;number=2.3424e-08&amp;sourceID=11","2.3424e-08")</f>
        <v>2.3424e-08</v>
      </c>
      <c r="L233" s="4" t="str">
        <f>HYPERLINK("http://141.218.60.56/~jnz1568/getInfo.php?workbook=07_01.xlsx&amp;sheet=A0&amp;row=233&amp;col=12&amp;number=&amp;sourceID=11","")</f>
        <v/>
      </c>
      <c r="M233" s="4" t="str">
        <f>HYPERLINK("http://141.218.60.56/~jnz1568/getInfo.php?workbook=07_01.xlsx&amp;sheet=A0&amp;row=233&amp;col=13&amp;number=20.417&amp;sourceID=12","20.417")</f>
        <v>20.417</v>
      </c>
      <c r="N233" s="4" t="str">
        <f>HYPERLINK("http://141.218.60.56/~jnz1568/getInfo.php?workbook=07_01.xlsx&amp;sheet=A0&amp;row=233&amp;col=14&amp;number=&amp;sourceID=12","")</f>
        <v/>
      </c>
      <c r="O233" s="4" t="str">
        <f>HYPERLINK("http://141.218.60.56/~jnz1568/getInfo.php?workbook=07_01.xlsx&amp;sheet=A0&amp;row=233&amp;col=15&amp;number=&amp;sourceID=12","")</f>
        <v/>
      </c>
      <c r="P233" s="4" t="str">
        <f>HYPERLINK("http://141.218.60.56/~jnz1568/getInfo.php?workbook=07_01.xlsx&amp;sheet=A0&amp;row=233&amp;col=16&amp;number=20.417&amp;sourceID=12","20.417")</f>
        <v>20.417</v>
      </c>
      <c r="Q233" s="4" t="str">
        <f>HYPERLINK("http://141.218.60.56/~jnz1568/getInfo.php?workbook=07_01.xlsx&amp;sheet=A0&amp;row=233&amp;col=17&amp;number=&amp;sourceID=12","")</f>
        <v/>
      </c>
      <c r="R233" s="4" t="str">
        <f>HYPERLINK("http://141.218.60.56/~jnz1568/getInfo.php?workbook=07_01.xlsx&amp;sheet=A0&amp;row=233&amp;col=18&amp;number=2.342e-08&amp;sourceID=12","2.342e-08")</f>
        <v>2.342e-08</v>
      </c>
      <c r="S233" s="4" t="str">
        <f>HYPERLINK("http://141.218.60.56/~jnz1568/getInfo.php?workbook=07_01.xlsx&amp;sheet=A0&amp;row=233&amp;col=19&amp;number=&amp;sourceID=12","")</f>
        <v/>
      </c>
      <c r="T233" s="4" t="str">
        <f>HYPERLINK("http://141.218.60.56/~jnz1568/getInfo.php?workbook=07_01.xlsx&amp;sheet=A0&amp;row=233&amp;col=20&amp;number==SUM(U233:X233)&amp;sourceID=30","=SUM(U233:X233)")</f>
        <v>=SUM(U233:X233)</v>
      </c>
      <c r="U233" s="4" t="str">
        <f>HYPERLINK("http://141.218.60.56/~jnz1568/getInfo.php?workbook=07_01.xlsx&amp;sheet=A0&amp;row=233&amp;col=21&amp;number=&amp;sourceID=30","")</f>
        <v/>
      </c>
      <c r="V233" s="4" t="str">
        <f>HYPERLINK("http://141.218.60.56/~jnz1568/getInfo.php?workbook=07_01.xlsx&amp;sheet=A0&amp;row=233&amp;col=22&amp;number=&amp;sourceID=30","")</f>
        <v/>
      </c>
      <c r="W233" s="4" t="str">
        <f>HYPERLINK("http://141.218.60.56/~jnz1568/getInfo.php?workbook=07_01.xlsx&amp;sheet=A0&amp;row=233&amp;col=23&amp;number=&amp;sourceID=30","")</f>
        <v/>
      </c>
      <c r="X233" s="4" t="str">
        <f>HYPERLINK("http://141.218.60.56/~jnz1568/getInfo.php?workbook=07_01.xlsx&amp;sheet=A0&amp;row=233&amp;col=24&amp;number=2.338e-08&amp;sourceID=30","2.338e-08")</f>
        <v>2.338e-08</v>
      </c>
      <c r="Y233" s="4" t="str">
        <f>HYPERLINK("http://141.218.60.56/~jnz1568/getInfo.php?workbook=07_01.xlsx&amp;sheet=A0&amp;row=233&amp;col=25&amp;number=&amp;sourceID=13","")</f>
        <v/>
      </c>
      <c r="Z233" s="4" t="str">
        <f>HYPERLINK("http://141.218.60.56/~jnz1568/getInfo.php?workbook=07_01.xlsx&amp;sheet=A0&amp;row=233&amp;col=26&amp;number=&amp;sourceID=13","")</f>
        <v/>
      </c>
      <c r="AA233" s="4" t="str">
        <f>HYPERLINK("http://141.218.60.56/~jnz1568/getInfo.php?workbook=07_01.xlsx&amp;sheet=A0&amp;row=233&amp;col=27&amp;number=&amp;sourceID=13","")</f>
        <v/>
      </c>
      <c r="AB233" s="4" t="str">
        <f>HYPERLINK("http://141.218.60.56/~jnz1568/getInfo.php?workbook=07_01.xlsx&amp;sheet=A0&amp;row=233&amp;col=28&amp;number=&amp;sourceID=13","")</f>
        <v/>
      </c>
      <c r="AC233" s="4" t="str">
        <f>HYPERLINK("http://141.218.60.56/~jnz1568/getInfo.php?workbook=07_01.xlsx&amp;sheet=A0&amp;row=233&amp;col=29&amp;number=&amp;sourceID=13","")</f>
        <v/>
      </c>
      <c r="AD233" s="4" t="str">
        <f>HYPERLINK("http://141.218.60.56/~jnz1568/getInfo.php?workbook=07_01.xlsx&amp;sheet=A0&amp;row=233&amp;col=30&amp;number=&amp;sourceID=13","")</f>
        <v/>
      </c>
    </row>
    <row r="234" spans="1:30">
      <c r="A234" s="3">
        <v>7</v>
      </c>
      <c r="B234" s="3">
        <v>1</v>
      </c>
      <c r="C234" s="3">
        <v>23</v>
      </c>
      <c r="D234" s="3">
        <v>9</v>
      </c>
      <c r="E234" s="3">
        <f>((1/(INDEX(E0!J$4:J$28,C234,1)-INDEX(E0!J$4:J$28,D234,1))))*100000000</f>
        <v>0</v>
      </c>
      <c r="F234" s="4" t="str">
        <f>HYPERLINK("http://141.218.60.56/~jnz1568/getInfo.php?workbook=07_01.xlsx&amp;sheet=A0&amp;row=234&amp;col=6&amp;number==&amp;sourceID=11","=")</f>
        <v>=</v>
      </c>
      <c r="G234" s="4" t="str">
        <f>HYPERLINK("http://141.218.60.56/~jnz1568/getInfo.php?workbook=07_01.xlsx&amp;sheet=A0&amp;row=234&amp;col=7&amp;number=&amp;sourceID=11","")</f>
        <v/>
      </c>
      <c r="H234" s="4" t="str">
        <f>HYPERLINK("http://141.218.60.56/~jnz1568/getInfo.php?workbook=07_01.xlsx&amp;sheet=A0&amp;row=234&amp;col=8&amp;number=136640&amp;sourceID=11","136640")</f>
        <v>136640</v>
      </c>
      <c r="I234" s="4" t="str">
        <f>HYPERLINK("http://141.218.60.56/~jnz1568/getInfo.php?workbook=07_01.xlsx&amp;sheet=A0&amp;row=234&amp;col=9&amp;number=&amp;sourceID=11","")</f>
        <v/>
      </c>
      <c r="J234" s="4" t="str">
        <f>HYPERLINK("http://141.218.60.56/~jnz1568/getInfo.php?workbook=07_01.xlsx&amp;sheet=A0&amp;row=234&amp;col=10&amp;number=0.00039221&amp;sourceID=11","0.00039221")</f>
        <v>0.00039221</v>
      </c>
      <c r="K234" s="4" t="str">
        <f>HYPERLINK("http://141.218.60.56/~jnz1568/getInfo.php?workbook=07_01.xlsx&amp;sheet=A0&amp;row=234&amp;col=11&amp;number=&amp;sourceID=11","")</f>
        <v/>
      </c>
      <c r="L234" s="4" t="str">
        <f>HYPERLINK("http://141.218.60.56/~jnz1568/getInfo.php?workbook=07_01.xlsx&amp;sheet=A0&amp;row=234&amp;col=12&amp;number=9.3365e-06&amp;sourceID=11","9.3365e-06")</f>
        <v>9.3365e-06</v>
      </c>
      <c r="M234" s="4" t="str">
        <f>HYPERLINK("http://141.218.60.56/~jnz1568/getInfo.php?workbook=07_01.xlsx&amp;sheet=A0&amp;row=234&amp;col=13&amp;number=136640&amp;sourceID=12","136640")</f>
        <v>136640</v>
      </c>
      <c r="N234" s="4" t="str">
        <f>HYPERLINK("http://141.218.60.56/~jnz1568/getInfo.php?workbook=07_01.xlsx&amp;sheet=A0&amp;row=234&amp;col=14&amp;number=&amp;sourceID=12","")</f>
        <v/>
      </c>
      <c r="O234" s="4" t="str">
        <f>HYPERLINK("http://141.218.60.56/~jnz1568/getInfo.php?workbook=07_01.xlsx&amp;sheet=A0&amp;row=234&amp;col=15&amp;number=136640&amp;sourceID=12","136640")</f>
        <v>136640</v>
      </c>
      <c r="P234" s="4" t="str">
        <f>HYPERLINK("http://141.218.60.56/~jnz1568/getInfo.php?workbook=07_01.xlsx&amp;sheet=A0&amp;row=234&amp;col=16&amp;number=&amp;sourceID=12","")</f>
        <v/>
      </c>
      <c r="Q234" s="4" t="str">
        <f>HYPERLINK("http://141.218.60.56/~jnz1568/getInfo.php?workbook=07_01.xlsx&amp;sheet=A0&amp;row=234&amp;col=17&amp;number=0.00039213&amp;sourceID=12","0.00039213")</f>
        <v>0.00039213</v>
      </c>
      <c r="R234" s="4" t="str">
        <f>HYPERLINK("http://141.218.60.56/~jnz1568/getInfo.php?workbook=07_01.xlsx&amp;sheet=A0&amp;row=234&amp;col=18&amp;number=&amp;sourceID=12","")</f>
        <v/>
      </c>
      <c r="S234" s="4" t="str">
        <f>HYPERLINK("http://141.218.60.56/~jnz1568/getInfo.php?workbook=07_01.xlsx&amp;sheet=A0&amp;row=234&amp;col=19&amp;number=9.3368e-06&amp;sourceID=12","9.3368e-06")</f>
        <v>9.3368e-06</v>
      </c>
      <c r="T234" s="4" t="str">
        <f>HYPERLINK("http://141.218.60.56/~jnz1568/getInfo.php?workbook=07_01.xlsx&amp;sheet=A0&amp;row=234&amp;col=20&amp;number==SUM(U234:X234)&amp;sourceID=30","=SUM(U234:X234)")</f>
        <v>=SUM(U234:X234)</v>
      </c>
      <c r="U234" s="4" t="str">
        <f>HYPERLINK("http://141.218.60.56/~jnz1568/getInfo.php?workbook=07_01.xlsx&amp;sheet=A0&amp;row=234&amp;col=21&amp;number=&amp;sourceID=30","")</f>
        <v/>
      </c>
      <c r="V234" s="4" t="str">
        <f>HYPERLINK("http://141.218.60.56/~jnz1568/getInfo.php?workbook=07_01.xlsx&amp;sheet=A0&amp;row=234&amp;col=22&amp;number=136600&amp;sourceID=30","136600")</f>
        <v>136600</v>
      </c>
      <c r="W234" s="4" t="str">
        <f>HYPERLINK("http://141.218.60.56/~jnz1568/getInfo.php?workbook=07_01.xlsx&amp;sheet=A0&amp;row=234&amp;col=23&amp;number=0.0003919&amp;sourceID=30","0.0003919")</f>
        <v>0.0003919</v>
      </c>
      <c r="X234" s="4" t="str">
        <f>HYPERLINK("http://141.218.60.56/~jnz1568/getInfo.php?workbook=07_01.xlsx&amp;sheet=A0&amp;row=234&amp;col=24&amp;number=&amp;sourceID=30","")</f>
        <v/>
      </c>
      <c r="Y234" s="4" t="str">
        <f>HYPERLINK("http://141.218.60.56/~jnz1568/getInfo.php?workbook=07_01.xlsx&amp;sheet=A0&amp;row=234&amp;col=25&amp;number=&amp;sourceID=13","")</f>
        <v/>
      </c>
      <c r="Z234" s="4" t="str">
        <f>HYPERLINK("http://141.218.60.56/~jnz1568/getInfo.php?workbook=07_01.xlsx&amp;sheet=A0&amp;row=234&amp;col=26&amp;number=&amp;sourceID=13","")</f>
        <v/>
      </c>
      <c r="AA234" s="4" t="str">
        <f>HYPERLINK("http://141.218.60.56/~jnz1568/getInfo.php?workbook=07_01.xlsx&amp;sheet=A0&amp;row=234&amp;col=27&amp;number=&amp;sourceID=13","")</f>
        <v/>
      </c>
      <c r="AB234" s="4" t="str">
        <f>HYPERLINK("http://141.218.60.56/~jnz1568/getInfo.php?workbook=07_01.xlsx&amp;sheet=A0&amp;row=234&amp;col=28&amp;number=&amp;sourceID=13","")</f>
        <v/>
      </c>
      <c r="AC234" s="4" t="str">
        <f>HYPERLINK("http://141.218.60.56/~jnz1568/getInfo.php?workbook=07_01.xlsx&amp;sheet=A0&amp;row=234&amp;col=29&amp;number=&amp;sourceID=13","")</f>
        <v/>
      </c>
      <c r="AD234" s="4" t="str">
        <f>HYPERLINK("http://141.218.60.56/~jnz1568/getInfo.php?workbook=07_01.xlsx&amp;sheet=A0&amp;row=234&amp;col=30&amp;number=&amp;sourceID=13","")</f>
        <v/>
      </c>
    </row>
    <row r="235" spans="1:30">
      <c r="A235" s="3">
        <v>7</v>
      </c>
      <c r="B235" s="3">
        <v>1</v>
      </c>
      <c r="C235" s="3">
        <v>23</v>
      </c>
      <c r="D235" s="3">
        <v>10</v>
      </c>
      <c r="E235" s="3">
        <f>((1/(INDEX(E0!J$4:J$28,C235,1)-INDEX(E0!J$4:J$28,D235,1))))*100000000</f>
        <v>0</v>
      </c>
      <c r="F235" s="4" t="str">
        <f>HYPERLINK("http://141.218.60.56/~jnz1568/getInfo.php?workbook=07_01.xlsx&amp;sheet=A0&amp;row=235&amp;col=6&amp;number==&amp;sourceID=11","=")</f>
        <v>=</v>
      </c>
      <c r="G235" s="4" t="str">
        <f>HYPERLINK("http://141.218.60.56/~jnz1568/getInfo.php?workbook=07_01.xlsx&amp;sheet=A0&amp;row=235&amp;col=7&amp;number=&amp;sourceID=11","")</f>
        <v/>
      </c>
      <c r="H235" s="4" t="str">
        <f>HYPERLINK("http://141.218.60.56/~jnz1568/getInfo.php?workbook=07_01.xlsx&amp;sheet=A0&amp;row=235&amp;col=8&amp;number=&amp;sourceID=11","")</f>
        <v/>
      </c>
      <c r="I235" s="4" t="str">
        <f>HYPERLINK("http://141.218.60.56/~jnz1568/getInfo.php?workbook=07_01.xlsx&amp;sheet=A0&amp;row=235&amp;col=9&amp;number=0.56801&amp;sourceID=11","0.56801")</f>
        <v>0.56801</v>
      </c>
      <c r="J235" s="4" t="str">
        <f>HYPERLINK("http://141.218.60.56/~jnz1568/getInfo.php?workbook=07_01.xlsx&amp;sheet=A0&amp;row=235&amp;col=10&amp;number=&amp;sourceID=11","")</f>
        <v/>
      </c>
      <c r="K235" s="4" t="str">
        <f>HYPERLINK("http://141.218.60.56/~jnz1568/getInfo.php?workbook=07_01.xlsx&amp;sheet=A0&amp;row=235&amp;col=11&amp;number=&amp;sourceID=11","")</f>
        <v/>
      </c>
      <c r="L235" s="4" t="str">
        <f>HYPERLINK("http://141.218.60.56/~jnz1568/getInfo.php?workbook=07_01.xlsx&amp;sheet=A0&amp;row=235&amp;col=12&amp;number=&amp;sourceID=11","")</f>
        <v/>
      </c>
      <c r="M235" s="4" t="str">
        <f>HYPERLINK("http://141.218.60.56/~jnz1568/getInfo.php?workbook=07_01.xlsx&amp;sheet=A0&amp;row=235&amp;col=13&amp;number=0.56803&amp;sourceID=12","0.56803")</f>
        <v>0.56803</v>
      </c>
      <c r="N235" s="4" t="str">
        <f>HYPERLINK("http://141.218.60.56/~jnz1568/getInfo.php?workbook=07_01.xlsx&amp;sheet=A0&amp;row=235&amp;col=14&amp;number=&amp;sourceID=12","")</f>
        <v/>
      </c>
      <c r="O235" s="4" t="str">
        <f>HYPERLINK("http://141.218.60.56/~jnz1568/getInfo.php?workbook=07_01.xlsx&amp;sheet=A0&amp;row=235&amp;col=15&amp;number=&amp;sourceID=12","")</f>
        <v/>
      </c>
      <c r="P235" s="4" t="str">
        <f>HYPERLINK("http://141.218.60.56/~jnz1568/getInfo.php?workbook=07_01.xlsx&amp;sheet=A0&amp;row=235&amp;col=16&amp;number=0.56803&amp;sourceID=12","0.56803")</f>
        <v>0.56803</v>
      </c>
      <c r="Q235" s="4" t="str">
        <f>HYPERLINK("http://141.218.60.56/~jnz1568/getInfo.php?workbook=07_01.xlsx&amp;sheet=A0&amp;row=235&amp;col=17&amp;number=&amp;sourceID=12","")</f>
        <v/>
      </c>
      <c r="R235" s="4" t="str">
        <f>HYPERLINK("http://141.218.60.56/~jnz1568/getInfo.php?workbook=07_01.xlsx&amp;sheet=A0&amp;row=235&amp;col=18&amp;number=&amp;sourceID=12","")</f>
        <v/>
      </c>
      <c r="S235" s="4" t="str">
        <f>HYPERLINK("http://141.218.60.56/~jnz1568/getInfo.php?workbook=07_01.xlsx&amp;sheet=A0&amp;row=235&amp;col=19&amp;number=&amp;sourceID=12","")</f>
        <v/>
      </c>
      <c r="T235" s="4" t="str">
        <f>HYPERLINK("http://141.218.60.56/~jnz1568/getInfo.php?workbook=07_01.xlsx&amp;sheet=A0&amp;row=235&amp;col=20&amp;number=&amp;sourceID=30","")</f>
        <v/>
      </c>
      <c r="U235" s="4" t="str">
        <f>HYPERLINK("http://141.218.60.56/~jnz1568/getInfo.php?workbook=07_01.xlsx&amp;sheet=A0&amp;row=235&amp;col=21&amp;number=&amp;sourceID=30","")</f>
        <v/>
      </c>
      <c r="V235" s="4" t="str">
        <f>HYPERLINK("http://141.218.60.56/~jnz1568/getInfo.php?workbook=07_01.xlsx&amp;sheet=A0&amp;row=235&amp;col=22&amp;number=&amp;sourceID=30","")</f>
        <v/>
      </c>
      <c r="W235" s="4" t="str">
        <f>HYPERLINK("http://141.218.60.56/~jnz1568/getInfo.php?workbook=07_01.xlsx&amp;sheet=A0&amp;row=235&amp;col=23&amp;number=&amp;sourceID=30","")</f>
        <v/>
      </c>
      <c r="X235" s="4" t="str">
        <f>HYPERLINK("http://141.218.60.56/~jnz1568/getInfo.php?workbook=07_01.xlsx&amp;sheet=A0&amp;row=235&amp;col=24&amp;number=&amp;sourceID=30","")</f>
        <v/>
      </c>
      <c r="Y235" s="4" t="str">
        <f>HYPERLINK("http://141.218.60.56/~jnz1568/getInfo.php?workbook=07_01.xlsx&amp;sheet=A0&amp;row=235&amp;col=25&amp;number=&amp;sourceID=13","")</f>
        <v/>
      </c>
      <c r="Z235" s="4" t="str">
        <f>HYPERLINK("http://141.218.60.56/~jnz1568/getInfo.php?workbook=07_01.xlsx&amp;sheet=A0&amp;row=235&amp;col=26&amp;number=&amp;sourceID=13","")</f>
        <v/>
      </c>
      <c r="AA235" s="4" t="str">
        <f>HYPERLINK("http://141.218.60.56/~jnz1568/getInfo.php?workbook=07_01.xlsx&amp;sheet=A0&amp;row=235&amp;col=27&amp;number=&amp;sourceID=13","")</f>
        <v/>
      </c>
      <c r="AB235" s="4" t="str">
        <f>HYPERLINK("http://141.218.60.56/~jnz1568/getInfo.php?workbook=07_01.xlsx&amp;sheet=A0&amp;row=235&amp;col=28&amp;number=&amp;sourceID=13","")</f>
        <v/>
      </c>
      <c r="AC235" s="4" t="str">
        <f>HYPERLINK("http://141.218.60.56/~jnz1568/getInfo.php?workbook=07_01.xlsx&amp;sheet=A0&amp;row=235&amp;col=29&amp;number=&amp;sourceID=13","")</f>
        <v/>
      </c>
      <c r="AD235" s="4" t="str">
        <f>HYPERLINK("http://141.218.60.56/~jnz1568/getInfo.php?workbook=07_01.xlsx&amp;sheet=A0&amp;row=235&amp;col=30&amp;number=&amp;sourceID=13","")</f>
        <v/>
      </c>
    </row>
    <row r="236" spans="1:30">
      <c r="A236" s="3">
        <v>7</v>
      </c>
      <c r="B236" s="3">
        <v>1</v>
      </c>
      <c r="C236" s="3">
        <v>23</v>
      </c>
      <c r="D236" s="3">
        <v>11</v>
      </c>
      <c r="E236" s="3">
        <f>((1/(INDEX(E0!J$4:J$28,C236,1)-INDEX(E0!J$4:J$28,D236,1))))*100000000</f>
        <v>0</v>
      </c>
      <c r="F236" s="4" t="str">
        <f>HYPERLINK("http://141.218.60.56/~jnz1568/getInfo.php?workbook=07_01.xlsx&amp;sheet=A0&amp;row=236&amp;col=6&amp;number==&amp;sourceID=11","=")</f>
        <v>=</v>
      </c>
      <c r="G236" s="4" t="str">
        <f>HYPERLINK("http://141.218.60.56/~jnz1568/getInfo.php?workbook=07_01.xlsx&amp;sheet=A0&amp;row=236&amp;col=7&amp;number=&amp;sourceID=11","")</f>
        <v/>
      </c>
      <c r="H236" s="4" t="str">
        <f>HYPERLINK("http://141.218.60.56/~jnz1568/getInfo.php?workbook=07_01.xlsx&amp;sheet=A0&amp;row=236&amp;col=8&amp;number=&amp;sourceID=11","")</f>
        <v/>
      </c>
      <c r="I236" s="4" t="str">
        <f>HYPERLINK("http://141.218.60.56/~jnz1568/getInfo.php?workbook=07_01.xlsx&amp;sheet=A0&amp;row=236&amp;col=9&amp;number=&amp;sourceID=11","")</f>
        <v/>
      </c>
      <c r="J236" s="4" t="str">
        <f>HYPERLINK("http://141.218.60.56/~jnz1568/getInfo.php?workbook=07_01.xlsx&amp;sheet=A0&amp;row=236&amp;col=10&amp;number=&amp;sourceID=11","")</f>
        <v/>
      </c>
      <c r="K236" s="4" t="str">
        <f>HYPERLINK("http://141.218.60.56/~jnz1568/getInfo.php?workbook=07_01.xlsx&amp;sheet=A0&amp;row=236&amp;col=11&amp;number=&amp;sourceID=11","")</f>
        <v/>
      </c>
      <c r="L236" s="4" t="str">
        <f>HYPERLINK("http://141.218.60.56/~jnz1568/getInfo.php?workbook=07_01.xlsx&amp;sheet=A0&amp;row=236&amp;col=12&amp;number=1e-15&amp;sourceID=11","1e-15")</f>
        <v>1e-15</v>
      </c>
      <c r="M236" s="4" t="str">
        <f>HYPERLINK("http://141.218.60.56/~jnz1568/getInfo.php?workbook=07_01.xlsx&amp;sheet=A0&amp;row=236&amp;col=13&amp;number=1e-15&amp;sourceID=12","1e-15")</f>
        <v>1e-15</v>
      </c>
      <c r="N236" s="4" t="str">
        <f>HYPERLINK("http://141.218.60.56/~jnz1568/getInfo.php?workbook=07_01.xlsx&amp;sheet=A0&amp;row=236&amp;col=14&amp;number=&amp;sourceID=12","")</f>
        <v/>
      </c>
      <c r="O236" s="4" t="str">
        <f>HYPERLINK("http://141.218.60.56/~jnz1568/getInfo.php?workbook=07_01.xlsx&amp;sheet=A0&amp;row=236&amp;col=15&amp;number=&amp;sourceID=12","")</f>
        <v/>
      </c>
      <c r="P236" s="4" t="str">
        <f>HYPERLINK("http://141.218.60.56/~jnz1568/getInfo.php?workbook=07_01.xlsx&amp;sheet=A0&amp;row=236&amp;col=16&amp;number=&amp;sourceID=12","")</f>
        <v/>
      </c>
      <c r="Q236" s="4" t="str">
        <f>HYPERLINK("http://141.218.60.56/~jnz1568/getInfo.php?workbook=07_01.xlsx&amp;sheet=A0&amp;row=236&amp;col=17&amp;number=&amp;sourceID=12","")</f>
        <v/>
      </c>
      <c r="R236" s="4" t="str">
        <f>HYPERLINK("http://141.218.60.56/~jnz1568/getInfo.php?workbook=07_01.xlsx&amp;sheet=A0&amp;row=236&amp;col=18&amp;number=&amp;sourceID=12","")</f>
        <v/>
      </c>
      <c r="S236" s="4" t="str">
        <f>HYPERLINK("http://141.218.60.56/~jnz1568/getInfo.php?workbook=07_01.xlsx&amp;sheet=A0&amp;row=236&amp;col=19&amp;number=1e-15&amp;sourceID=12","1e-15")</f>
        <v>1e-15</v>
      </c>
      <c r="T236" s="4" t="str">
        <f>HYPERLINK("http://141.218.60.56/~jnz1568/getInfo.php?workbook=07_01.xlsx&amp;sheet=A0&amp;row=236&amp;col=20&amp;number=&amp;sourceID=30","")</f>
        <v/>
      </c>
      <c r="U236" s="4" t="str">
        <f>HYPERLINK("http://141.218.60.56/~jnz1568/getInfo.php?workbook=07_01.xlsx&amp;sheet=A0&amp;row=236&amp;col=21&amp;number=&amp;sourceID=30","")</f>
        <v/>
      </c>
      <c r="V236" s="4" t="str">
        <f>HYPERLINK("http://141.218.60.56/~jnz1568/getInfo.php?workbook=07_01.xlsx&amp;sheet=A0&amp;row=236&amp;col=22&amp;number=&amp;sourceID=30","")</f>
        <v/>
      </c>
      <c r="W236" s="4" t="str">
        <f>HYPERLINK("http://141.218.60.56/~jnz1568/getInfo.php?workbook=07_01.xlsx&amp;sheet=A0&amp;row=236&amp;col=23&amp;number=&amp;sourceID=30","")</f>
        <v/>
      </c>
      <c r="X236" s="4" t="str">
        <f>HYPERLINK("http://141.218.60.56/~jnz1568/getInfo.php?workbook=07_01.xlsx&amp;sheet=A0&amp;row=236&amp;col=24&amp;number=&amp;sourceID=30","")</f>
        <v/>
      </c>
      <c r="Y236" s="4" t="str">
        <f>HYPERLINK("http://141.218.60.56/~jnz1568/getInfo.php?workbook=07_01.xlsx&amp;sheet=A0&amp;row=236&amp;col=25&amp;number=&amp;sourceID=13","")</f>
        <v/>
      </c>
      <c r="Z236" s="4" t="str">
        <f>HYPERLINK("http://141.218.60.56/~jnz1568/getInfo.php?workbook=07_01.xlsx&amp;sheet=A0&amp;row=236&amp;col=26&amp;number=&amp;sourceID=13","")</f>
        <v/>
      </c>
      <c r="AA236" s="4" t="str">
        <f>HYPERLINK("http://141.218.60.56/~jnz1568/getInfo.php?workbook=07_01.xlsx&amp;sheet=A0&amp;row=236&amp;col=27&amp;number=&amp;sourceID=13","")</f>
        <v/>
      </c>
      <c r="AB236" s="4" t="str">
        <f>HYPERLINK("http://141.218.60.56/~jnz1568/getInfo.php?workbook=07_01.xlsx&amp;sheet=A0&amp;row=236&amp;col=28&amp;number=&amp;sourceID=13","")</f>
        <v/>
      </c>
      <c r="AC236" s="4" t="str">
        <f>HYPERLINK("http://141.218.60.56/~jnz1568/getInfo.php?workbook=07_01.xlsx&amp;sheet=A0&amp;row=236&amp;col=29&amp;number=&amp;sourceID=13","")</f>
        <v/>
      </c>
      <c r="AD236" s="4" t="str">
        <f>HYPERLINK("http://141.218.60.56/~jnz1568/getInfo.php?workbook=07_01.xlsx&amp;sheet=A0&amp;row=236&amp;col=30&amp;number=&amp;sourceID=13","")</f>
        <v/>
      </c>
    </row>
    <row r="237" spans="1:30">
      <c r="A237" s="3">
        <v>7</v>
      </c>
      <c r="B237" s="3">
        <v>1</v>
      </c>
      <c r="C237" s="3">
        <v>23</v>
      </c>
      <c r="D237" s="3">
        <v>12</v>
      </c>
      <c r="E237" s="3">
        <f>((1/(INDEX(E0!J$4:J$28,C237,1)-INDEX(E0!J$4:J$28,D237,1))))*100000000</f>
        <v>0</v>
      </c>
      <c r="F237" s="4" t="str">
        <f>HYPERLINK("http://141.218.60.56/~jnz1568/getInfo.php?workbook=07_01.xlsx&amp;sheet=A0&amp;row=237&amp;col=6&amp;number==&amp;sourceID=11","=")</f>
        <v>=</v>
      </c>
      <c r="G237" s="4" t="str">
        <f>HYPERLINK("http://141.218.60.56/~jnz1568/getInfo.php?workbook=07_01.xlsx&amp;sheet=A0&amp;row=237&amp;col=7&amp;number=&amp;sourceID=11","")</f>
        <v/>
      </c>
      <c r="H237" s="4" t="str">
        <f>HYPERLINK("http://141.218.60.56/~jnz1568/getInfo.php?workbook=07_01.xlsx&amp;sheet=A0&amp;row=237&amp;col=8&amp;number=105990&amp;sourceID=11","105990")</f>
        <v>105990</v>
      </c>
      <c r="I237" s="4" t="str">
        <f>HYPERLINK("http://141.218.60.56/~jnz1568/getInfo.php?workbook=07_01.xlsx&amp;sheet=A0&amp;row=237&amp;col=9&amp;number=&amp;sourceID=11","")</f>
        <v/>
      </c>
      <c r="J237" s="4" t="str">
        <f>HYPERLINK("http://141.218.60.56/~jnz1568/getInfo.php?workbook=07_01.xlsx&amp;sheet=A0&amp;row=237&amp;col=10&amp;number=&amp;sourceID=11","")</f>
        <v/>
      </c>
      <c r="K237" s="4" t="str">
        <f>HYPERLINK("http://141.218.60.56/~jnz1568/getInfo.php?workbook=07_01.xlsx&amp;sheet=A0&amp;row=237&amp;col=11&amp;number=&amp;sourceID=11","")</f>
        <v/>
      </c>
      <c r="L237" s="4" t="str">
        <f>HYPERLINK("http://141.218.60.56/~jnz1568/getInfo.php?workbook=07_01.xlsx&amp;sheet=A0&amp;row=237&amp;col=12&amp;number=2.1765e-06&amp;sourceID=11","2.1765e-06")</f>
        <v>2.1765e-06</v>
      </c>
      <c r="M237" s="4" t="str">
        <f>HYPERLINK("http://141.218.60.56/~jnz1568/getInfo.php?workbook=07_01.xlsx&amp;sheet=A0&amp;row=237&amp;col=13&amp;number=105990&amp;sourceID=12","105990")</f>
        <v>105990</v>
      </c>
      <c r="N237" s="4" t="str">
        <f>HYPERLINK("http://141.218.60.56/~jnz1568/getInfo.php?workbook=07_01.xlsx&amp;sheet=A0&amp;row=237&amp;col=14&amp;number=&amp;sourceID=12","")</f>
        <v/>
      </c>
      <c r="O237" s="4" t="str">
        <f>HYPERLINK("http://141.218.60.56/~jnz1568/getInfo.php?workbook=07_01.xlsx&amp;sheet=A0&amp;row=237&amp;col=15&amp;number=105990&amp;sourceID=12","105990")</f>
        <v>105990</v>
      </c>
      <c r="P237" s="4" t="str">
        <f>HYPERLINK("http://141.218.60.56/~jnz1568/getInfo.php?workbook=07_01.xlsx&amp;sheet=A0&amp;row=237&amp;col=16&amp;number=&amp;sourceID=12","")</f>
        <v/>
      </c>
      <c r="Q237" s="4" t="str">
        <f>HYPERLINK("http://141.218.60.56/~jnz1568/getInfo.php?workbook=07_01.xlsx&amp;sheet=A0&amp;row=237&amp;col=17&amp;number=&amp;sourceID=12","")</f>
        <v/>
      </c>
      <c r="R237" s="4" t="str">
        <f>HYPERLINK("http://141.218.60.56/~jnz1568/getInfo.php?workbook=07_01.xlsx&amp;sheet=A0&amp;row=237&amp;col=18&amp;number=&amp;sourceID=12","")</f>
        <v/>
      </c>
      <c r="S237" s="4" t="str">
        <f>HYPERLINK("http://141.218.60.56/~jnz1568/getInfo.php?workbook=07_01.xlsx&amp;sheet=A0&amp;row=237&amp;col=19&amp;number=2.1766e-06&amp;sourceID=12","2.1766e-06")</f>
        <v>2.1766e-06</v>
      </c>
      <c r="T237" s="4" t="str">
        <f>HYPERLINK("http://141.218.60.56/~jnz1568/getInfo.php?workbook=07_01.xlsx&amp;sheet=A0&amp;row=237&amp;col=20&amp;number==SUM(U237:X237)&amp;sourceID=30","=SUM(U237:X237)")</f>
        <v>=SUM(U237:X237)</v>
      </c>
      <c r="U237" s="4" t="str">
        <f>HYPERLINK("http://141.218.60.56/~jnz1568/getInfo.php?workbook=07_01.xlsx&amp;sheet=A0&amp;row=237&amp;col=21&amp;number=&amp;sourceID=30","")</f>
        <v/>
      </c>
      <c r="V237" s="4" t="str">
        <f>HYPERLINK("http://141.218.60.56/~jnz1568/getInfo.php?workbook=07_01.xlsx&amp;sheet=A0&amp;row=237&amp;col=22&amp;number=106000&amp;sourceID=30","106000")</f>
        <v>106000</v>
      </c>
      <c r="W237" s="4" t="str">
        <f>HYPERLINK("http://141.218.60.56/~jnz1568/getInfo.php?workbook=07_01.xlsx&amp;sheet=A0&amp;row=237&amp;col=23&amp;number=&amp;sourceID=30","")</f>
        <v/>
      </c>
      <c r="X237" s="4" t="str">
        <f>HYPERLINK("http://141.218.60.56/~jnz1568/getInfo.php?workbook=07_01.xlsx&amp;sheet=A0&amp;row=237&amp;col=24&amp;number=&amp;sourceID=30","")</f>
        <v/>
      </c>
      <c r="Y237" s="4" t="str">
        <f>HYPERLINK("http://141.218.60.56/~jnz1568/getInfo.php?workbook=07_01.xlsx&amp;sheet=A0&amp;row=237&amp;col=25&amp;number=&amp;sourceID=13","")</f>
        <v/>
      </c>
      <c r="Z237" s="4" t="str">
        <f>HYPERLINK("http://141.218.60.56/~jnz1568/getInfo.php?workbook=07_01.xlsx&amp;sheet=A0&amp;row=237&amp;col=26&amp;number=&amp;sourceID=13","")</f>
        <v/>
      </c>
      <c r="AA237" s="4" t="str">
        <f>HYPERLINK("http://141.218.60.56/~jnz1568/getInfo.php?workbook=07_01.xlsx&amp;sheet=A0&amp;row=237&amp;col=27&amp;number=&amp;sourceID=13","")</f>
        <v/>
      </c>
      <c r="AB237" s="4" t="str">
        <f>HYPERLINK("http://141.218.60.56/~jnz1568/getInfo.php?workbook=07_01.xlsx&amp;sheet=A0&amp;row=237&amp;col=28&amp;number=&amp;sourceID=13","")</f>
        <v/>
      </c>
      <c r="AC237" s="4" t="str">
        <f>HYPERLINK("http://141.218.60.56/~jnz1568/getInfo.php?workbook=07_01.xlsx&amp;sheet=A0&amp;row=237&amp;col=29&amp;number=&amp;sourceID=13","")</f>
        <v/>
      </c>
      <c r="AD237" s="4" t="str">
        <f>HYPERLINK("http://141.218.60.56/~jnz1568/getInfo.php?workbook=07_01.xlsx&amp;sheet=A0&amp;row=237&amp;col=30&amp;number=&amp;sourceID=13","")</f>
        <v/>
      </c>
    </row>
    <row r="238" spans="1:30">
      <c r="A238" s="3">
        <v>7</v>
      </c>
      <c r="B238" s="3">
        <v>1</v>
      </c>
      <c r="C238" s="3">
        <v>23</v>
      </c>
      <c r="D238" s="3">
        <v>13</v>
      </c>
      <c r="E238" s="3">
        <f>((1/(INDEX(E0!J$4:J$28,C238,1)-INDEX(E0!J$4:J$28,D238,1))))*100000000</f>
        <v>0</v>
      </c>
      <c r="F238" s="4" t="str">
        <f>HYPERLINK("http://141.218.60.56/~jnz1568/getInfo.php?workbook=07_01.xlsx&amp;sheet=A0&amp;row=238&amp;col=6&amp;number==&amp;sourceID=11","=")</f>
        <v>=</v>
      </c>
      <c r="G238" s="4" t="str">
        <f>HYPERLINK("http://141.218.60.56/~jnz1568/getInfo.php?workbook=07_01.xlsx&amp;sheet=A0&amp;row=238&amp;col=7&amp;number=&amp;sourceID=11","")</f>
        <v/>
      </c>
      <c r="H238" s="4" t="str">
        <f>HYPERLINK("http://141.218.60.56/~jnz1568/getInfo.php?workbook=07_01.xlsx&amp;sheet=A0&amp;row=238&amp;col=8&amp;number=&amp;sourceID=11","")</f>
        <v/>
      </c>
      <c r="I238" s="4" t="str">
        <f>HYPERLINK("http://141.218.60.56/~jnz1568/getInfo.php?workbook=07_01.xlsx&amp;sheet=A0&amp;row=238&amp;col=9&amp;number=0.18839&amp;sourceID=11","0.18839")</f>
        <v>0.18839</v>
      </c>
      <c r="J238" s="4" t="str">
        <f>HYPERLINK("http://141.218.60.56/~jnz1568/getInfo.php?workbook=07_01.xlsx&amp;sheet=A0&amp;row=238&amp;col=10&amp;number=&amp;sourceID=11","")</f>
        <v/>
      </c>
      <c r="K238" s="4" t="str">
        <f>HYPERLINK("http://141.218.60.56/~jnz1568/getInfo.php?workbook=07_01.xlsx&amp;sheet=A0&amp;row=238&amp;col=11&amp;number=1.3623e-10&amp;sourceID=11","1.3623e-10")</f>
        <v>1.3623e-10</v>
      </c>
      <c r="L238" s="4" t="str">
        <f>HYPERLINK("http://141.218.60.56/~jnz1568/getInfo.php?workbook=07_01.xlsx&amp;sheet=A0&amp;row=238&amp;col=12&amp;number=&amp;sourceID=11","")</f>
        <v/>
      </c>
      <c r="M238" s="4" t="str">
        <f>HYPERLINK("http://141.218.60.56/~jnz1568/getInfo.php?workbook=07_01.xlsx&amp;sheet=A0&amp;row=238&amp;col=13&amp;number=0.1884&amp;sourceID=12","0.1884")</f>
        <v>0.1884</v>
      </c>
      <c r="N238" s="4" t="str">
        <f>HYPERLINK("http://141.218.60.56/~jnz1568/getInfo.php?workbook=07_01.xlsx&amp;sheet=A0&amp;row=238&amp;col=14&amp;number=&amp;sourceID=12","")</f>
        <v/>
      </c>
      <c r="O238" s="4" t="str">
        <f>HYPERLINK("http://141.218.60.56/~jnz1568/getInfo.php?workbook=07_01.xlsx&amp;sheet=A0&amp;row=238&amp;col=15&amp;number=&amp;sourceID=12","")</f>
        <v/>
      </c>
      <c r="P238" s="4" t="str">
        <f>HYPERLINK("http://141.218.60.56/~jnz1568/getInfo.php?workbook=07_01.xlsx&amp;sheet=A0&amp;row=238&amp;col=16&amp;number=0.1884&amp;sourceID=12","0.1884")</f>
        <v>0.1884</v>
      </c>
      <c r="Q238" s="4" t="str">
        <f>HYPERLINK("http://141.218.60.56/~jnz1568/getInfo.php?workbook=07_01.xlsx&amp;sheet=A0&amp;row=238&amp;col=17&amp;number=&amp;sourceID=12","")</f>
        <v/>
      </c>
      <c r="R238" s="4" t="str">
        <f>HYPERLINK("http://141.218.60.56/~jnz1568/getInfo.php?workbook=07_01.xlsx&amp;sheet=A0&amp;row=238&amp;col=18&amp;number=1.3622e-10&amp;sourceID=12","1.3622e-10")</f>
        <v>1.3622e-10</v>
      </c>
      <c r="S238" s="4" t="str">
        <f>HYPERLINK("http://141.218.60.56/~jnz1568/getInfo.php?workbook=07_01.xlsx&amp;sheet=A0&amp;row=238&amp;col=19&amp;number=&amp;sourceID=12","")</f>
        <v/>
      </c>
      <c r="T238" s="4" t="str">
        <f>HYPERLINK("http://141.218.60.56/~jnz1568/getInfo.php?workbook=07_01.xlsx&amp;sheet=A0&amp;row=238&amp;col=20&amp;number==SUM(U238:X238)&amp;sourceID=30","=SUM(U238:X238)")</f>
        <v>=SUM(U238:X238)</v>
      </c>
      <c r="U238" s="4" t="str">
        <f>HYPERLINK("http://141.218.60.56/~jnz1568/getInfo.php?workbook=07_01.xlsx&amp;sheet=A0&amp;row=238&amp;col=21&amp;number=&amp;sourceID=30","")</f>
        <v/>
      </c>
      <c r="V238" s="4" t="str">
        <f>HYPERLINK("http://141.218.60.56/~jnz1568/getInfo.php?workbook=07_01.xlsx&amp;sheet=A0&amp;row=238&amp;col=22&amp;number=&amp;sourceID=30","")</f>
        <v/>
      </c>
      <c r="W238" s="4" t="str">
        <f>HYPERLINK("http://141.218.60.56/~jnz1568/getInfo.php?workbook=07_01.xlsx&amp;sheet=A0&amp;row=238&amp;col=23&amp;number=&amp;sourceID=30","")</f>
        <v/>
      </c>
      <c r="X238" s="4" t="str">
        <f>HYPERLINK("http://141.218.60.56/~jnz1568/getInfo.php?workbook=07_01.xlsx&amp;sheet=A0&amp;row=238&amp;col=24&amp;number=1.366e-10&amp;sourceID=30","1.366e-10")</f>
        <v>1.366e-10</v>
      </c>
      <c r="Y238" s="4" t="str">
        <f>HYPERLINK("http://141.218.60.56/~jnz1568/getInfo.php?workbook=07_01.xlsx&amp;sheet=A0&amp;row=238&amp;col=25&amp;number=&amp;sourceID=13","")</f>
        <v/>
      </c>
      <c r="Z238" s="4" t="str">
        <f>HYPERLINK("http://141.218.60.56/~jnz1568/getInfo.php?workbook=07_01.xlsx&amp;sheet=A0&amp;row=238&amp;col=26&amp;number=&amp;sourceID=13","")</f>
        <v/>
      </c>
      <c r="AA238" s="4" t="str">
        <f>HYPERLINK("http://141.218.60.56/~jnz1568/getInfo.php?workbook=07_01.xlsx&amp;sheet=A0&amp;row=238&amp;col=27&amp;number=&amp;sourceID=13","")</f>
        <v/>
      </c>
      <c r="AB238" s="4" t="str">
        <f>HYPERLINK("http://141.218.60.56/~jnz1568/getInfo.php?workbook=07_01.xlsx&amp;sheet=A0&amp;row=238&amp;col=28&amp;number=&amp;sourceID=13","")</f>
        <v/>
      </c>
      <c r="AC238" s="4" t="str">
        <f>HYPERLINK("http://141.218.60.56/~jnz1568/getInfo.php?workbook=07_01.xlsx&amp;sheet=A0&amp;row=238&amp;col=29&amp;number=&amp;sourceID=13","")</f>
        <v/>
      </c>
      <c r="AD238" s="4" t="str">
        <f>HYPERLINK("http://141.218.60.56/~jnz1568/getInfo.php?workbook=07_01.xlsx&amp;sheet=A0&amp;row=238&amp;col=30&amp;number=&amp;sourceID=13","")</f>
        <v/>
      </c>
    </row>
    <row r="239" spans="1:30">
      <c r="A239" s="3">
        <v>7</v>
      </c>
      <c r="B239" s="3">
        <v>1</v>
      </c>
      <c r="C239" s="3">
        <v>23</v>
      </c>
      <c r="D239" s="3">
        <v>14</v>
      </c>
      <c r="E239" s="3">
        <f>((1/(INDEX(E0!J$4:J$28,C239,1)-INDEX(E0!J$4:J$28,D239,1))))*100000000</f>
        <v>0</v>
      </c>
      <c r="F239" s="4" t="str">
        <f>HYPERLINK("http://141.218.60.56/~jnz1568/getInfo.php?workbook=07_01.xlsx&amp;sheet=A0&amp;row=239&amp;col=6&amp;number==&amp;sourceID=11","=")</f>
        <v>=</v>
      </c>
      <c r="G239" s="4" t="str">
        <f>HYPERLINK("http://141.218.60.56/~jnz1568/getInfo.php?workbook=07_01.xlsx&amp;sheet=A0&amp;row=239&amp;col=7&amp;number=9855800000&amp;sourceID=11","9855800000")</f>
        <v>9855800000</v>
      </c>
      <c r="H239" s="4" t="str">
        <f>HYPERLINK("http://141.218.60.56/~jnz1568/getInfo.php?workbook=07_01.xlsx&amp;sheet=A0&amp;row=239&amp;col=8&amp;number=&amp;sourceID=11","")</f>
        <v/>
      </c>
      <c r="I239" s="4" t="str">
        <f>HYPERLINK("http://141.218.60.56/~jnz1568/getInfo.php?workbook=07_01.xlsx&amp;sheet=A0&amp;row=239&amp;col=9&amp;number=0.19338&amp;sourceID=11","0.19338")</f>
        <v>0.19338</v>
      </c>
      <c r="J239" s="4" t="str">
        <f>HYPERLINK("http://141.218.60.56/~jnz1568/getInfo.php?workbook=07_01.xlsx&amp;sheet=A0&amp;row=239&amp;col=10&amp;number=&amp;sourceID=11","")</f>
        <v/>
      </c>
      <c r="K239" s="4" t="str">
        <f>HYPERLINK("http://141.218.60.56/~jnz1568/getInfo.php?workbook=07_01.xlsx&amp;sheet=A0&amp;row=239&amp;col=11&amp;number=0.96354&amp;sourceID=11","0.96354")</f>
        <v>0.96354</v>
      </c>
      <c r="L239" s="4" t="str">
        <f>HYPERLINK("http://141.218.60.56/~jnz1568/getInfo.php?workbook=07_01.xlsx&amp;sheet=A0&amp;row=239&amp;col=12&amp;number=&amp;sourceID=11","")</f>
        <v/>
      </c>
      <c r="M239" s="4" t="str">
        <f>HYPERLINK("http://141.218.60.56/~jnz1568/getInfo.php?workbook=07_01.xlsx&amp;sheet=A0&amp;row=239&amp;col=13&amp;number=9856200000&amp;sourceID=12","9856200000")</f>
        <v>9856200000</v>
      </c>
      <c r="N239" s="4" t="str">
        <f>HYPERLINK("http://141.218.60.56/~jnz1568/getInfo.php?workbook=07_01.xlsx&amp;sheet=A0&amp;row=239&amp;col=14&amp;number=9856200000&amp;sourceID=12","9856200000")</f>
        <v>9856200000</v>
      </c>
      <c r="O239" s="4" t="str">
        <f>HYPERLINK("http://141.218.60.56/~jnz1568/getInfo.php?workbook=07_01.xlsx&amp;sheet=A0&amp;row=239&amp;col=15&amp;number=&amp;sourceID=12","")</f>
        <v/>
      </c>
      <c r="P239" s="4" t="str">
        <f>HYPERLINK("http://141.218.60.56/~jnz1568/getInfo.php?workbook=07_01.xlsx&amp;sheet=A0&amp;row=239&amp;col=16&amp;number=0.19338&amp;sourceID=12","0.19338")</f>
        <v>0.19338</v>
      </c>
      <c r="Q239" s="4" t="str">
        <f>HYPERLINK("http://141.218.60.56/~jnz1568/getInfo.php?workbook=07_01.xlsx&amp;sheet=A0&amp;row=239&amp;col=17&amp;number=&amp;sourceID=12","")</f>
        <v/>
      </c>
      <c r="R239" s="4" t="str">
        <f>HYPERLINK("http://141.218.60.56/~jnz1568/getInfo.php?workbook=07_01.xlsx&amp;sheet=A0&amp;row=239&amp;col=18&amp;number=0.96358&amp;sourceID=12","0.96358")</f>
        <v>0.96358</v>
      </c>
      <c r="S239" s="4" t="str">
        <f>HYPERLINK("http://141.218.60.56/~jnz1568/getInfo.php?workbook=07_01.xlsx&amp;sheet=A0&amp;row=239&amp;col=19&amp;number=&amp;sourceID=12","")</f>
        <v/>
      </c>
      <c r="T239" s="4" t="str">
        <f>HYPERLINK("http://141.218.60.56/~jnz1568/getInfo.php?workbook=07_01.xlsx&amp;sheet=A0&amp;row=239&amp;col=20&amp;number==SUM(U239:X239)&amp;sourceID=30","=SUM(U239:X239)")</f>
        <v>=SUM(U239:X239)</v>
      </c>
      <c r="U239" s="4" t="str">
        <f>HYPERLINK("http://141.218.60.56/~jnz1568/getInfo.php?workbook=07_01.xlsx&amp;sheet=A0&amp;row=239&amp;col=21&amp;number=9856000000&amp;sourceID=30","9856000000")</f>
        <v>9856000000</v>
      </c>
      <c r="V239" s="4" t="str">
        <f>HYPERLINK("http://141.218.60.56/~jnz1568/getInfo.php?workbook=07_01.xlsx&amp;sheet=A0&amp;row=239&amp;col=22&amp;number=&amp;sourceID=30","")</f>
        <v/>
      </c>
      <c r="W239" s="4" t="str">
        <f>HYPERLINK("http://141.218.60.56/~jnz1568/getInfo.php?workbook=07_01.xlsx&amp;sheet=A0&amp;row=239&amp;col=23&amp;number=&amp;sourceID=30","")</f>
        <v/>
      </c>
      <c r="X239" s="4" t="str">
        <f>HYPERLINK("http://141.218.60.56/~jnz1568/getInfo.php?workbook=07_01.xlsx&amp;sheet=A0&amp;row=239&amp;col=24&amp;number=0.9636&amp;sourceID=30","0.9636")</f>
        <v>0.9636</v>
      </c>
      <c r="Y239" s="4" t="str">
        <f>HYPERLINK("http://141.218.60.56/~jnz1568/getInfo.php?workbook=07_01.xlsx&amp;sheet=A0&amp;row=239&amp;col=25&amp;number=&amp;sourceID=13","")</f>
        <v/>
      </c>
      <c r="Z239" s="4" t="str">
        <f>HYPERLINK("http://141.218.60.56/~jnz1568/getInfo.php?workbook=07_01.xlsx&amp;sheet=A0&amp;row=239&amp;col=26&amp;number=&amp;sourceID=13","")</f>
        <v/>
      </c>
      <c r="AA239" s="4" t="str">
        <f>HYPERLINK("http://141.218.60.56/~jnz1568/getInfo.php?workbook=07_01.xlsx&amp;sheet=A0&amp;row=239&amp;col=27&amp;number=&amp;sourceID=13","")</f>
        <v/>
      </c>
      <c r="AB239" s="4" t="str">
        <f>HYPERLINK("http://141.218.60.56/~jnz1568/getInfo.php?workbook=07_01.xlsx&amp;sheet=A0&amp;row=239&amp;col=28&amp;number=&amp;sourceID=13","")</f>
        <v/>
      </c>
      <c r="AC239" s="4" t="str">
        <f>HYPERLINK("http://141.218.60.56/~jnz1568/getInfo.php?workbook=07_01.xlsx&amp;sheet=A0&amp;row=239&amp;col=29&amp;number=&amp;sourceID=13","")</f>
        <v/>
      </c>
      <c r="AD239" s="4" t="str">
        <f>HYPERLINK("http://141.218.60.56/~jnz1568/getInfo.php?workbook=07_01.xlsx&amp;sheet=A0&amp;row=239&amp;col=30&amp;number=&amp;sourceID=13","")</f>
        <v/>
      </c>
    </row>
    <row r="240" spans="1:30">
      <c r="A240" s="3">
        <v>7</v>
      </c>
      <c r="B240" s="3">
        <v>1</v>
      </c>
      <c r="C240" s="3">
        <v>23</v>
      </c>
      <c r="D240" s="3">
        <v>15</v>
      </c>
      <c r="E240" s="3">
        <f>((1/(INDEX(E0!J$4:J$28,C240,1)-INDEX(E0!J$4:J$28,D240,1))))*100000000</f>
        <v>0</v>
      </c>
      <c r="F240" s="4" t="str">
        <f>HYPERLINK("http://141.218.60.56/~jnz1568/getInfo.php?workbook=07_01.xlsx&amp;sheet=A0&amp;row=240&amp;col=6&amp;number==&amp;sourceID=11","=")</f>
        <v>=</v>
      </c>
      <c r="G240" s="4" t="str">
        <f>HYPERLINK("http://141.218.60.56/~jnz1568/getInfo.php?workbook=07_01.xlsx&amp;sheet=A0&amp;row=240&amp;col=7&amp;number=&amp;sourceID=11","")</f>
        <v/>
      </c>
      <c r="H240" s="4" t="str">
        <f>HYPERLINK("http://141.218.60.56/~jnz1568/getInfo.php?workbook=07_01.xlsx&amp;sheet=A0&amp;row=240&amp;col=8&amp;number=11764&amp;sourceID=11","11764")</f>
        <v>11764</v>
      </c>
      <c r="I240" s="4" t="str">
        <f>HYPERLINK("http://141.218.60.56/~jnz1568/getInfo.php?workbook=07_01.xlsx&amp;sheet=A0&amp;row=240&amp;col=9&amp;number=&amp;sourceID=11","")</f>
        <v/>
      </c>
      <c r="J240" s="4" t="str">
        <f>HYPERLINK("http://141.218.60.56/~jnz1568/getInfo.php?workbook=07_01.xlsx&amp;sheet=A0&amp;row=240&amp;col=10&amp;number=1.5137e-05&amp;sourceID=11","1.5137e-05")</f>
        <v>1.5137e-05</v>
      </c>
      <c r="K240" s="4" t="str">
        <f>HYPERLINK("http://141.218.60.56/~jnz1568/getInfo.php?workbook=07_01.xlsx&amp;sheet=A0&amp;row=240&amp;col=11&amp;number=&amp;sourceID=11","")</f>
        <v/>
      </c>
      <c r="L240" s="4" t="str">
        <f>HYPERLINK("http://141.218.60.56/~jnz1568/getInfo.php?workbook=07_01.xlsx&amp;sheet=A0&amp;row=240&amp;col=12&amp;number=8.0481e-08&amp;sourceID=11","8.0481e-08")</f>
        <v>8.0481e-08</v>
      </c>
      <c r="M240" s="4" t="str">
        <f>HYPERLINK("http://141.218.60.56/~jnz1568/getInfo.php?workbook=07_01.xlsx&amp;sheet=A0&amp;row=240&amp;col=13&amp;number=11764&amp;sourceID=12","11764")</f>
        <v>11764</v>
      </c>
      <c r="N240" s="4" t="str">
        <f>HYPERLINK("http://141.218.60.56/~jnz1568/getInfo.php?workbook=07_01.xlsx&amp;sheet=A0&amp;row=240&amp;col=14&amp;number=&amp;sourceID=12","")</f>
        <v/>
      </c>
      <c r="O240" s="4" t="str">
        <f>HYPERLINK("http://141.218.60.56/~jnz1568/getInfo.php?workbook=07_01.xlsx&amp;sheet=A0&amp;row=240&amp;col=15&amp;number=11764&amp;sourceID=12","11764")</f>
        <v>11764</v>
      </c>
      <c r="P240" s="4" t="str">
        <f>HYPERLINK("http://141.218.60.56/~jnz1568/getInfo.php?workbook=07_01.xlsx&amp;sheet=A0&amp;row=240&amp;col=16&amp;number=&amp;sourceID=12","")</f>
        <v/>
      </c>
      <c r="Q240" s="4" t="str">
        <f>HYPERLINK("http://141.218.60.56/~jnz1568/getInfo.php?workbook=07_01.xlsx&amp;sheet=A0&amp;row=240&amp;col=17&amp;number=1.5135e-05&amp;sourceID=12","1.5135e-05")</f>
        <v>1.5135e-05</v>
      </c>
      <c r="R240" s="4" t="str">
        <f>HYPERLINK("http://141.218.60.56/~jnz1568/getInfo.php?workbook=07_01.xlsx&amp;sheet=A0&amp;row=240&amp;col=18&amp;number=&amp;sourceID=12","")</f>
        <v/>
      </c>
      <c r="S240" s="4" t="str">
        <f>HYPERLINK("http://141.218.60.56/~jnz1568/getInfo.php?workbook=07_01.xlsx&amp;sheet=A0&amp;row=240&amp;col=19&amp;number=8.0484e-08&amp;sourceID=12","8.0484e-08")</f>
        <v>8.0484e-08</v>
      </c>
      <c r="T240" s="4" t="str">
        <f>HYPERLINK("http://141.218.60.56/~jnz1568/getInfo.php?workbook=07_01.xlsx&amp;sheet=A0&amp;row=240&amp;col=20&amp;number==SUM(U240:X240)&amp;sourceID=30","=SUM(U240:X240)")</f>
        <v>=SUM(U240:X240)</v>
      </c>
      <c r="U240" s="4" t="str">
        <f>HYPERLINK("http://141.218.60.56/~jnz1568/getInfo.php?workbook=07_01.xlsx&amp;sheet=A0&amp;row=240&amp;col=21&amp;number=&amp;sourceID=30","")</f>
        <v/>
      </c>
      <c r="V240" s="4" t="str">
        <f>HYPERLINK("http://141.218.60.56/~jnz1568/getInfo.php?workbook=07_01.xlsx&amp;sheet=A0&amp;row=240&amp;col=22&amp;number=11760&amp;sourceID=30","11760")</f>
        <v>11760</v>
      </c>
      <c r="W240" s="4" t="str">
        <f>HYPERLINK("http://141.218.60.56/~jnz1568/getInfo.php?workbook=07_01.xlsx&amp;sheet=A0&amp;row=240&amp;col=23&amp;number=1.514e-05&amp;sourceID=30","1.514e-05")</f>
        <v>1.514e-05</v>
      </c>
      <c r="X240" s="4" t="str">
        <f>HYPERLINK("http://141.218.60.56/~jnz1568/getInfo.php?workbook=07_01.xlsx&amp;sheet=A0&amp;row=240&amp;col=24&amp;number=&amp;sourceID=30","")</f>
        <v/>
      </c>
      <c r="Y240" s="4" t="str">
        <f>HYPERLINK("http://141.218.60.56/~jnz1568/getInfo.php?workbook=07_01.xlsx&amp;sheet=A0&amp;row=240&amp;col=25&amp;number=&amp;sourceID=13","")</f>
        <v/>
      </c>
      <c r="Z240" s="4" t="str">
        <f>HYPERLINK("http://141.218.60.56/~jnz1568/getInfo.php?workbook=07_01.xlsx&amp;sheet=A0&amp;row=240&amp;col=26&amp;number=&amp;sourceID=13","")</f>
        <v/>
      </c>
      <c r="AA240" s="4" t="str">
        <f>HYPERLINK("http://141.218.60.56/~jnz1568/getInfo.php?workbook=07_01.xlsx&amp;sheet=A0&amp;row=240&amp;col=27&amp;number=&amp;sourceID=13","")</f>
        <v/>
      </c>
      <c r="AB240" s="4" t="str">
        <f>HYPERLINK("http://141.218.60.56/~jnz1568/getInfo.php?workbook=07_01.xlsx&amp;sheet=A0&amp;row=240&amp;col=28&amp;number=&amp;sourceID=13","")</f>
        <v/>
      </c>
      <c r="AC240" s="4" t="str">
        <f>HYPERLINK("http://141.218.60.56/~jnz1568/getInfo.php?workbook=07_01.xlsx&amp;sheet=A0&amp;row=240&amp;col=29&amp;number=&amp;sourceID=13","")</f>
        <v/>
      </c>
      <c r="AD240" s="4" t="str">
        <f>HYPERLINK("http://141.218.60.56/~jnz1568/getInfo.php?workbook=07_01.xlsx&amp;sheet=A0&amp;row=240&amp;col=30&amp;number=&amp;sourceID=13","")</f>
        <v/>
      </c>
    </row>
    <row r="241" spans="1:30">
      <c r="A241" s="3">
        <v>7</v>
      </c>
      <c r="B241" s="3">
        <v>1</v>
      </c>
      <c r="C241" s="3">
        <v>23</v>
      </c>
      <c r="D241" s="3">
        <v>16</v>
      </c>
      <c r="E241" s="3">
        <f>((1/(INDEX(E0!J$4:J$28,C241,1)-INDEX(E0!J$4:J$28,D241,1))))*100000000</f>
        <v>0</v>
      </c>
      <c r="F241" s="4" t="str">
        <f>HYPERLINK("http://141.218.60.56/~jnz1568/getInfo.php?workbook=07_01.xlsx&amp;sheet=A0&amp;row=241&amp;col=6&amp;number==&amp;sourceID=11","=")</f>
        <v>=</v>
      </c>
      <c r="G241" s="4" t="str">
        <f>HYPERLINK("http://141.218.60.56/~jnz1568/getInfo.php?workbook=07_01.xlsx&amp;sheet=A0&amp;row=241&amp;col=7&amp;number=364940000&amp;sourceID=11","364940000")</f>
        <v>364940000</v>
      </c>
      <c r="H241" s="4" t="str">
        <f>HYPERLINK("http://141.218.60.56/~jnz1568/getInfo.php?workbook=07_01.xlsx&amp;sheet=A0&amp;row=241&amp;col=8&amp;number=&amp;sourceID=11","")</f>
        <v/>
      </c>
      <c r="I241" s="4" t="str">
        <f>HYPERLINK("http://141.218.60.56/~jnz1568/getInfo.php?workbook=07_01.xlsx&amp;sheet=A0&amp;row=241&amp;col=9&amp;number=0.052701&amp;sourceID=11","0.052701")</f>
        <v>0.052701</v>
      </c>
      <c r="J241" s="4" t="str">
        <f>HYPERLINK("http://141.218.60.56/~jnz1568/getInfo.php?workbook=07_01.xlsx&amp;sheet=A0&amp;row=241&amp;col=10&amp;number=&amp;sourceID=11","")</f>
        <v/>
      </c>
      <c r="K241" s="4" t="str">
        <f>HYPERLINK("http://141.218.60.56/~jnz1568/getInfo.php?workbook=07_01.xlsx&amp;sheet=A0&amp;row=241&amp;col=11&amp;number=&amp;sourceID=11","")</f>
        <v/>
      </c>
      <c r="L241" s="4" t="str">
        <f>HYPERLINK("http://141.218.60.56/~jnz1568/getInfo.php?workbook=07_01.xlsx&amp;sheet=A0&amp;row=241&amp;col=12&amp;number=&amp;sourceID=11","")</f>
        <v/>
      </c>
      <c r="M241" s="4" t="str">
        <f>HYPERLINK("http://141.218.60.56/~jnz1568/getInfo.php?workbook=07_01.xlsx&amp;sheet=A0&amp;row=241&amp;col=13&amp;number=364950000&amp;sourceID=12","364950000")</f>
        <v>364950000</v>
      </c>
      <c r="N241" s="4" t="str">
        <f>HYPERLINK("http://141.218.60.56/~jnz1568/getInfo.php?workbook=07_01.xlsx&amp;sheet=A0&amp;row=241&amp;col=14&amp;number=364950000&amp;sourceID=12","364950000")</f>
        <v>364950000</v>
      </c>
      <c r="O241" s="4" t="str">
        <f>HYPERLINK("http://141.218.60.56/~jnz1568/getInfo.php?workbook=07_01.xlsx&amp;sheet=A0&amp;row=241&amp;col=15&amp;number=&amp;sourceID=12","")</f>
        <v/>
      </c>
      <c r="P241" s="4" t="str">
        <f>HYPERLINK("http://141.218.60.56/~jnz1568/getInfo.php?workbook=07_01.xlsx&amp;sheet=A0&amp;row=241&amp;col=16&amp;number=0.052703&amp;sourceID=12","0.052703")</f>
        <v>0.052703</v>
      </c>
      <c r="Q241" s="4" t="str">
        <f>HYPERLINK("http://141.218.60.56/~jnz1568/getInfo.php?workbook=07_01.xlsx&amp;sheet=A0&amp;row=241&amp;col=17&amp;number=&amp;sourceID=12","")</f>
        <v/>
      </c>
      <c r="R241" s="4" t="str">
        <f>HYPERLINK("http://141.218.60.56/~jnz1568/getInfo.php?workbook=07_01.xlsx&amp;sheet=A0&amp;row=241&amp;col=18&amp;number=&amp;sourceID=12","")</f>
        <v/>
      </c>
      <c r="S241" s="4" t="str">
        <f>HYPERLINK("http://141.218.60.56/~jnz1568/getInfo.php?workbook=07_01.xlsx&amp;sheet=A0&amp;row=241&amp;col=19&amp;number=&amp;sourceID=12","")</f>
        <v/>
      </c>
      <c r="T241" s="4" t="str">
        <f>HYPERLINK("http://141.218.60.56/~jnz1568/getInfo.php?workbook=07_01.xlsx&amp;sheet=A0&amp;row=241&amp;col=20&amp;number==SUM(U241:X241)&amp;sourceID=30","=SUM(U241:X241)")</f>
        <v>=SUM(U241:X241)</v>
      </c>
      <c r="U241" s="4" t="str">
        <f>HYPERLINK("http://141.218.60.56/~jnz1568/getInfo.php?workbook=07_01.xlsx&amp;sheet=A0&amp;row=241&amp;col=21&amp;number=365000000&amp;sourceID=30","365000000")</f>
        <v>365000000</v>
      </c>
      <c r="V241" s="4" t="str">
        <f>HYPERLINK("http://141.218.60.56/~jnz1568/getInfo.php?workbook=07_01.xlsx&amp;sheet=A0&amp;row=241&amp;col=22&amp;number=&amp;sourceID=30","")</f>
        <v/>
      </c>
      <c r="W241" s="4" t="str">
        <f>HYPERLINK("http://141.218.60.56/~jnz1568/getInfo.php?workbook=07_01.xlsx&amp;sheet=A0&amp;row=241&amp;col=23&amp;number=&amp;sourceID=30","")</f>
        <v/>
      </c>
      <c r="X241" s="4" t="str">
        <f>HYPERLINK("http://141.218.60.56/~jnz1568/getInfo.php?workbook=07_01.xlsx&amp;sheet=A0&amp;row=241&amp;col=24&amp;number=&amp;sourceID=30","")</f>
        <v/>
      </c>
      <c r="Y241" s="4" t="str">
        <f>HYPERLINK("http://141.218.60.56/~jnz1568/getInfo.php?workbook=07_01.xlsx&amp;sheet=A0&amp;row=241&amp;col=25&amp;number=&amp;sourceID=13","")</f>
        <v/>
      </c>
      <c r="Z241" s="4" t="str">
        <f>HYPERLINK("http://141.218.60.56/~jnz1568/getInfo.php?workbook=07_01.xlsx&amp;sheet=A0&amp;row=241&amp;col=26&amp;number=&amp;sourceID=13","")</f>
        <v/>
      </c>
      <c r="AA241" s="4" t="str">
        <f>HYPERLINK("http://141.218.60.56/~jnz1568/getInfo.php?workbook=07_01.xlsx&amp;sheet=A0&amp;row=241&amp;col=27&amp;number=&amp;sourceID=13","")</f>
        <v/>
      </c>
      <c r="AB241" s="4" t="str">
        <f>HYPERLINK("http://141.218.60.56/~jnz1568/getInfo.php?workbook=07_01.xlsx&amp;sheet=A0&amp;row=241&amp;col=28&amp;number=&amp;sourceID=13","")</f>
        <v/>
      </c>
      <c r="AC241" s="4" t="str">
        <f>HYPERLINK("http://141.218.60.56/~jnz1568/getInfo.php?workbook=07_01.xlsx&amp;sheet=A0&amp;row=241&amp;col=29&amp;number=&amp;sourceID=13","")</f>
        <v/>
      </c>
      <c r="AD241" s="4" t="str">
        <f>HYPERLINK("http://141.218.60.56/~jnz1568/getInfo.php?workbook=07_01.xlsx&amp;sheet=A0&amp;row=241&amp;col=30&amp;number=&amp;sourceID=13","")</f>
        <v/>
      </c>
    </row>
    <row r="242" spans="1:30">
      <c r="A242" s="3">
        <v>7</v>
      </c>
      <c r="B242" s="3">
        <v>1</v>
      </c>
      <c r="C242" s="3">
        <v>23</v>
      </c>
      <c r="D242" s="3">
        <v>17</v>
      </c>
      <c r="E242" s="3">
        <f>((1/(INDEX(E0!J$4:J$28,C242,1)-INDEX(E0!J$4:J$28,D242,1))))*100000000</f>
        <v>0</v>
      </c>
      <c r="F242" s="4" t="str">
        <f>HYPERLINK("http://141.218.60.56/~jnz1568/getInfo.php?workbook=07_01.xlsx&amp;sheet=A0&amp;row=242&amp;col=6&amp;number==&amp;sourceID=11","=")</f>
        <v>=</v>
      </c>
      <c r="G242" s="4" t="str">
        <f>HYPERLINK("http://141.218.60.56/~jnz1568/getInfo.php?workbook=07_01.xlsx&amp;sheet=A0&amp;row=242&amp;col=7&amp;number=&amp;sourceID=11","")</f>
        <v/>
      </c>
      <c r="H242" s="4" t="str">
        <f>HYPERLINK("http://141.218.60.56/~jnz1568/getInfo.php?workbook=07_01.xlsx&amp;sheet=A0&amp;row=242&amp;col=8&amp;number=&amp;sourceID=11","")</f>
        <v/>
      </c>
      <c r="I242" s="4" t="str">
        <f>HYPERLINK("http://141.218.60.56/~jnz1568/getInfo.php?workbook=07_01.xlsx&amp;sheet=A0&amp;row=242&amp;col=9&amp;number=0&amp;sourceID=11","0")</f>
        <v>0</v>
      </c>
      <c r="J242" s="4" t="str">
        <f>HYPERLINK("http://141.218.60.56/~jnz1568/getInfo.php?workbook=07_01.xlsx&amp;sheet=A0&amp;row=242&amp;col=10&amp;number=&amp;sourceID=11","")</f>
        <v/>
      </c>
      <c r="K242" s="4" t="str">
        <f>HYPERLINK("http://141.218.60.56/~jnz1568/getInfo.php?workbook=07_01.xlsx&amp;sheet=A0&amp;row=242&amp;col=11&amp;number=&amp;sourceID=11","")</f>
        <v/>
      </c>
      <c r="L242" s="4" t="str">
        <f>HYPERLINK("http://141.218.60.56/~jnz1568/getInfo.php?workbook=07_01.xlsx&amp;sheet=A0&amp;row=242&amp;col=12&amp;number=&amp;sourceID=11","")</f>
        <v/>
      </c>
      <c r="M242" s="4" t="str">
        <f>HYPERLINK("http://141.218.60.56/~jnz1568/getInfo.php?workbook=07_01.xlsx&amp;sheet=A0&amp;row=242&amp;col=13&amp;number=0&amp;sourceID=12","0")</f>
        <v>0</v>
      </c>
      <c r="N242" s="4" t="str">
        <f>HYPERLINK("http://141.218.60.56/~jnz1568/getInfo.php?workbook=07_01.xlsx&amp;sheet=A0&amp;row=242&amp;col=14&amp;number=&amp;sourceID=12","")</f>
        <v/>
      </c>
      <c r="O242" s="4" t="str">
        <f>HYPERLINK("http://141.218.60.56/~jnz1568/getInfo.php?workbook=07_01.xlsx&amp;sheet=A0&amp;row=242&amp;col=15&amp;number=&amp;sourceID=12","")</f>
        <v/>
      </c>
      <c r="P242" s="4" t="str">
        <f>HYPERLINK("http://141.218.60.56/~jnz1568/getInfo.php?workbook=07_01.xlsx&amp;sheet=A0&amp;row=242&amp;col=16&amp;number=0&amp;sourceID=12","0")</f>
        <v>0</v>
      </c>
      <c r="Q242" s="4" t="str">
        <f>HYPERLINK("http://141.218.60.56/~jnz1568/getInfo.php?workbook=07_01.xlsx&amp;sheet=A0&amp;row=242&amp;col=17&amp;number=&amp;sourceID=12","")</f>
        <v/>
      </c>
      <c r="R242" s="4" t="str">
        <f>HYPERLINK("http://141.218.60.56/~jnz1568/getInfo.php?workbook=07_01.xlsx&amp;sheet=A0&amp;row=242&amp;col=18&amp;number=&amp;sourceID=12","")</f>
        <v/>
      </c>
      <c r="S242" s="4" t="str">
        <f>HYPERLINK("http://141.218.60.56/~jnz1568/getInfo.php?workbook=07_01.xlsx&amp;sheet=A0&amp;row=242&amp;col=19&amp;number=&amp;sourceID=12","")</f>
        <v/>
      </c>
      <c r="T242" s="4" t="str">
        <f>HYPERLINK("http://141.218.60.56/~jnz1568/getInfo.php?workbook=07_01.xlsx&amp;sheet=A0&amp;row=242&amp;col=20&amp;number=&amp;sourceID=30","")</f>
        <v/>
      </c>
      <c r="U242" s="4" t="str">
        <f>HYPERLINK("http://141.218.60.56/~jnz1568/getInfo.php?workbook=07_01.xlsx&amp;sheet=A0&amp;row=242&amp;col=21&amp;number=&amp;sourceID=30","")</f>
        <v/>
      </c>
      <c r="V242" s="4" t="str">
        <f>HYPERLINK("http://141.218.60.56/~jnz1568/getInfo.php?workbook=07_01.xlsx&amp;sheet=A0&amp;row=242&amp;col=22&amp;number=&amp;sourceID=30","")</f>
        <v/>
      </c>
      <c r="W242" s="4" t="str">
        <f>HYPERLINK("http://141.218.60.56/~jnz1568/getInfo.php?workbook=07_01.xlsx&amp;sheet=A0&amp;row=242&amp;col=23&amp;number=&amp;sourceID=30","")</f>
        <v/>
      </c>
      <c r="X242" s="4" t="str">
        <f>HYPERLINK("http://141.218.60.56/~jnz1568/getInfo.php?workbook=07_01.xlsx&amp;sheet=A0&amp;row=242&amp;col=24&amp;number=&amp;sourceID=30","")</f>
        <v/>
      </c>
      <c r="Y242" s="4" t="str">
        <f>HYPERLINK("http://141.218.60.56/~jnz1568/getInfo.php?workbook=07_01.xlsx&amp;sheet=A0&amp;row=242&amp;col=25&amp;number=&amp;sourceID=13","")</f>
        <v/>
      </c>
      <c r="Z242" s="4" t="str">
        <f>HYPERLINK("http://141.218.60.56/~jnz1568/getInfo.php?workbook=07_01.xlsx&amp;sheet=A0&amp;row=242&amp;col=26&amp;number=&amp;sourceID=13","")</f>
        <v/>
      </c>
      <c r="AA242" s="4" t="str">
        <f>HYPERLINK("http://141.218.60.56/~jnz1568/getInfo.php?workbook=07_01.xlsx&amp;sheet=A0&amp;row=242&amp;col=27&amp;number=&amp;sourceID=13","")</f>
        <v/>
      </c>
      <c r="AB242" s="4" t="str">
        <f>HYPERLINK("http://141.218.60.56/~jnz1568/getInfo.php?workbook=07_01.xlsx&amp;sheet=A0&amp;row=242&amp;col=28&amp;number=&amp;sourceID=13","")</f>
        <v/>
      </c>
      <c r="AC242" s="4" t="str">
        <f>HYPERLINK("http://141.218.60.56/~jnz1568/getInfo.php?workbook=07_01.xlsx&amp;sheet=A0&amp;row=242&amp;col=29&amp;number=&amp;sourceID=13","")</f>
        <v/>
      </c>
      <c r="AD242" s="4" t="str">
        <f>HYPERLINK("http://141.218.60.56/~jnz1568/getInfo.php?workbook=07_01.xlsx&amp;sheet=A0&amp;row=242&amp;col=30&amp;number=&amp;sourceID=13","")</f>
        <v/>
      </c>
    </row>
    <row r="243" spans="1:30">
      <c r="A243" s="3">
        <v>7</v>
      </c>
      <c r="B243" s="3">
        <v>1</v>
      </c>
      <c r="C243" s="3">
        <v>23</v>
      </c>
      <c r="D243" s="3">
        <v>18</v>
      </c>
      <c r="E243" s="3">
        <f>((1/(INDEX(E0!J$4:J$28,C243,1)-INDEX(E0!J$4:J$28,D243,1))))*100000000</f>
        <v>0</v>
      </c>
      <c r="F243" s="4" t="str">
        <f>HYPERLINK("http://141.218.60.56/~jnz1568/getInfo.php?workbook=07_01.xlsx&amp;sheet=A0&amp;row=243&amp;col=6&amp;number==&amp;sourceID=11","=")</f>
        <v>=</v>
      </c>
      <c r="G243" s="4" t="str">
        <f>HYPERLINK("http://141.218.60.56/~jnz1568/getInfo.php?workbook=07_01.xlsx&amp;sheet=A0&amp;row=243&amp;col=7&amp;number=&amp;sourceID=11","")</f>
        <v/>
      </c>
      <c r="H243" s="4" t="str">
        <f>HYPERLINK("http://141.218.60.56/~jnz1568/getInfo.php?workbook=07_01.xlsx&amp;sheet=A0&amp;row=243&amp;col=8&amp;number=&amp;sourceID=11","")</f>
        <v/>
      </c>
      <c r="I243" s="4" t="str">
        <f>HYPERLINK("http://141.218.60.56/~jnz1568/getInfo.php?workbook=07_01.xlsx&amp;sheet=A0&amp;row=243&amp;col=9&amp;number=&amp;sourceID=11","")</f>
        <v/>
      </c>
      <c r="J243" s="4" t="str">
        <f>HYPERLINK("http://141.218.60.56/~jnz1568/getInfo.php?workbook=07_01.xlsx&amp;sheet=A0&amp;row=243&amp;col=10&amp;number=&amp;sourceID=11","")</f>
        <v/>
      </c>
      <c r="K243" s="4" t="str">
        <f>HYPERLINK("http://141.218.60.56/~jnz1568/getInfo.php?workbook=07_01.xlsx&amp;sheet=A0&amp;row=243&amp;col=11&amp;number=&amp;sourceID=11","")</f>
        <v/>
      </c>
      <c r="L243" s="4" t="str">
        <f>HYPERLINK("http://141.218.60.56/~jnz1568/getInfo.php?workbook=07_01.xlsx&amp;sheet=A0&amp;row=243&amp;col=12&amp;number=0&amp;sourceID=11","0")</f>
        <v>0</v>
      </c>
      <c r="M243" s="4" t="str">
        <f>HYPERLINK("http://141.218.60.56/~jnz1568/getInfo.php?workbook=07_01.xlsx&amp;sheet=A0&amp;row=243&amp;col=13&amp;number=0&amp;sourceID=12","0")</f>
        <v>0</v>
      </c>
      <c r="N243" s="4" t="str">
        <f>HYPERLINK("http://141.218.60.56/~jnz1568/getInfo.php?workbook=07_01.xlsx&amp;sheet=A0&amp;row=243&amp;col=14&amp;number=&amp;sourceID=12","")</f>
        <v/>
      </c>
      <c r="O243" s="4" t="str">
        <f>HYPERLINK("http://141.218.60.56/~jnz1568/getInfo.php?workbook=07_01.xlsx&amp;sheet=A0&amp;row=243&amp;col=15&amp;number=&amp;sourceID=12","")</f>
        <v/>
      </c>
      <c r="P243" s="4" t="str">
        <f>HYPERLINK("http://141.218.60.56/~jnz1568/getInfo.php?workbook=07_01.xlsx&amp;sheet=A0&amp;row=243&amp;col=16&amp;number=&amp;sourceID=12","")</f>
        <v/>
      </c>
      <c r="Q243" s="4" t="str">
        <f>HYPERLINK("http://141.218.60.56/~jnz1568/getInfo.php?workbook=07_01.xlsx&amp;sheet=A0&amp;row=243&amp;col=17&amp;number=&amp;sourceID=12","")</f>
        <v/>
      </c>
      <c r="R243" s="4" t="str">
        <f>HYPERLINK("http://141.218.60.56/~jnz1568/getInfo.php?workbook=07_01.xlsx&amp;sheet=A0&amp;row=243&amp;col=18&amp;number=&amp;sourceID=12","")</f>
        <v/>
      </c>
      <c r="S243" s="4" t="str">
        <f>HYPERLINK("http://141.218.60.56/~jnz1568/getInfo.php?workbook=07_01.xlsx&amp;sheet=A0&amp;row=243&amp;col=19&amp;number=0&amp;sourceID=12","0")</f>
        <v>0</v>
      </c>
      <c r="T243" s="4" t="str">
        <f>HYPERLINK("http://141.218.60.56/~jnz1568/getInfo.php?workbook=07_01.xlsx&amp;sheet=A0&amp;row=243&amp;col=20&amp;number=&amp;sourceID=30","")</f>
        <v/>
      </c>
      <c r="U243" s="4" t="str">
        <f>HYPERLINK("http://141.218.60.56/~jnz1568/getInfo.php?workbook=07_01.xlsx&amp;sheet=A0&amp;row=243&amp;col=21&amp;number=&amp;sourceID=30","")</f>
        <v/>
      </c>
      <c r="V243" s="4" t="str">
        <f>HYPERLINK("http://141.218.60.56/~jnz1568/getInfo.php?workbook=07_01.xlsx&amp;sheet=A0&amp;row=243&amp;col=22&amp;number=&amp;sourceID=30","")</f>
        <v/>
      </c>
      <c r="W243" s="4" t="str">
        <f>HYPERLINK("http://141.218.60.56/~jnz1568/getInfo.php?workbook=07_01.xlsx&amp;sheet=A0&amp;row=243&amp;col=23&amp;number=&amp;sourceID=30","")</f>
        <v/>
      </c>
      <c r="X243" s="4" t="str">
        <f>HYPERLINK("http://141.218.60.56/~jnz1568/getInfo.php?workbook=07_01.xlsx&amp;sheet=A0&amp;row=243&amp;col=24&amp;number=&amp;sourceID=30","")</f>
        <v/>
      </c>
      <c r="Y243" s="4" t="str">
        <f>HYPERLINK("http://141.218.60.56/~jnz1568/getInfo.php?workbook=07_01.xlsx&amp;sheet=A0&amp;row=243&amp;col=25&amp;number=&amp;sourceID=13","")</f>
        <v/>
      </c>
      <c r="Z243" s="4" t="str">
        <f>HYPERLINK("http://141.218.60.56/~jnz1568/getInfo.php?workbook=07_01.xlsx&amp;sheet=A0&amp;row=243&amp;col=26&amp;number=&amp;sourceID=13","")</f>
        <v/>
      </c>
      <c r="AA243" s="4" t="str">
        <f>HYPERLINK("http://141.218.60.56/~jnz1568/getInfo.php?workbook=07_01.xlsx&amp;sheet=A0&amp;row=243&amp;col=27&amp;number=&amp;sourceID=13","")</f>
        <v/>
      </c>
      <c r="AB243" s="4" t="str">
        <f>HYPERLINK("http://141.218.60.56/~jnz1568/getInfo.php?workbook=07_01.xlsx&amp;sheet=A0&amp;row=243&amp;col=28&amp;number=&amp;sourceID=13","")</f>
        <v/>
      </c>
      <c r="AC243" s="4" t="str">
        <f>HYPERLINK("http://141.218.60.56/~jnz1568/getInfo.php?workbook=07_01.xlsx&amp;sheet=A0&amp;row=243&amp;col=29&amp;number=&amp;sourceID=13","")</f>
        <v/>
      </c>
      <c r="AD243" s="4" t="str">
        <f>HYPERLINK("http://141.218.60.56/~jnz1568/getInfo.php?workbook=07_01.xlsx&amp;sheet=A0&amp;row=243&amp;col=30&amp;number=&amp;sourceID=13","")</f>
        <v/>
      </c>
    </row>
    <row r="244" spans="1:30">
      <c r="A244" s="3">
        <v>7</v>
      </c>
      <c r="B244" s="3">
        <v>1</v>
      </c>
      <c r="C244" s="3">
        <v>23</v>
      </c>
      <c r="D244" s="3">
        <v>19</v>
      </c>
      <c r="E244" s="3">
        <f>((1/(INDEX(E0!J$4:J$28,C244,1)-INDEX(E0!J$4:J$28,D244,1))))*100000000</f>
        <v>0</v>
      </c>
      <c r="F244" s="4" t="str">
        <f>HYPERLINK("http://141.218.60.56/~jnz1568/getInfo.php?workbook=07_01.xlsx&amp;sheet=A0&amp;row=244&amp;col=6&amp;number==&amp;sourceID=11","=")</f>
        <v>=</v>
      </c>
      <c r="G244" s="4" t="str">
        <f>HYPERLINK("http://141.218.60.56/~jnz1568/getInfo.php?workbook=07_01.xlsx&amp;sheet=A0&amp;row=244&amp;col=7&amp;number=&amp;sourceID=11","")</f>
        <v/>
      </c>
      <c r="H244" s="4" t="str">
        <f>HYPERLINK("http://141.218.60.56/~jnz1568/getInfo.php?workbook=07_01.xlsx&amp;sheet=A0&amp;row=244&amp;col=8&amp;number=1.18e-13&amp;sourceID=11","1.18e-13")</f>
        <v>1.18e-13</v>
      </c>
      <c r="I244" s="4" t="str">
        <f>HYPERLINK("http://141.218.60.56/~jnz1568/getInfo.php?workbook=07_01.xlsx&amp;sheet=A0&amp;row=244&amp;col=9&amp;number=&amp;sourceID=11","")</f>
        <v/>
      </c>
      <c r="J244" s="4" t="str">
        <f>HYPERLINK("http://141.218.60.56/~jnz1568/getInfo.php?workbook=07_01.xlsx&amp;sheet=A0&amp;row=244&amp;col=10&amp;number=&amp;sourceID=11","")</f>
        <v/>
      </c>
      <c r="K244" s="4" t="str">
        <f>HYPERLINK("http://141.218.60.56/~jnz1568/getInfo.php?workbook=07_01.xlsx&amp;sheet=A0&amp;row=244&amp;col=11&amp;number=&amp;sourceID=11","")</f>
        <v/>
      </c>
      <c r="L244" s="4" t="str">
        <f>HYPERLINK("http://141.218.60.56/~jnz1568/getInfo.php?workbook=07_01.xlsx&amp;sheet=A0&amp;row=244&amp;col=12&amp;number=0&amp;sourceID=11","0")</f>
        <v>0</v>
      </c>
      <c r="M244" s="4" t="str">
        <f>HYPERLINK("http://141.218.60.56/~jnz1568/getInfo.php?workbook=07_01.xlsx&amp;sheet=A0&amp;row=244&amp;col=13&amp;number=1.18e-13&amp;sourceID=12","1.18e-13")</f>
        <v>1.18e-13</v>
      </c>
      <c r="N244" s="4" t="str">
        <f>HYPERLINK("http://141.218.60.56/~jnz1568/getInfo.php?workbook=07_01.xlsx&amp;sheet=A0&amp;row=244&amp;col=14&amp;number=&amp;sourceID=12","")</f>
        <v/>
      </c>
      <c r="O244" s="4" t="str">
        <f>HYPERLINK("http://141.218.60.56/~jnz1568/getInfo.php?workbook=07_01.xlsx&amp;sheet=A0&amp;row=244&amp;col=15&amp;number=1.18e-13&amp;sourceID=12","1.18e-13")</f>
        <v>1.18e-13</v>
      </c>
      <c r="P244" s="4" t="str">
        <f>HYPERLINK("http://141.218.60.56/~jnz1568/getInfo.php?workbook=07_01.xlsx&amp;sheet=A0&amp;row=244&amp;col=16&amp;number=&amp;sourceID=12","")</f>
        <v/>
      </c>
      <c r="Q244" s="4" t="str">
        <f>HYPERLINK("http://141.218.60.56/~jnz1568/getInfo.php?workbook=07_01.xlsx&amp;sheet=A0&amp;row=244&amp;col=17&amp;number=&amp;sourceID=12","")</f>
        <v/>
      </c>
      <c r="R244" s="4" t="str">
        <f>HYPERLINK("http://141.218.60.56/~jnz1568/getInfo.php?workbook=07_01.xlsx&amp;sheet=A0&amp;row=244&amp;col=18&amp;number=&amp;sourceID=12","")</f>
        <v/>
      </c>
      <c r="S244" s="4" t="str">
        <f>HYPERLINK("http://141.218.60.56/~jnz1568/getInfo.php?workbook=07_01.xlsx&amp;sheet=A0&amp;row=244&amp;col=19&amp;number=0&amp;sourceID=12","0")</f>
        <v>0</v>
      </c>
      <c r="T244" s="4" t="str">
        <f>HYPERLINK("http://141.218.60.56/~jnz1568/getInfo.php?workbook=07_01.xlsx&amp;sheet=A0&amp;row=244&amp;col=20&amp;number==SUM(U244:X244)&amp;sourceID=30","=SUM(U244:X244)")</f>
        <v>=SUM(U244:X244)</v>
      </c>
      <c r="U244" s="4" t="str">
        <f>HYPERLINK("http://141.218.60.56/~jnz1568/getInfo.php?workbook=07_01.xlsx&amp;sheet=A0&amp;row=244&amp;col=21&amp;number=&amp;sourceID=30","")</f>
        <v/>
      </c>
      <c r="V244" s="4" t="str">
        <f>HYPERLINK("http://141.218.60.56/~jnz1568/getInfo.php?workbook=07_01.xlsx&amp;sheet=A0&amp;row=244&amp;col=22&amp;number=1.18e-13&amp;sourceID=30","1.18e-13")</f>
        <v>1.18e-13</v>
      </c>
      <c r="W244" s="4" t="str">
        <f>HYPERLINK("http://141.218.60.56/~jnz1568/getInfo.php?workbook=07_01.xlsx&amp;sheet=A0&amp;row=244&amp;col=23&amp;number=&amp;sourceID=30","")</f>
        <v/>
      </c>
      <c r="X244" s="4" t="str">
        <f>HYPERLINK("http://141.218.60.56/~jnz1568/getInfo.php?workbook=07_01.xlsx&amp;sheet=A0&amp;row=244&amp;col=24&amp;number=&amp;sourceID=30","")</f>
        <v/>
      </c>
      <c r="Y244" s="4" t="str">
        <f>HYPERLINK("http://141.218.60.56/~jnz1568/getInfo.php?workbook=07_01.xlsx&amp;sheet=A0&amp;row=244&amp;col=25&amp;number=&amp;sourceID=13","")</f>
        <v/>
      </c>
      <c r="Z244" s="4" t="str">
        <f>HYPERLINK("http://141.218.60.56/~jnz1568/getInfo.php?workbook=07_01.xlsx&amp;sheet=A0&amp;row=244&amp;col=26&amp;number=&amp;sourceID=13","")</f>
        <v/>
      </c>
      <c r="AA244" s="4" t="str">
        <f>HYPERLINK("http://141.218.60.56/~jnz1568/getInfo.php?workbook=07_01.xlsx&amp;sheet=A0&amp;row=244&amp;col=27&amp;number=&amp;sourceID=13","")</f>
        <v/>
      </c>
      <c r="AB244" s="4" t="str">
        <f>HYPERLINK("http://141.218.60.56/~jnz1568/getInfo.php?workbook=07_01.xlsx&amp;sheet=A0&amp;row=244&amp;col=28&amp;number=&amp;sourceID=13","")</f>
        <v/>
      </c>
      <c r="AC244" s="4" t="str">
        <f>HYPERLINK("http://141.218.60.56/~jnz1568/getInfo.php?workbook=07_01.xlsx&amp;sheet=A0&amp;row=244&amp;col=29&amp;number=&amp;sourceID=13","")</f>
        <v/>
      </c>
      <c r="AD244" s="4" t="str">
        <f>HYPERLINK("http://141.218.60.56/~jnz1568/getInfo.php?workbook=07_01.xlsx&amp;sheet=A0&amp;row=244&amp;col=30&amp;number=&amp;sourceID=13","")</f>
        <v/>
      </c>
    </row>
    <row r="245" spans="1:30">
      <c r="A245" s="3">
        <v>7</v>
      </c>
      <c r="B245" s="3">
        <v>1</v>
      </c>
      <c r="C245" s="3">
        <v>23</v>
      </c>
      <c r="D245" s="3">
        <v>20</v>
      </c>
      <c r="E245" s="3">
        <f>((1/(INDEX(E0!J$4:J$28,C245,1)-INDEX(E0!J$4:J$28,D245,1))))*100000000</f>
        <v>0</v>
      </c>
      <c r="F245" s="4" t="str">
        <f>HYPERLINK("http://141.218.60.56/~jnz1568/getInfo.php?workbook=07_01.xlsx&amp;sheet=A0&amp;row=245&amp;col=6&amp;number==&amp;sourceID=11","=")</f>
        <v>=</v>
      </c>
      <c r="G245" s="4" t="str">
        <f>HYPERLINK("http://141.218.60.56/~jnz1568/getInfo.php?workbook=07_01.xlsx&amp;sheet=A0&amp;row=245&amp;col=7&amp;number=&amp;sourceID=11","")</f>
        <v/>
      </c>
      <c r="H245" s="4" t="str">
        <f>HYPERLINK("http://141.218.60.56/~jnz1568/getInfo.php?workbook=07_01.xlsx&amp;sheet=A0&amp;row=245&amp;col=8&amp;number=&amp;sourceID=11","")</f>
        <v/>
      </c>
      <c r="I245" s="4" t="str">
        <f>HYPERLINK("http://141.218.60.56/~jnz1568/getInfo.php?workbook=07_01.xlsx&amp;sheet=A0&amp;row=245&amp;col=9&amp;number=0&amp;sourceID=11","0")</f>
        <v>0</v>
      </c>
      <c r="J245" s="4" t="str">
        <f>HYPERLINK("http://141.218.60.56/~jnz1568/getInfo.php?workbook=07_01.xlsx&amp;sheet=A0&amp;row=245&amp;col=10&amp;number=&amp;sourceID=11","")</f>
        <v/>
      </c>
      <c r="K245" s="4" t="str">
        <f>HYPERLINK("http://141.218.60.56/~jnz1568/getInfo.php?workbook=07_01.xlsx&amp;sheet=A0&amp;row=245&amp;col=11&amp;number=0&amp;sourceID=11","0")</f>
        <v>0</v>
      </c>
      <c r="L245" s="4" t="str">
        <f>HYPERLINK("http://141.218.60.56/~jnz1568/getInfo.php?workbook=07_01.xlsx&amp;sheet=A0&amp;row=245&amp;col=12&amp;number=&amp;sourceID=11","")</f>
        <v/>
      </c>
      <c r="M245" s="4" t="str">
        <f>HYPERLINK("http://141.218.60.56/~jnz1568/getInfo.php?workbook=07_01.xlsx&amp;sheet=A0&amp;row=245&amp;col=13&amp;number=0&amp;sourceID=12","0")</f>
        <v>0</v>
      </c>
      <c r="N245" s="4" t="str">
        <f>HYPERLINK("http://141.218.60.56/~jnz1568/getInfo.php?workbook=07_01.xlsx&amp;sheet=A0&amp;row=245&amp;col=14&amp;number=&amp;sourceID=12","")</f>
        <v/>
      </c>
      <c r="O245" s="4" t="str">
        <f>HYPERLINK("http://141.218.60.56/~jnz1568/getInfo.php?workbook=07_01.xlsx&amp;sheet=A0&amp;row=245&amp;col=15&amp;number=&amp;sourceID=12","")</f>
        <v/>
      </c>
      <c r="P245" s="4" t="str">
        <f>HYPERLINK("http://141.218.60.56/~jnz1568/getInfo.php?workbook=07_01.xlsx&amp;sheet=A0&amp;row=245&amp;col=16&amp;number=0&amp;sourceID=12","0")</f>
        <v>0</v>
      </c>
      <c r="Q245" s="4" t="str">
        <f>HYPERLINK("http://141.218.60.56/~jnz1568/getInfo.php?workbook=07_01.xlsx&amp;sheet=A0&amp;row=245&amp;col=17&amp;number=&amp;sourceID=12","")</f>
        <v/>
      </c>
      <c r="R245" s="4" t="str">
        <f>HYPERLINK("http://141.218.60.56/~jnz1568/getInfo.php?workbook=07_01.xlsx&amp;sheet=A0&amp;row=245&amp;col=18&amp;number=0&amp;sourceID=12","0")</f>
        <v>0</v>
      </c>
      <c r="S245" s="4" t="str">
        <f>HYPERLINK("http://141.218.60.56/~jnz1568/getInfo.php?workbook=07_01.xlsx&amp;sheet=A0&amp;row=245&amp;col=19&amp;number=&amp;sourceID=12","")</f>
        <v/>
      </c>
      <c r="T245" s="4" t="str">
        <f>HYPERLINK("http://141.218.60.56/~jnz1568/getInfo.php?workbook=07_01.xlsx&amp;sheet=A0&amp;row=245&amp;col=20&amp;number==SUM(U245:X245)&amp;sourceID=30","=SUM(U245:X245)")</f>
        <v>=SUM(U245:X245)</v>
      </c>
      <c r="U245" s="4" t="str">
        <f>HYPERLINK("http://141.218.60.56/~jnz1568/getInfo.php?workbook=07_01.xlsx&amp;sheet=A0&amp;row=245&amp;col=21&amp;number=&amp;sourceID=30","")</f>
        <v/>
      </c>
      <c r="V245" s="4" t="str">
        <f>HYPERLINK("http://141.218.60.56/~jnz1568/getInfo.php?workbook=07_01.xlsx&amp;sheet=A0&amp;row=245&amp;col=22&amp;number=&amp;sourceID=30","")</f>
        <v/>
      </c>
      <c r="W245" s="4" t="str">
        <f>HYPERLINK("http://141.218.60.56/~jnz1568/getInfo.php?workbook=07_01.xlsx&amp;sheet=A0&amp;row=245&amp;col=23&amp;number=&amp;sourceID=30","")</f>
        <v/>
      </c>
      <c r="X245" s="4" t="str">
        <f>HYPERLINK("http://141.218.60.56/~jnz1568/getInfo.php?workbook=07_01.xlsx&amp;sheet=A0&amp;row=245&amp;col=24&amp;number=0&amp;sourceID=30","0")</f>
        <v>0</v>
      </c>
      <c r="Y245" s="4" t="str">
        <f>HYPERLINK("http://141.218.60.56/~jnz1568/getInfo.php?workbook=07_01.xlsx&amp;sheet=A0&amp;row=245&amp;col=25&amp;number=&amp;sourceID=13","")</f>
        <v/>
      </c>
      <c r="Z245" s="4" t="str">
        <f>HYPERLINK("http://141.218.60.56/~jnz1568/getInfo.php?workbook=07_01.xlsx&amp;sheet=A0&amp;row=245&amp;col=26&amp;number=&amp;sourceID=13","")</f>
        <v/>
      </c>
      <c r="AA245" s="4" t="str">
        <f>HYPERLINK("http://141.218.60.56/~jnz1568/getInfo.php?workbook=07_01.xlsx&amp;sheet=A0&amp;row=245&amp;col=27&amp;number=&amp;sourceID=13","")</f>
        <v/>
      </c>
      <c r="AB245" s="4" t="str">
        <f>HYPERLINK("http://141.218.60.56/~jnz1568/getInfo.php?workbook=07_01.xlsx&amp;sheet=A0&amp;row=245&amp;col=28&amp;number=&amp;sourceID=13","")</f>
        <v/>
      </c>
      <c r="AC245" s="4" t="str">
        <f>HYPERLINK("http://141.218.60.56/~jnz1568/getInfo.php?workbook=07_01.xlsx&amp;sheet=A0&amp;row=245&amp;col=29&amp;number=&amp;sourceID=13","")</f>
        <v/>
      </c>
      <c r="AD245" s="4" t="str">
        <f>HYPERLINK("http://141.218.60.56/~jnz1568/getInfo.php?workbook=07_01.xlsx&amp;sheet=A0&amp;row=245&amp;col=30&amp;number=&amp;sourceID=13","")</f>
        <v/>
      </c>
    </row>
    <row r="246" spans="1:30">
      <c r="A246" s="3">
        <v>7</v>
      </c>
      <c r="B246" s="3">
        <v>1</v>
      </c>
      <c r="C246" s="3">
        <v>23</v>
      </c>
      <c r="D246" s="3">
        <v>21</v>
      </c>
      <c r="E246" s="3">
        <f>((1/(INDEX(E0!J$4:J$28,C246,1)-INDEX(E0!J$4:J$28,D246,1))))*100000000</f>
        <v>0</v>
      </c>
      <c r="F246" s="4" t="str">
        <f>HYPERLINK("http://141.218.60.56/~jnz1568/getInfo.php?workbook=07_01.xlsx&amp;sheet=A0&amp;row=246&amp;col=6&amp;number==&amp;sourceID=11","=")</f>
        <v>=</v>
      </c>
      <c r="G246" s="4" t="str">
        <f>HYPERLINK("http://141.218.60.56/~jnz1568/getInfo.php?workbook=07_01.xlsx&amp;sheet=A0&amp;row=246&amp;col=7&amp;number=0.0073464&amp;sourceID=11","0.0073464")</f>
        <v>0.0073464</v>
      </c>
      <c r="H246" s="4" t="str">
        <f>HYPERLINK("http://141.218.60.56/~jnz1568/getInfo.php?workbook=07_01.xlsx&amp;sheet=A0&amp;row=246&amp;col=8&amp;number=&amp;sourceID=11","")</f>
        <v/>
      </c>
      <c r="I246" s="4" t="str">
        <f>HYPERLINK("http://141.218.60.56/~jnz1568/getInfo.php?workbook=07_01.xlsx&amp;sheet=A0&amp;row=246&amp;col=9&amp;number=0&amp;sourceID=11","0")</f>
        <v>0</v>
      </c>
      <c r="J246" s="4" t="str">
        <f>HYPERLINK("http://141.218.60.56/~jnz1568/getInfo.php?workbook=07_01.xlsx&amp;sheet=A0&amp;row=246&amp;col=10&amp;number=&amp;sourceID=11","")</f>
        <v/>
      </c>
      <c r="K246" s="4" t="str">
        <f>HYPERLINK("http://141.218.60.56/~jnz1568/getInfo.php?workbook=07_01.xlsx&amp;sheet=A0&amp;row=246&amp;col=11&amp;number=0&amp;sourceID=11","0")</f>
        <v>0</v>
      </c>
      <c r="L246" s="4" t="str">
        <f>HYPERLINK("http://141.218.60.56/~jnz1568/getInfo.php?workbook=07_01.xlsx&amp;sheet=A0&amp;row=246&amp;col=12&amp;number=&amp;sourceID=11","")</f>
        <v/>
      </c>
      <c r="M246" s="4" t="str">
        <f>HYPERLINK("http://141.218.60.56/~jnz1568/getInfo.php?workbook=07_01.xlsx&amp;sheet=A0&amp;row=246&amp;col=13&amp;number=0.0073485&amp;sourceID=12","0.0073485")</f>
        <v>0.0073485</v>
      </c>
      <c r="N246" s="4" t="str">
        <f>HYPERLINK("http://141.218.60.56/~jnz1568/getInfo.php?workbook=07_01.xlsx&amp;sheet=A0&amp;row=246&amp;col=14&amp;number=0.0073485&amp;sourceID=12","0.0073485")</f>
        <v>0.0073485</v>
      </c>
      <c r="O246" s="4" t="str">
        <f>HYPERLINK("http://141.218.60.56/~jnz1568/getInfo.php?workbook=07_01.xlsx&amp;sheet=A0&amp;row=246&amp;col=15&amp;number=&amp;sourceID=12","")</f>
        <v/>
      </c>
      <c r="P246" s="4" t="str">
        <f>HYPERLINK("http://141.218.60.56/~jnz1568/getInfo.php?workbook=07_01.xlsx&amp;sheet=A0&amp;row=246&amp;col=16&amp;number=0&amp;sourceID=12","0")</f>
        <v>0</v>
      </c>
      <c r="Q246" s="4" t="str">
        <f>HYPERLINK("http://141.218.60.56/~jnz1568/getInfo.php?workbook=07_01.xlsx&amp;sheet=A0&amp;row=246&amp;col=17&amp;number=&amp;sourceID=12","")</f>
        <v/>
      </c>
      <c r="R246" s="4" t="str">
        <f>HYPERLINK("http://141.218.60.56/~jnz1568/getInfo.php?workbook=07_01.xlsx&amp;sheet=A0&amp;row=246&amp;col=18&amp;number=0&amp;sourceID=12","0")</f>
        <v>0</v>
      </c>
      <c r="S246" s="4" t="str">
        <f>HYPERLINK("http://141.218.60.56/~jnz1568/getInfo.php?workbook=07_01.xlsx&amp;sheet=A0&amp;row=246&amp;col=19&amp;number=&amp;sourceID=12","")</f>
        <v/>
      </c>
      <c r="T246" s="4" t="str">
        <f>HYPERLINK("http://141.218.60.56/~jnz1568/getInfo.php?workbook=07_01.xlsx&amp;sheet=A0&amp;row=246&amp;col=20&amp;number==SUM(U246:X246)&amp;sourceID=30","=SUM(U246:X246)")</f>
        <v>=SUM(U246:X246)</v>
      </c>
      <c r="U246" s="4" t="str">
        <f>HYPERLINK("http://141.218.60.56/~jnz1568/getInfo.php?workbook=07_01.xlsx&amp;sheet=A0&amp;row=246&amp;col=21&amp;number=0.007349&amp;sourceID=30","0.007349")</f>
        <v>0.007349</v>
      </c>
      <c r="V246" s="4" t="str">
        <f>HYPERLINK("http://141.218.60.56/~jnz1568/getInfo.php?workbook=07_01.xlsx&amp;sheet=A0&amp;row=246&amp;col=22&amp;number=&amp;sourceID=30","")</f>
        <v/>
      </c>
      <c r="W246" s="4" t="str">
        <f>HYPERLINK("http://141.218.60.56/~jnz1568/getInfo.php?workbook=07_01.xlsx&amp;sheet=A0&amp;row=246&amp;col=23&amp;number=&amp;sourceID=30","")</f>
        <v/>
      </c>
      <c r="X246" s="4" t="str">
        <f>HYPERLINK("http://141.218.60.56/~jnz1568/getInfo.php?workbook=07_01.xlsx&amp;sheet=A0&amp;row=246&amp;col=24&amp;number=0&amp;sourceID=30","0")</f>
        <v>0</v>
      </c>
      <c r="Y246" s="4" t="str">
        <f>HYPERLINK("http://141.218.60.56/~jnz1568/getInfo.php?workbook=07_01.xlsx&amp;sheet=A0&amp;row=246&amp;col=25&amp;number=&amp;sourceID=13","")</f>
        <v/>
      </c>
      <c r="Z246" s="4" t="str">
        <f>HYPERLINK("http://141.218.60.56/~jnz1568/getInfo.php?workbook=07_01.xlsx&amp;sheet=A0&amp;row=246&amp;col=26&amp;number=&amp;sourceID=13","")</f>
        <v/>
      </c>
      <c r="AA246" s="4" t="str">
        <f>HYPERLINK("http://141.218.60.56/~jnz1568/getInfo.php?workbook=07_01.xlsx&amp;sheet=A0&amp;row=246&amp;col=27&amp;number=&amp;sourceID=13","")</f>
        <v/>
      </c>
      <c r="AB246" s="4" t="str">
        <f>HYPERLINK("http://141.218.60.56/~jnz1568/getInfo.php?workbook=07_01.xlsx&amp;sheet=A0&amp;row=246&amp;col=28&amp;number=&amp;sourceID=13","")</f>
        <v/>
      </c>
      <c r="AC246" s="4" t="str">
        <f>HYPERLINK("http://141.218.60.56/~jnz1568/getInfo.php?workbook=07_01.xlsx&amp;sheet=A0&amp;row=246&amp;col=29&amp;number=&amp;sourceID=13","")</f>
        <v/>
      </c>
      <c r="AD246" s="4" t="str">
        <f>HYPERLINK("http://141.218.60.56/~jnz1568/getInfo.php?workbook=07_01.xlsx&amp;sheet=A0&amp;row=246&amp;col=30&amp;number=&amp;sourceID=13","")</f>
        <v/>
      </c>
    </row>
    <row r="247" spans="1:30">
      <c r="A247" s="3">
        <v>7</v>
      </c>
      <c r="B247" s="3">
        <v>1</v>
      </c>
      <c r="C247" s="3">
        <v>23</v>
      </c>
      <c r="D247" s="3">
        <v>22</v>
      </c>
      <c r="E247" s="3">
        <f>((1/(INDEX(E0!J$4:J$28,C247,1)-INDEX(E0!J$4:J$28,D247,1))))*100000000</f>
        <v>0</v>
      </c>
      <c r="F247" s="4" t="str">
        <f>HYPERLINK("http://141.218.60.56/~jnz1568/getInfo.php?workbook=07_01.xlsx&amp;sheet=A0&amp;row=247&amp;col=6&amp;number==&amp;sourceID=11","=")</f>
        <v>=</v>
      </c>
      <c r="G247" s="4" t="str">
        <f>HYPERLINK("http://141.218.60.56/~jnz1568/getInfo.php?workbook=07_01.xlsx&amp;sheet=A0&amp;row=247&amp;col=7&amp;number=&amp;sourceID=11","")</f>
        <v/>
      </c>
      <c r="H247" s="4" t="str">
        <f>HYPERLINK("http://141.218.60.56/~jnz1568/getInfo.php?workbook=07_01.xlsx&amp;sheet=A0&amp;row=247&amp;col=8&amp;number=0&amp;sourceID=11","0")</f>
        <v>0</v>
      </c>
      <c r="I247" s="4" t="str">
        <f>HYPERLINK("http://141.218.60.56/~jnz1568/getInfo.php?workbook=07_01.xlsx&amp;sheet=A0&amp;row=247&amp;col=9&amp;number=&amp;sourceID=11","")</f>
        <v/>
      </c>
      <c r="J247" s="4" t="str">
        <f>HYPERLINK("http://141.218.60.56/~jnz1568/getInfo.php?workbook=07_01.xlsx&amp;sheet=A0&amp;row=247&amp;col=10&amp;number=0&amp;sourceID=11","0")</f>
        <v>0</v>
      </c>
      <c r="K247" s="4" t="str">
        <f>HYPERLINK("http://141.218.60.56/~jnz1568/getInfo.php?workbook=07_01.xlsx&amp;sheet=A0&amp;row=247&amp;col=11&amp;number=&amp;sourceID=11","")</f>
        <v/>
      </c>
      <c r="L247" s="4" t="str">
        <f>HYPERLINK("http://141.218.60.56/~jnz1568/getInfo.php?workbook=07_01.xlsx&amp;sheet=A0&amp;row=247&amp;col=12&amp;number=0&amp;sourceID=11","0")</f>
        <v>0</v>
      </c>
      <c r="M247" s="4" t="str">
        <f>HYPERLINK("http://141.218.60.56/~jnz1568/getInfo.php?workbook=07_01.xlsx&amp;sheet=A0&amp;row=247&amp;col=13&amp;number=0&amp;sourceID=12","0")</f>
        <v>0</v>
      </c>
      <c r="N247" s="4" t="str">
        <f>HYPERLINK("http://141.218.60.56/~jnz1568/getInfo.php?workbook=07_01.xlsx&amp;sheet=A0&amp;row=247&amp;col=14&amp;number=&amp;sourceID=12","")</f>
        <v/>
      </c>
      <c r="O247" s="4" t="str">
        <f>HYPERLINK("http://141.218.60.56/~jnz1568/getInfo.php?workbook=07_01.xlsx&amp;sheet=A0&amp;row=247&amp;col=15&amp;number=0&amp;sourceID=12","0")</f>
        <v>0</v>
      </c>
      <c r="P247" s="4" t="str">
        <f>HYPERLINK("http://141.218.60.56/~jnz1568/getInfo.php?workbook=07_01.xlsx&amp;sheet=A0&amp;row=247&amp;col=16&amp;number=&amp;sourceID=12","")</f>
        <v/>
      </c>
      <c r="Q247" s="4" t="str">
        <f>HYPERLINK("http://141.218.60.56/~jnz1568/getInfo.php?workbook=07_01.xlsx&amp;sheet=A0&amp;row=247&amp;col=17&amp;number=0&amp;sourceID=12","0")</f>
        <v>0</v>
      </c>
      <c r="R247" s="4" t="str">
        <f>HYPERLINK("http://141.218.60.56/~jnz1568/getInfo.php?workbook=07_01.xlsx&amp;sheet=A0&amp;row=247&amp;col=18&amp;number=&amp;sourceID=12","")</f>
        <v/>
      </c>
      <c r="S247" s="4" t="str">
        <f>HYPERLINK("http://141.218.60.56/~jnz1568/getInfo.php?workbook=07_01.xlsx&amp;sheet=A0&amp;row=247&amp;col=19&amp;number=0&amp;sourceID=12","0")</f>
        <v>0</v>
      </c>
      <c r="T247" s="4" t="str">
        <f>HYPERLINK("http://141.218.60.56/~jnz1568/getInfo.php?workbook=07_01.xlsx&amp;sheet=A0&amp;row=247&amp;col=20&amp;number==SUM(U247:X247)&amp;sourceID=30","=SUM(U247:X247)")</f>
        <v>=SUM(U247:X247)</v>
      </c>
      <c r="U247" s="4" t="str">
        <f>HYPERLINK("http://141.218.60.56/~jnz1568/getInfo.php?workbook=07_01.xlsx&amp;sheet=A0&amp;row=247&amp;col=21&amp;number=&amp;sourceID=30","")</f>
        <v/>
      </c>
      <c r="V247" s="4" t="str">
        <f>HYPERLINK("http://141.218.60.56/~jnz1568/getInfo.php?workbook=07_01.xlsx&amp;sheet=A0&amp;row=247&amp;col=22&amp;number=0&amp;sourceID=30","0")</f>
        <v>0</v>
      </c>
      <c r="W247" s="4" t="str">
        <f>HYPERLINK("http://141.218.60.56/~jnz1568/getInfo.php?workbook=07_01.xlsx&amp;sheet=A0&amp;row=247&amp;col=23&amp;number=0&amp;sourceID=30","0")</f>
        <v>0</v>
      </c>
      <c r="X247" s="4" t="str">
        <f>HYPERLINK("http://141.218.60.56/~jnz1568/getInfo.php?workbook=07_01.xlsx&amp;sheet=A0&amp;row=247&amp;col=24&amp;number=&amp;sourceID=30","")</f>
        <v/>
      </c>
      <c r="Y247" s="4" t="str">
        <f>HYPERLINK("http://141.218.60.56/~jnz1568/getInfo.php?workbook=07_01.xlsx&amp;sheet=A0&amp;row=247&amp;col=25&amp;number=&amp;sourceID=13","")</f>
        <v/>
      </c>
      <c r="Z247" s="4" t="str">
        <f>HYPERLINK("http://141.218.60.56/~jnz1568/getInfo.php?workbook=07_01.xlsx&amp;sheet=A0&amp;row=247&amp;col=26&amp;number=&amp;sourceID=13","")</f>
        <v/>
      </c>
      <c r="AA247" s="4" t="str">
        <f>HYPERLINK("http://141.218.60.56/~jnz1568/getInfo.php?workbook=07_01.xlsx&amp;sheet=A0&amp;row=247&amp;col=27&amp;number=&amp;sourceID=13","")</f>
        <v/>
      </c>
      <c r="AB247" s="4" t="str">
        <f>HYPERLINK("http://141.218.60.56/~jnz1568/getInfo.php?workbook=07_01.xlsx&amp;sheet=A0&amp;row=247&amp;col=28&amp;number=&amp;sourceID=13","")</f>
        <v/>
      </c>
      <c r="AC247" s="4" t="str">
        <f>HYPERLINK("http://141.218.60.56/~jnz1568/getInfo.php?workbook=07_01.xlsx&amp;sheet=A0&amp;row=247&amp;col=29&amp;number=&amp;sourceID=13","")</f>
        <v/>
      </c>
      <c r="AD247" s="4" t="str">
        <f>HYPERLINK("http://141.218.60.56/~jnz1568/getInfo.php?workbook=07_01.xlsx&amp;sheet=A0&amp;row=247&amp;col=30&amp;number=&amp;sourceID=13","")</f>
        <v/>
      </c>
    </row>
    <row r="248" spans="1:30">
      <c r="A248" s="3">
        <v>7</v>
      </c>
      <c r="B248" s="3">
        <v>1</v>
      </c>
      <c r="C248" s="3">
        <v>24</v>
      </c>
      <c r="D248" s="3">
        <v>1</v>
      </c>
      <c r="E248" s="3">
        <f>((1/(INDEX(E0!J$4:J$28,C248,1)-INDEX(E0!J$4:J$28,D248,1))))*100000000</f>
        <v>0</v>
      </c>
      <c r="F248" s="4" t="str">
        <f>HYPERLINK("http://141.218.60.56/~jnz1568/getInfo.php?workbook=07_01.xlsx&amp;sheet=A0&amp;row=248&amp;col=6&amp;number==&amp;sourceID=11","=")</f>
        <v>=</v>
      </c>
      <c r="G248" s="4" t="str">
        <f>HYPERLINK("http://141.218.60.56/~jnz1568/getInfo.php?workbook=07_01.xlsx&amp;sheet=A0&amp;row=248&amp;col=7&amp;number=&amp;sourceID=11","")</f>
        <v/>
      </c>
      <c r="H248" s="4" t="str">
        <f>HYPERLINK("http://141.218.60.56/~jnz1568/getInfo.php?workbook=07_01.xlsx&amp;sheet=A0&amp;row=248&amp;col=8&amp;number=&amp;sourceID=11","")</f>
        <v/>
      </c>
      <c r="I248" s="4" t="str">
        <f>HYPERLINK("http://141.218.60.56/~jnz1568/getInfo.php?workbook=07_01.xlsx&amp;sheet=A0&amp;row=248&amp;col=9&amp;number=1475.8&amp;sourceID=11","1475.8")</f>
        <v>1475.8</v>
      </c>
      <c r="J248" s="4" t="str">
        <f>HYPERLINK("http://141.218.60.56/~jnz1568/getInfo.php?workbook=07_01.xlsx&amp;sheet=A0&amp;row=248&amp;col=10&amp;number=&amp;sourceID=11","")</f>
        <v/>
      </c>
      <c r="K248" s="4" t="str">
        <f>HYPERLINK("http://141.218.60.56/~jnz1568/getInfo.php?workbook=07_01.xlsx&amp;sheet=A0&amp;row=248&amp;col=11&amp;number=&amp;sourceID=11","")</f>
        <v/>
      </c>
      <c r="L248" s="4" t="str">
        <f>HYPERLINK("http://141.218.60.56/~jnz1568/getInfo.php?workbook=07_01.xlsx&amp;sheet=A0&amp;row=248&amp;col=12&amp;number=&amp;sourceID=11","")</f>
        <v/>
      </c>
      <c r="M248" s="4" t="str">
        <f>HYPERLINK("http://141.218.60.56/~jnz1568/getInfo.php?workbook=07_01.xlsx&amp;sheet=A0&amp;row=248&amp;col=13&amp;number=1475.9&amp;sourceID=12","1475.9")</f>
        <v>1475.9</v>
      </c>
      <c r="N248" s="4" t="str">
        <f>HYPERLINK("http://141.218.60.56/~jnz1568/getInfo.php?workbook=07_01.xlsx&amp;sheet=A0&amp;row=248&amp;col=14&amp;number=&amp;sourceID=12","")</f>
        <v/>
      </c>
      <c r="O248" s="4" t="str">
        <f>HYPERLINK("http://141.218.60.56/~jnz1568/getInfo.php?workbook=07_01.xlsx&amp;sheet=A0&amp;row=248&amp;col=15&amp;number=&amp;sourceID=12","")</f>
        <v/>
      </c>
      <c r="P248" s="4" t="str">
        <f>HYPERLINK("http://141.218.60.56/~jnz1568/getInfo.php?workbook=07_01.xlsx&amp;sheet=A0&amp;row=248&amp;col=16&amp;number=1475.9&amp;sourceID=12","1475.9")</f>
        <v>1475.9</v>
      </c>
      <c r="Q248" s="4" t="str">
        <f>HYPERLINK("http://141.218.60.56/~jnz1568/getInfo.php?workbook=07_01.xlsx&amp;sheet=A0&amp;row=248&amp;col=17&amp;number=&amp;sourceID=12","")</f>
        <v/>
      </c>
      <c r="R248" s="4" t="str">
        <f>HYPERLINK("http://141.218.60.56/~jnz1568/getInfo.php?workbook=07_01.xlsx&amp;sheet=A0&amp;row=248&amp;col=18&amp;number=&amp;sourceID=12","")</f>
        <v/>
      </c>
      <c r="S248" s="4" t="str">
        <f>HYPERLINK("http://141.218.60.56/~jnz1568/getInfo.php?workbook=07_01.xlsx&amp;sheet=A0&amp;row=248&amp;col=19&amp;number=&amp;sourceID=12","")</f>
        <v/>
      </c>
      <c r="T248" s="4" t="str">
        <f>HYPERLINK("http://141.218.60.56/~jnz1568/getInfo.php?workbook=07_01.xlsx&amp;sheet=A0&amp;row=248&amp;col=20&amp;number=&amp;sourceID=30","")</f>
        <v/>
      </c>
      <c r="U248" s="4" t="str">
        <f>HYPERLINK("http://141.218.60.56/~jnz1568/getInfo.php?workbook=07_01.xlsx&amp;sheet=A0&amp;row=248&amp;col=21&amp;number=&amp;sourceID=30","")</f>
        <v/>
      </c>
      <c r="V248" s="4" t="str">
        <f>HYPERLINK("http://141.218.60.56/~jnz1568/getInfo.php?workbook=07_01.xlsx&amp;sheet=A0&amp;row=248&amp;col=22&amp;number=&amp;sourceID=30","")</f>
        <v/>
      </c>
      <c r="W248" s="4" t="str">
        <f>HYPERLINK("http://141.218.60.56/~jnz1568/getInfo.php?workbook=07_01.xlsx&amp;sheet=A0&amp;row=248&amp;col=23&amp;number=&amp;sourceID=30","")</f>
        <v/>
      </c>
      <c r="X248" s="4" t="str">
        <f>HYPERLINK("http://141.218.60.56/~jnz1568/getInfo.php?workbook=07_01.xlsx&amp;sheet=A0&amp;row=248&amp;col=24&amp;number=&amp;sourceID=30","")</f>
        <v/>
      </c>
      <c r="Y248" s="4" t="str">
        <f>HYPERLINK("http://141.218.60.56/~jnz1568/getInfo.php?workbook=07_01.xlsx&amp;sheet=A0&amp;row=248&amp;col=25&amp;number=&amp;sourceID=13","")</f>
        <v/>
      </c>
      <c r="Z248" s="4" t="str">
        <f>HYPERLINK("http://141.218.60.56/~jnz1568/getInfo.php?workbook=07_01.xlsx&amp;sheet=A0&amp;row=248&amp;col=26&amp;number=&amp;sourceID=13","")</f>
        <v/>
      </c>
      <c r="AA248" s="4" t="str">
        <f>HYPERLINK("http://141.218.60.56/~jnz1568/getInfo.php?workbook=07_01.xlsx&amp;sheet=A0&amp;row=248&amp;col=27&amp;number=&amp;sourceID=13","")</f>
        <v/>
      </c>
      <c r="AB248" s="4" t="str">
        <f>HYPERLINK("http://141.218.60.56/~jnz1568/getInfo.php?workbook=07_01.xlsx&amp;sheet=A0&amp;row=248&amp;col=28&amp;number=&amp;sourceID=13","")</f>
        <v/>
      </c>
      <c r="AC248" s="4" t="str">
        <f>HYPERLINK("http://141.218.60.56/~jnz1568/getInfo.php?workbook=07_01.xlsx&amp;sheet=A0&amp;row=248&amp;col=29&amp;number=&amp;sourceID=13","")</f>
        <v/>
      </c>
      <c r="AD248" s="4" t="str">
        <f>HYPERLINK("http://141.218.60.56/~jnz1568/getInfo.php?workbook=07_01.xlsx&amp;sheet=A0&amp;row=248&amp;col=30&amp;number=&amp;sourceID=13","")</f>
        <v/>
      </c>
    </row>
    <row r="249" spans="1:30">
      <c r="A249" s="3">
        <v>7</v>
      </c>
      <c r="B249" s="3">
        <v>1</v>
      </c>
      <c r="C249" s="3">
        <v>24</v>
      </c>
      <c r="D249" s="3">
        <v>2</v>
      </c>
      <c r="E249" s="3">
        <f>((1/(INDEX(E0!J$4:J$28,C249,1)-INDEX(E0!J$4:J$28,D249,1))))*100000000</f>
        <v>0</v>
      </c>
      <c r="F249" s="4" t="str">
        <f>HYPERLINK("http://141.218.60.56/~jnz1568/getInfo.php?workbook=07_01.xlsx&amp;sheet=A0&amp;row=249&amp;col=6&amp;number==&amp;sourceID=11","=")</f>
        <v>=</v>
      </c>
      <c r="G249" s="4" t="str">
        <f>HYPERLINK("http://141.218.60.56/~jnz1568/getInfo.php?workbook=07_01.xlsx&amp;sheet=A0&amp;row=249&amp;col=7&amp;number=&amp;sourceID=11","")</f>
        <v/>
      </c>
      <c r="H249" s="4" t="str">
        <f>HYPERLINK("http://141.218.60.56/~jnz1568/getInfo.php?workbook=07_01.xlsx&amp;sheet=A0&amp;row=249&amp;col=8&amp;number=&amp;sourceID=11","")</f>
        <v/>
      </c>
      <c r="I249" s="4" t="str">
        <f>HYPERLINK("http://141.218.60.56/~jnz1568/getInfo.php?workbook=07_01.xlsx&amp;sheet=A0&amp;row=249&amp;col=9&amp;number=&amp;sourceID=11","")</f>
        <v/>
      </c>
      <c r="J249" s="4" t="str">
        <f>HYPERLINK("http://141.218.60.56/~jnz1568/getInfo.php?workbook=07_01.xlsx&amp;sheet=A0&amp;row=249&amp;col=10&amp;number=&amp;sourceID=11","")</f>
        <v/>
      </c>
      <c r="K249" s="4" t="str">
        <f>HYPERLINK("http://141.218.60.56/~jnz1568/getInfo.php?workbook=07_01.xlsx&amp;sheet=A0&amp;row=249&amp;col=11&amp;number=&amp;sourceID=11","")</f>
        <v/>
      </c>
      <c r="L249" s="4" t="str">
        <f>HYPERLINK("http://141.218.60.56/~jnz1568/getInfo.php?workbook=07_01.xlsx&amp;sheet=A0&amp;row=249&amp;col=12&amp;number=0.026113&amp;sourceID=11","0.026113")</f>
        <v>0.026113</v>
      </c>
      <c r="M249" s="4" t="str">
        <f>HYPERLINK("http://141.218.60.56/~jnz1568/getInfo.php?workbook=07_01.xlsx&amp;sheet=A0&amp;row=249&amp;col=13&amp;number=0.026114&amp;sourceID=12","0.026114")</f>
        <v>0.026114</v>
      </c>
      <c r="N249" s="4" t="str">
        <f>HYPERLINK("http://141.218.60.56/~jnz1568/getInfo.php?workbook=07_01.xlsx&amp;sheet=A0&amp;row=249&amp;col=14&amp;number=&amp;sourceID=12","")</f>
        <v/>
      </c>
      <c r="O249" s="4" t="str">
        <f>HYPERLINK("http://141.218.60.56/~jnz1568/getInfo.php?workbook=07_01.xlsx&amp;sheet=A0&amp;row=249&amp;col=15&amp;number=&amp;sourceID=12","")</f>
        <v/>
      </c>
      <c r="P249" s="4" t="str">
        <f>HYPERLINK("http://141.218.60.56/~jnz1568/getInfo.php?workbook=07_01.xlsx&amp;sheet=A0&amp;row=249&amp;col=16&amp;number=&amp;sourceID=12","")</f>
        <v/>
      </c>
      <c r="Q249" s="4" t="str">
        <f>HYPERLINK("http://141.218.60.56/~jnz1568/getInfo.php?workbook=07_01.xlsx&amp;sheet=A0&amp;row=249&amp;col=17&amp;number=&amp;sourceID=12","")</f>
        <v/>
      </c>
      <c r="R249" s="4" t="str">
        <f>HYPERLINK("http://141.218.60.56/~jnz1568/getInfo.php?workbook=07_01.xlsx&amp;sheet=A0&amp;row=249&amp;col=18&amp;number=&amp;sourceID=12","")</f>
        <v/>
      </c>
      <c r="S249" s="4" t="str">
        <f>HYPERLINK("http://141.218.60.56/~jnz1568/getInfo.php?workbook=07_01.xlsx&amp;sheet=A0&amp;row=249&amp;col=19&amp;number=0.026114&amp;sourceID=12","0.026114")</f>
        <v>0.026114</v>
      </c>
      <c r="T249" s="4" t="str">
        <f>HYPERLINK("http://141.218.60.56/~jnz1568/getInfo.php?workbook=07_01.xlsx&amp;sheet=A0&amp;row=249&amp;col=20&amp;number=&amp;sourceID=30","")</f>
        <v/>
      </c>
      <c r="U249" s="4" t="str">
        <f>HYPERLINK("http://141.218.60.56/~jnz1568/getInfo.php?workbook=07_01.xlsx&amp;sheet=A0&amp;row=249&amp;col=21&amp;number=&amp;sourceID=30","")</f>
        <v/>
      </c>
      <c r="V249" s="4" t="str">
        <f>HYPERLINK("http://141.218.60.56/~jnz1568/getInfo.php?workbook=07_01.xlsx&amp;sheet=A0&amp;row=249&amp;col=22&amp;number=&amp;sourceID=30","")</f>
        <v/>
      </c>
      <c r="W249" s="4" t="str">
        <f>HYPERLINK("http://141.218.60.56/~jnz1568/getInfo.php?workbook=07_01.xlsx&amp;sheet=A0&amp;row=249&amp;col=23&amp;number=&amp;sourceID=30","")</f>
        <v/>
      </c>
      <c r="X249" s="4" t="str">
        <f>HYPERLINK("http://141.218.60.56/~jnz1568/getInfo.php?workbook=07_01.xlsx&amp;sheet=A0&amp;row=249&amp;col=24&amp;number=&amp;sourceID=30","")</f>
        <v/>
      </c>
      <c r="Y249" s="4" t="str">
        <f>HYPERLINK("http://141.218.60.56/~jnz1568/getInfo.php?workbook=07_01.xlsx&amp;sheet=A0&amp;row=249&amp;col=25&amp;number=&amp;sourceID=13","")</f>
        <v/>
      </c>
      <c r="Z249" s="4" t="str">
        <f>HYPERLINK("http://141.218.60.56/~jnz1568/getInfo.php?workbook=07_01.xlsx&amp;sheet=A0&amp;row=249&amp;col=26&amp;number=&amp;sourceID=13","")</f>
        <v/>
      </c>
      <c r="AA249" s="4" t="str">
        <f>HYPERLINK("http://141.218.60.56/~jnz1568/getInfo.php?workbook=07_01.xlsx&amp;sheet=A0&amp;row=249&amp;col=27&amp;number=&amp;sourceID=13","")</f>
        <v/>
      </c>
      <c r="AB249" s="4" t="str">
        <f>HYPERLINK("http://141.218.60.56/~jnz1568/getInfo.php?workbook=07_01.xlsx&amp;sheet=A0&amp;row=249&amp;col=28&amp;number=&amp;sourceID=13","")</f>
        <v/>
      </c>
      <c r="AC249" s="4" t="str">
        <f>HYPERLINK("http://141.218.60.56/~jnz1568/getInfo.php?workbook=07_01.xlsx&amp;sheet=A0&amp;row=249&amp;col=29&amp;number=&amp;sourceID=13","")</f>
        <v/>
      </c>
      <c r="AD249" s="4" t="str">
        <f>HYPERLINK("http://141.218.60.56/~jnz1568/getInfo.php?workbook=07_01.xlsx&amp;sheet=A0&amp;row=249&amp;col=30&amp;number=&amp;sourceID=13","")</f>
        <v/>
      </c>
    </row>
    <row r="250" spans="1:30">
      <c r="A250" s="3">
        <v>7</v>
      </c>
      <c r="B250" s="3">
        <v>1</v>
      </c>
      <c r="C250" s="3">
        <v>24</v>
      </c>
      <c r="D250" s="3">
        <v>3</v>
      </c>
      <c r="E250" s="3">
        <f>((1/(INDEX(E0!J$4:J$28,C250,1)-INDEX(E0!J$4:J$28,D250,1))))*100000000</f>
        <v>0</v>
      </c>
      <c r="F250" s="4" t="str">
        <f>HYPERLINK("http://141.218.60.56/~jnz1568/getInfo.php?workbook=07_01.xlsx&amp;sheet=A0&amp;row=250&amp;col=6&amp;number==&amp;sourceID=11","=")</f>
        <v>=</v>
      </c>
      <c r="G250" s="4" t="str">
        <f>HYPERLINK("http://141.218.60.56/~jnz1568/getInfo.php?workbook=07_01.xlsx&amp;sheet=A0&amp;row=250&amp;col=7&amp;number=&amp;sourceID=11","")</f>
        <v/>
      </c>
      <c r="H250" s="4" t="str">
        <f>HYPERLINK("http://141.218.60.56/~jnz1568/getInfo.php?workbook=07_01.xlsx&amp;sheet=A0&amp;row=250&amp;col=8&amp;number=&amp;sourceID=11","")</f>
        <v/>
      </c>
      <c r="I250" s="4" t="str">
        <f>HYPERLINK("http://141.218.60.56/~jnz1568/getInfo.php?workbook=07_01.xlsx&amp;sheet=A0&amp;row=250&amp;col=9&amp;number=407.23&amp;sourceID=11","407.23")</f>
        <v>407.23</v>
      </c>
      <c r="J250" s="4" t="str">
        <f>HYPERLINK("http://141.218.60.56/~jnz1568/getInfo.php?workbook=07_01.xlsx&amp;sheet=A0&amp;row=250&amp;col=10&amp;number=&amp;sourceID=11","")</f>
        <v/>
      </c>
      <c r="K250" s="4" t="str">
        <f>HYPERLINK("http://141.218.60.56/~jnz1568/getInfo.php?workbook=07_01.xlsx&amp;sheet=A0&amp;row=250&amp;col=11&amp;number=&amp;sourceID=11","")</f>
        <v/>
      </c>
      <c r="L250" s="4" t="str">
        <f>HYPERLINK("http://141.218.60.56/~jnz1568/getInfo.php?workbook=07_01.xlsx&amp;sheet=A0&amp;row=250&amp;col=12&amp;number=&amp;sourceID=11","")</f>
        <v/>
      </c>
      <c r="M250" s="4" t="str">
        <f>HYPERLINK("http://141.218.60.56/~jnz1568/getInfo.php?workbook=07_01.xlsx&amp;sheet=A0&amp;row=250&amp;col=13&amp;number=407.25&amp;sourceID=12","407.25")</f>
        <v>407.25</v>
      </c>
      <c r="N250" s="4" t="str">
        <f>HYPERLINK("http://141.218.60.56/~jnz1568/getInfo.php?workbook=07_01.xlsx&amp;sheet=A0&amp;row=250&amp;col=14&amp;number=&amp;sourceID=12","")</f>
        <v/>
      </c>
      <c r="O250" s="4" t="str">
        <f>HYPERLINK("http://141.218.60.56/~jnz1568/getInfo.php?workbook=07_01.xlsx&amp;sheet=A0&amp;row=250&amp;col=15&amp;number=&amp;sourceID=12","")</f>
        <v/>
      </c>
      <c r="P250" s="4" t="str">
        <f>HYPERLINK("http://141.218.60.56/~jnz1568/getInfo.php?workbook=07_01.xlsx&amp;sheet=A0&amp;row=250&amp;col=16&amp;number=407.25&amp;sourceID=12","407.25")</f>
        <v>407.25</v>
      </c>
      <c r="Q250" s="4" t="str">
        <f>HYPERLINK("http://141.218.60.56/~jnz1568/getInfo.php?workbook=07_01.xlsx&amp;sheet=A0&amp;row=250&amp;col=17&amp;number=&amp;sourceID=12","")</f>
        <v/>
      </c>
      <c r="R250" s="4" t="str">
        <f>HYPERLINK("http://141.218.60.56/~jnz1568/getInfo.php?workbook=07_01.xlsx&amp;sheet=A0&amp;row=250&amp;col=18&amp;number=&amp;sourceID=12","")</f>
        <v/>
      </c>
      <c r="S250" s="4" t="str">
        <f>HYPERLINK("http://141.218.60.56/~jnz1568/getInfo.php?workbook=07_01.xlsx&amp;sheet=A0&amp;row=250&amp;col=19&amp;number=&amp;sourceID=12","")</f>
        <v/>
      </c>
      <c r="T250" s="4" t="str">
        <f>HYPERLINK("http://141.218.60.56/~jnz1568/getInfo.php?workbook=07_01.xlsx&amp;sheet=A0&amp;row=250&amp;col=20&amp;number=&amp;sourceID=30","")</f>
        <v/>
      </c>
      <c r="U250" s="4" t="str">
        <f>HYPERLINK("http://141.218.60.56/~jnz1568/getInfo.php?workbook=07_01.xlsx&amp;sheet=A0&amp;row=250&amp;col=21&amp;number=&amp;sourceID=30","")</f>
        <v/>
      </c>
      <c r="V250" s="4" t="str">
        <f>HYPERLINK("http://141.218.60.56/~jnz1568/getInfo.php?workbook=07_01.xlsx&amp;sheet=A0&amp;row=250&amp;col=22&amp;number=&amp;sourceID=30","")</f>
        <v/>
      </c>
      <c r="W250" s="4" t="str">
        <f>HYPERLINK("http://141.218.60.56/~jnz1568/getInfo.php?workbook=07_01.xlsx&amp;sheet=A0&amp;row=250&amp;col=23&amp;number=&amp;sourceID=30","")</f>
        <v/>
      </c>
      <c r="X250" s="4" t="str">
        <f>HYPERLINK("http://141.218.60.56/~jnz1568/getInfo.php?workbook=07_01.xlsx&amp;sheet=A0&amp;row=250&amp;col=24&amp;number=&amp;sourceID=30","")</f>
        <v/>
      </c>
      <c r="Y250" s="4" t="str">
        <f>HYPERLINK("http://141.218.60.56/~jnz1568/getInfo.php?workbook=07_01.xlsx&amp;sheet=A0&amp;row=250&amp;col=25&amp;number=&amp;sourceID=13","")</f>
        <v/>
      </c>
      <c r="Z250" s="4" t="str">
        <f>HYPERLINK("http://141.218.60.56/~jnz1568/getInfo.php?workbook=07_01.xlsx&amp;sheet=A0&amp;row=250&amp;col=26&amp;number=&amp;sourceID=13","")</f>
        <v/>
      </c>
      <c r="AA250" s="4" t="str">
        <f>HYPERLINK("http://141.218.60.56/~jnz1568/getInfo.php?workbook=07_01.xlsx&amp;sheet=A0&amp;row=250&amp;col=27&amp;number=&amp;sourceID=13","")</f>
        <v/>
      </c>
      <c r="AB250" s="4" t="str">
        <f>HYPERLINK("http://141.218.60.56/~jnz1568/getInfo.php?workbook=07_01.xlsx&amp;sheet=A0&amp;row=250&amp;col=28&amp;number=&amp;sourceID=13","")</f>
        <v/>
      </c>
      <c r="AC250" s="4" t="str">
        <f>HYPERLINK("http://141.218.60.56/~jnz1568/getInfo.php?workbook=07_01.xlsx&amp;sheet=A0&amp;row=250&amp;col=29&amp;number=&amp;sourceID=13","")</f>
        <v/>
      </c>
      <c r="AD250" s="4" t="str">
        <f>HYPERLINK("http://141.218.60.56/~jnz1568/getInfo.php?workbook=07_01.xlsx&amp;sheet=A0&amp;row=250&amp;col=30&amp;number=&amp;sourceID=13","")</f>
        <v/>
      </c>
    </row>
    <row r="251" spans="1:30">
      <c r="A251" s="3">
        <v>7</v>
      </c>
      <c r="B251" s="3">
        <v>1</v>
      </c>
      <c r="C251" s="3">
        <v>24</v>
      </c>
      <c r="D251" s="3">
        <v>4</v>
      </c>
      <c r="E251" s="3">
        <f>((1/(INDEX(E0!J$4:J$28,C251,1)-INDEX(E0!J$4:J$28,D251,1))))*100000000</f>
        <v>0</v>
      </c>
      <c r="F251" s="4" t="str">
        <f>HYPERLINK("http://141.218.60.56/~jnz1568/getInfo.php?workbook=07_01.xlsx&amp;sheet=A0&amp;row=251&amp;col=6&amp;number==&amp;sourceID=11","=")</f>
        <v>=</v>
      </c>
      <c r="G251" s="4" t="str">
        <f>HYPERLINK("http://141.218.60.56/~jnz1568/getInfo.php?workbook=07_01.xlsx&amp;sheet=A0&amp;row=251&amp;col=7&amp;number=&amp;sourceID=11","")</f>
        <v/>
      </c>
      <c r="H251" s="4" t="str">
        <f>HYPERLINK("http://141.218.60.56/~jnz1568/getInfo.php?workbook=07_01.xlsx&amp;sheet=A0&amp;row=251&amp;col=8&amp;number=4858800&amp;sourceID=11","4858800")</f>
        <v>4858800</v>
      </c>
      <c r="I251" s="4" t="str">
        <f>HYPERLINK("http://141.218.60.56/~jnz1568/getInfo.php?workbook=07_01.xlsx&amp;sheet=A0&amp;row=251&amp;col=9&amp;number=&amp;sourceID=11","")</f>
        <v/>
      </c>
      <c r="J251" s="4" t="str">
        <f>HYPERLINK("http://141.218.60.56/~jnz1568/getInfo.php?workbook=07_01.xlsx&amp;sheet=A0&amp;row=251&amp;col=10&amp;number=&amp;sourceID=11","")</f>
        <v/>
      </c>
      <c r="K251" s="4" t="str">
        <f>HYPERLINK("http://141.218.60.56/~jnz1568/getInfo.php?workbook=07_01.xlsx&amp;sheet=A0&amp;row=251&amp;col=11&amp;number=&amp;sourceID=11","")</f>
        <v/>
      </c>
      <c r="L251" s="4" t="str">
        <f>HYPERLINK("http://141.218.60.56/~jnz1568/getInfo.php?workbook=07_01.xlsx&amp;sheet=A0&amp;row=251&amp;col=12&amp;number=0.078179&amp;sourceID=11","0.078179")</f>
        <v>0.078179</v>
      </c>
      <c r="M251" s="4" t="str">
        <f>HYPERLINK("http://141.218.60.56/~jnz1568/getInfo.php?workbook=07_01.xlsx&amp;sheet=A0&amp;row=251&amp;col=13&amp;number=4859000&amp;sourceID=12","4859000")</f>
        <v>4859000</v>
      </c>
      <c r="N251" s="4" t="str">
        <f>HYPERLINK("http://141.218.60.56/~jnz1568/getInfo.php?workbook=07_01.xlsx&amp;sheet=A0&amp;row=251&amp;col=14&amp;number=&amp;sourceID=12","")</f>
        <v/>
      </c>
      <c r="O251" s="4" t="str">
        <f>HYPERLINK("http://141.218.60.56/~jnz1568/getInfo.php?workbook=07_01.xlsx&amp;sheet=A0&amp;row=251&amp;col=15&amp;number=4859000&amp;sourceID=12","4859000")</f>
        <v>4859000</v>
      </c>
      <c r="P251" s="4" t="str">
        <f>HYPERLINK("http://141.218.60.56/~jnz1568/getInfo.php?workbook=07_01.xlsx&amp;sheet=A0&amp;row=251&amp;col=16&amp;number=&amp;sourceID=12","")</f>
        <v/>
      </c>
      <c r="Q251" s="4" t="str">
        <f>HYPERLINK("http://141.218.60.56/~jnz1568/getInfo.php?workbook=07_01.xlsx&amp;sheet=A0&amp;row=251&amp;col=17&amp;number=&amp;sourceID=12","")</f>
        <v/>
      </c>
      <c r="R251" s="4" t="str">
        <f>HYPERLINK("http://141.218.60.56/~jnz1568/getInfo.php?workbook=07_01.xlsx&amp;sheet=A0&amp;row=251&amp;col=18&amp;number=&amp;sourceID=12","")</f>
        <v/>
      </c>
      <c r="S251" s="4" t="str">
        <f>HYPERLINK("http://141.218.60.56/~jnz1568/getInfo.php?workbook=07_01.xlsx&amp;sheet=A0&amp;row=251&amp;col=19&amp;number=0.078182&amp;sourceID=12","0.078182")</f>
        <v>0.078182</v>
      </c>
      <c r="T251" s="4" t="str">
        <f>HYPERLINK("http://141.218.60.56/~jnz1568/getInfo.php?workbook=07_01.xlsx&amp;sheet=A0&amp;row=251&amp;col=20&amp;number==SUM(U251:X251)&amp;sourceID=30","=SUM(U251:X251)")</f>
        <v>=SUM(U251:X251)</v>
      </c>
      <c r="U251" s="4" t="str">
        <f>HYPERLINK("http://141.218.60.56/~jnz1568/getInfo.php?workbook=07_01.xlsx&amp;sheet=A0&amp;row=251&amp;col=21&amp;number=&amp;sourceID=30","")</f>
        <v/>
      </c>
      <c r="V251" s="4" t="str">
        <f>HYPERLINK("http://141.218.60.56/~jnz1568/getInfo.php?workbook=07_01.xlsx&amp;sheet=A0&amp;row=251&amp;col=22&amp;number=4859000&amp;sourceID=30","4859000")</f>
        <v>4859000</v>
      </c>
      <c r="W251" s="4" t="str">
        <f>HYPERLINK("http://141.218.60.56/~jnz1568/getInfo.php?workbook=07_01.xlsx&amp;sheet=A0&amp;row=251&amp;col=23&amp;number=&amp;sourceID=30","")</f>
        <v/>
      </c>
      <c r="X251" s="4" t="str">
        <f>HYPERLINK("http://141.218.60.56/~jnz1568/getInfo.php?workbook=07_01.xlsx&amp;sheet=A0&amp;row=251&amp;col=24&amp;number=&amp;sourceID=30","")</f>
        <v/>
      </c>
      <c r="Y251" s="4" t="str">
        <f>HYPERLINK("http://141.218.60.56/~jnz1568/getInfo.php?workbook=07_01.xlsx&amp;sheet=A0&amp;row=251&amp;col=25&amp;number=&amp;sourceID=13","")</f>
        <v/>
      </c>
      <c r="Z251" s="4" t="str">
        <f>HYPERLINK("http://141.218.60.56/~jnz1568/getInfo.php?workbook=07_01.xlsx&amp;sheet=A0&amp;row=251&amp;col=26&amp;number=&amp;sourceID=13","")</f>
        <v/>
      </c>
      <c r="AA251" s="4" t="str">
        <f>HYPERLINK("http://141.218.60.56/~jnz1568/getInfo.php?workbook=07_01.xlsx&amp;sheet=A0&amp;row=251&amp;col=27&amp;number=&amp;sourceID=13","")</f>
        <v/>
      </c>
      <c r="AB251" s="4" t="str">
        <f>HYPERLINK("http://141.218.60.56/~jnz1568/getInfo.php?workbook=07_01.xlsx&amp;sheet=A0&amp;row=251&amp;col=28&amp;number=&amp;sourceID=13","")</f>
        <v/>
      </c>
      <c r="AC251" s="4" t="str">
        <f>HYPERLINK("http://141.218.60.56/~jnz1568/getInfo.php?workbook=07_01.xlsx&amp;sheet=A0&amp;row=251&amp;col=29&amp;number=&amp;sourceID=13","")</f>
        <v/>
      </c>
      <c r="AD251" s="4" t="str">
        <f>HYPERLINK("http://141.218.60.56/~jnz1568/getInfo.php?workbook=07_01.xlsx&amp;sheet=A0&amp;row=251&amp;col=30&amp;number=&amp;sourceID=13","")</f>
        <v/>
      </c>
    </row>
    <row r="252" spans="1:30">
      <c r="A252" s="3">
        <v>7</v>
      </c>
      <c r="B252" s="3">
        <v>1</v>
      </c>
      <c r="C252" s="3">
        <v>24</v>
      </c>
      <c r="D252" s="3">
        <v>5</v>
      </c>
      <c r="E252" s="3">
        <f>((1/(INDEX(E0!J$4:J$28,C252,1)-INDEX(E0!J$4:J$28,D252,1))))*100000000</f>
        <v>0</v>
      </c>
      <c r="F252" s="4" t="str">
        <f>HYPERLINK("http://141.218.60.56/~jnz1568/getInfo.php?workbook=07_01.xlsx&amp;sheet=A0&amp;row=252&amp;col=6&amp;number==&amp;sourceID=11","=")</f>
        <v>=</v>
      </c>
      <c r="G252" s="4" t="str">
        <f>HYPERLINK("http://141.218.60.56/~jnz1568/getInfo.php?workbook=07_01.xlsx&amp;sheet=A0&amp;row=252&amp;col=7&amp;number=&amp;sourceID=11","")</f>
        <v/>
      </c>
      <c r="H252" s="4" t="str">
        <f>HYPERLINK("http://141.218.60.56/~jnz1568/getInfo.php?workbook=07_01.xlsx&amp;sheet=A0&amp;row=252&amp;col=8&amp;number=&amp;sourceID=11","")</f>
        <v/>
      </c>
      <c r="I252" s="4" t="str">
        <f>HYPERLINK("http://141.218.60.56/~jnz1568/getInfo.php?workbook=07_01.xlsx&amp;sheet=A0&amp;row=252&amp;col=9&amp;number=&amp;sourceID=11","")</f>
        <v/>
      </c>
      <c r="J252" s="4" t="str">
        <f>HYPERLINK("http://141.218.60.56/~jnz1568/getInfo.php?workbook=07_01.xlsx&amp;sheet=A0&amp;row=252&amp;col=10&amp;number=&amp;sourceID=11","")</f>
        <v/>
      </c>
      <c r="K252" s="4" t="str">
        <f>HYPERLINK("http://141.218.60.56/~jnz1568/getInfo.php?workbook=07_01.xlsx&amp;sheet=A0&amp;row=252&amp;col=11&amp;number=&amp;sourceID=11","")</f>
        <v/>
      </c>
      <c r="L252" s="4" t="str">
        <f>HYPERLINK("http://141.218.60.56/~jnz1568/getInfo.php?workbook=07_01.xlsx&amp;sheet=A0&amp;row=252&amp;col=12&amp;number=1.9876e-06&amp;sourceID=11","1.9876e-06")</f>
        <v>1.9876e-06</v>
      </c>
      <c r="M252" s="4" t="str">
        <f>HYPERLINK("http://141.218.60.56/~jnz1568/getInfo.php?workbook=07_01.xlsx&amp;sheet=A0&amp;row=252&amp;col=13&amp;number=1.9877e-06&amp;sourceID=12","1.9877e-06")</f>
        <v>1.9877e-06</v>
      </c>
      <c r="N252" s="4" t="str">
        <f>HYPERLINK("http://141.218.60.56/~jnz1568/getInfo.php?workbook=07_01.xlsx&amp;sheet=A0&amp;row=252&amp;col=14&amp;number=&amp;sourceID=12","")</f>
        <v/>
      </c>
      <c r="O252" s="4" t="str">
        <f>HYPERLINK("http://141.218.60.56/~jnz1568/getInfo.php?workbook=07_01.xlsx&amp;sheet=A0&amp;row=252&amp;col=15&amp;number=&amp;sourceID=12","")</f>
        <v/>
      </c>
      <c r="P252" s="4" t="str">
        <f>HYPERLINK("http://141.218.60.56/~jnz1568/getInfo.php?workbook=07_01.xlsx&amp;sheet=A0&amp;row=252&amp;col=16&amp;number=&amp;sourceID=12","")</f>
        <v/>
      </c>
      <c r="Q252" s="4" t="str">
        <f>HYPERLINK("http://141.218.60.56/~jnz1568/getInfo.php?workbook=07_01.xlsx&amp;sheet=A0&amp;row=252&amp;col=17&amp;number=&amp;sourceID=12","")</f>
        <v/>
      </c>
      <c r="R252" s="4" t="str">
        <f>HYPERLINK("http://141.218.60.56/~jnz1568/getInfo.php?workbook=07_01.xlsx&amp;sheet=A0&amp;row=252&amp;col=18&amp;number=&amp;sourceID=12","")</f>
        <v/>
      </c>
      <c r="S252" s="4" t="str">
        <f>HYPERLINK("http://141.218.60.56/~jnz1568/getInfo.php?workbook=07_01.xlsx&amp;sheet=A0&amp;row=252&amp;col=19&amp;number=1.9877e-06&amp;sourceID=12","1.9877e-06")</f>
        <v>1.9877e-06</v>
      </c>
      <c r="T252" s="4" t="str">
        <f>HYPERLINK("http://141.218.60.56/~jnz1568/getInfo.php?workbook=07_01.xlsx&amp;sheet=A0&amp;row=252&amp;col=20&amp;number=&amp;sourceID=30","")</f>
        <v/>
      </c>
      <c r="U252" s="4" t="str">
        <f>HYPERLINK("http://141.218.60.56/~jnz1568/getInfo.php?workbook=07_01.xlsx&amp;sheet=A0&amp;row=252&amp;col=21&amp;number=&amp;sourceID=30","")</f>
        <v/>
      </c>
      <c r="V252" s="4" t="str">
        <f>HYPERLINK("http://141.218.60.56/~jnz1568/getInfo.php?workbook=07_01.xlsx&amp;sheet=A0&amp;row=252&amp;col=22&amp;number=&amp;sourceID=30","")</f>
        <v/>
      </c>
      <c r="W252" s="4" t="str">
        <f>HYPERLINK("http://141.218.60.56/~jnz1568/getInfo.php?workbook=07_01.xlsx&amp;sheet=A0&amp;row=252&amp;col=23&amp;number=&amp;sourceID=30","")</f>
        <v/>
      </c>
      <c r="X252" s="4" t="str">
        <f>HYPERLINK("http://141.218.60.56/~jnz1568/getInfo.php?workbook=07_01.xlsx&amp;sheet=A0&amp;row=252&amp;col=24&amp;number=&amp;sourceID=30","")</f>
        <v/>
      </c>
      <c r="Y252" s="4" t="str">
        <f>HYPERLINK("http://141.218.60.56/~jnz1568/getInfo.php?workbook=07_01.xlsx&amp;sheet=A0&amp;row=252&amp;col=25&amp;number=&amp;sourceID=13","")</f>
        <v/>
      </c>
      <c r="Z252" s="4" t="str">
        <f>HYPERLINK("http://141.218.60.56/~jnz1568/getInfo.php?workbook=07_01.xlsx&amp;sheet=A0&amp;row=252&amp;col=26&amp;number=&amp;sourceID=13","")</f>
        <v/>
      </c>
      <c r="AA252" s="4" t="str">
        <f>HYPERLINK("http://141.218.60.56/~jnz1568/getInfo.php?workbook=07_01.xlsx&amp;sheet=A0&amp;row=252&amp;col=27&amp;number=&amp;sourceID=13","")</f>
        <v/>
      </c>
      <c r="AB252" s="4" t="str">
        <f>HYPERLINK("http://141.218.60.56/~jnz1568/getInfo.php?workbook=07_01.xlsx&amp;sheet=A0&amp;row=252&amp;col=28&amp;number=&amp;sourceID=13","")</f>
        <v/>
      </c>
      <c r="AC252" s="4" t="str">
        <f>HYPERLINK("http://141.218.60.56/~jnz1568/getInfo.php?workbook=07_01.xlsx&amp;sheet=A0&amp;row=252&amp;col=29&amp;number=&amp;sourceID=13","")</f>
        <v/>
      </c>
      <c r="AD252" s="4" t="str">
        <f>HYPERLINK("http://141.218.60.56/~jnz1568/getInfo.php?workbook=07_01.xlsx&amp;sheet=A0&amp;row=252&amp;col=30&amp;number=&amp;sourceID=13","")</f>
        <v/>
      </c>
    </row>
    <row r="253" spans="1:30">
      <c r="A253" s="3">
        <v>7</v>
      </c>
      <c r="B253" s="3">
        <v>1</v>
      </c>
      <c r="C253" s="3">
        <v>24</v>
      </c>
      <c r="D253" s="3">
        <v>6</v>
      </c>
      <c r="E253" s="3">
        <f>((1/(INDEX(E0!J$4:J$28,C253,1)-INDEX(E0!J$4:J$28,D253,1))))*100000000</f>
        <v>0</v>
      </c>
      <c r="F253" s="4" t="str">
        <f>HYPERLINK("http://141.218.60.56/~jnz1568/getInfo.php?workbook=07_01.xlsx&amp;sheet=A0&amp;row=253&amp;col=6&amp;number==&amp;sourceID=11","=")</f>
        <v>=</v>
      </c>
      <c r="G253" s="4" t="str">
        <f>HYPERLINK("http://141.218.60.56/~jnz1568/getInfo.php?workbook=07_01.xlsx&amp;sheet=A0&amp;row=253&amp;col=7&amp;number=&amp;sourceID=11","")</f>
        <v/>
      </c>
      <c r="H253" s="4" t="str">
        <f>HYPERLINK("http://141.218.60.56/~jnz1568/getInfo.php?workbook=07_01.xlsx&amp;sheet=A0&amp;row=253&amp;col=8&amp;number=&amp;sourceID=11","")</f>
        <v/>
      </c>
      <c r="I253" s="4" t="str">
        <f>HYPERLINK("http://141.218.60.56/~jnz1568/getInfo.php?workbook=07_01.xlsx&amp;sheet=A0&amp;row=253&amp;col=9&amp;number=6.1147&amp;sourceID=11","6.1147")</f>
        <v>6.1147</v>
      </c>
      <c r="J253" s="4" t="str">
        <f>HYPERLINK("http://141.218.60.56/~jnz1568/getInfo.php?workbook=07_01.xlsx&amp;sheet=A0&amp;row=253&amp;col=10&amp;number=&amp;sourceID=11","")</f>
        <v/>
      </c>
      <c r="K253" s="4" t="str">
        <f>HYPERLINK("http://141.218.60.56/~jnz1568/getInfo.php?workbook=07_01.xlsx&amp;sheet=A0&amp;row=253&amp;col=11&amp;number=&amp;sourceID=11","")</f>
        <v/>
      </c>
      <c r="L253" s="4" t="str">
        <f>HYPERLINK("http://141.218.60.56/~jnz1568/getInfo.php?workbook=07_01.xlsx&amp;sheet=A0&amp;row=253&amp;col=12&amp;number=&amp;sourceID=11","")</f>
        <v/>
      </c>
      <c r="M253" s="4" t="str">
        <f>HYPERLINK("http://141.218.60.56/~jnz1568/getInfo.php?workbook=07_01.xlsx&amp;sheet=A0&amp;row=253&amp;col=13&amp;number=6.115&amp;sourceID=12","6.115")</f>
        <v>6.115</v>
      </c>
      <c r="N253" s="4" t="str">
        <f>HYPERLINK("http://141.218.60.56/~jnz1568/getInfo.php?workbook=07_01.xlsx&amp;sheet=A0&amp;row=253&amp;col=14&amp;number=&amp;sourceID=12","")</f>
        <v/>
      </c>
      <c r="O253" s="4" t="str">
        <f>HYPERLINK("http://141.218.60.56/~jnz1568/getInfo.php?workbook=07_01.xlsx&amp;sheet=A0&amp;row=253&amp;col=15&amp;number=&amp;sourceID=12","")</f>
        <v/>
      </c>
      <c r="P253" s="4" t="str">
        <f>HYPERLINK("http://141.218.60.56/~jnz1568/getInfo.php?workbook=07_01.xlsx&amp;sheet=A0&amp;row=253&amp;col=16&amp;number=6.115&amp;sourceID=12","6.115")</f>
        <v>6.115</v>
      </c>
      <c r="Q253" s="4" t="str">
        <f>HYPERLINK("http://141.218.60.56/~jnz1568/getInfo.php?workbook=07_01.xlsx&amp;sheet=A0&amp;row=253&amp;col=17&amp;number=&amp;sourceID=12","")</f>
        <v/>
      </c>
      <c r="R253" s="4" t="str">
        <f>HYPERLINK("http://141.218.60.56/~jnz1568/getInfo.php?workbook=07_01.xlsx&amp;sheet=A0&amp;row=253&amp;col=18&amp;number=&amp;sourceID=12","")</f>
        <v/>
      </c>
      <c r="S253" s="4" t="str">
        <f>HYPERLINK("http://141.218.60.56/~jnz1568/getInfo.php?workbook=07_01.xlsx&amp;sheet=A0&amp;row=253&amp;col=19&amp;number=&amp;sourceID=12","")</f>
        <v/>
      </c>
      <c r="T253" s="4" t="str">
        <f>HYPERLINK("http://141.218.60.56/~jnz1568/getInfo.php?workbook=07_01.xlsx&amp;sheet=A0&amp;row=253&amp;col=20&amp;number=&amp;sourceID=30","")</f>
        <v/>
      </c>
      <c r="U253" s="4" t="str">
        <f>HYPERLINK("http://141.218.60.56/~jnz1568/getInfo.php?workbook=07_01.xlsx&amp;sheet=A0&amp;row=253&amp;col=21&amp;number=&amp;sourceID=30","")</f>
        <v/>
      </c>
      <c r="V253" s="4" t="str">
        <f>HYPERLINK("http://141.218.60.56/~jnz1568/getInfo.php?workbook=07_01.xlsx&amp;sheet=A0&amp;row=253&amp;col=22&amp;number=&amp;sourceID=30","")</f>
        <v/>
      </c>
      <c r="W253" s="4" t="str">
        <f>HYPERLINK("http://141.218.60.56/~jnz1568/getInfo.php?workbook=07_01.xlsx&amp;sheet=A0&amp;row=253&amp;col=23&amp;number=&amp;sourceID=30","")</f>
        <v/>
      </c>
      <c r="X253" s="4" t="str">
        <f>HYPERLINK("http://141.218.60.56/~jnz1568/getInfo.php?workbook=07_01.xlsx&amp;sheet=A0&amp;row=253&amp;col=24&amp;number=&amp;sourceID=30","")</f>
        <v/>
      </c>
      <c r="Y253" s="4" t="str">
        <f>HYPERLINK("http://141.218.60.56/~jnz1568/getInfo.php?workbook=07_01.xlsx&amp;sheet=A0&amp;row=253&amp;col=25&amp;number=&amp;sourceID=13","")</f>
        <v/>
      </c>
      <c r="Z253" s="4" t="str">
        <f>HYPERLINK("http://141.218.60.56/~jnz1568/getInfo.php?workbook=07_01.xlsx&amp;sheet=A0&amp;row=253&amp;col=26&amp;number=&amp;sourceID=13","")</f>
        <v/>
      </c>
      <c r="AA253" s="4" t="str">
        <f>HYPERLINK("http://141.218.60.56/~jnz1568/getInfo.php?workbook=07_01.xlsx&amp;sheet=A0&amp;row=253&amp;col=27&amp;number=&amp;sourceID=13","")</f>
        <v/>
      </c>
      <c r="AB253" s="4" t="str">
        <f>HYPERLINK("http://141.218.60.56/~jnz1568/getInfo.php?workbook=07_01.xlsx&amp;sheet=A0&amp;row=253&amp;col=28&amp;number=&amp;sourceID=13","")</f>
        <v/>
      </c>
      <c r="AC253" s="4" t="str">
        <f>HYPERLINK("http://141.218.60.56/~jnz1568/getInfo.php?workbook=07_01.xlsx&amp;sheet=A0&amp;row=253&amp;col=29&amp;number=&amp;sourceID=13","")</f>
        <v/>
      </c>
      <c r="AD253" s="4" t="str">
        <f>HYPERLINK("http://141.218.60.56/~jnz1568/getInfo.php?workbook=07_01.xlsx&amp;sheet=A0&amp;row=253&amp;col=30&amp;number=&amp;sourceID=13","")</f>
        <v/>
      </c>
    </row>
    <row r="254" spans="1:30">
      <c r="A254" s="3">
        <v>7</v>
      </c>
      <c r="B254" s="3">
        <v>1</v>
      </c>
      <c r="C254" s="3">
        <v>24</v>
      </c>
      <c r="D254" s="3">
        <v>7</v>
      </c>
      <c r="E254" s="3">
        <f>((1/(INDEX(E0!J$4:J$28,C254,1)-INDEX(E0!J$4:J$28,D254,1))))*100000000</f>
        <v>0</v>
      </c>
      <c r="F254" s="4" t="str">
        <f>HYPERLINK("http://141.218.60.56/~jnz1568/getInfo.php?workbook=07_01.xlsx&amp;sheet=A0&amp;row=254&amp;col=6&amp;number==&amp;sourceID=11","=")</f>
        <v>=</v>
      </c>
      <c r="G254" s="4" t="str">
        <f>HYPERLINK("http://141.218.60.56/~jnz1568/getInfo.php?workbook=07_01.xlsx&amp;sheet=A0&amp;row=254&amp;col=7&amp;number=&amp;sourceID=11","")</f>
        <v/>
      </c>
      <c r="H254" s="4" t="str">
        <f>HYPERLINK("http://141.218.60.56/~jnz1568/getInfo.php?workbook=07_01.xlsx&amp;sheet=A0&amp;row=254&amp;col=8&amp;number=&amp;sourceID=11","")</f>
        <v/>
      </c>
      <c r="I254" s="4" t="str">
        <f>HYPERLINK("http://141.218.60.56/~jnz1568/getInfo.php?workbook=07_01.xlsx&amp;sheet=A0&amp;row=254&amp;col=9&amp;number=0.066793&amp;sourceID=11","0.066793")</f>
        <v>0.066793</v>
      </c>
      <c r="J254" s="4" t="str">
        <f>HYPERLINK("http://141.218.60.56/~jnz1568/getInfo.php?workbook=07_01.xlsx&amp;sheet=A0&amp;row=254&amp;col=10&amp;number=&amp;sourceID=11","")</f>
        <v/>
      </c>
      <c r="K254" s="4" t="str">
        <f>HYPERLINK("http://141.218.60.56/~jnz1568/getInfo.php?workbook=07_01.xlsx&amp;sheet=A0&amp;row=254&amp;col=11&amp;number=5.0151&amp;sourceID=11","5.0151")</f>
        <v>5.0151</v>
      </c>
      <c r="L254" s="4" t="str">
        <f>HYPERLINK("http://141.218.60.56/~jnz1568/getInfo.php?workbook=07_01.xlsx&amp;sheet=A0&amp;row=254&amp;col=12&amp;number=&amp;sourceID=11","")</f>
        <v/>
      </c>
      <c r="M254" s="4" t="str">
        <f>HYPERLINK("http://141.218.60.56/~jnz1568/getInfo.php?workbook=07_01.xlsx&amp;sheet=A0&amp;row=254&amp;col=13&amp;number=5.0821&amp;sourceID=12","5.0821")</f>
        <v>5.0821</v>
      </c>
      <c r="N254" s="4" t="str">
        <f>HYPERLINK("http://141.218.60.56/~jnz1568/getInfo.php?workbook=07_01.xlsx&amp;sheet=A0&amp;row=254&amp;col=14&amp;number=&amp;sourceID=12","")</f>
        <v/>
      </c>
      <c r="O254" s="4" t="str">
        <f>HYPERLINK("http://141.218.60.56/~jnz1568/getInfo.php?workbook=07_01.xlsx&amp;sheet=A0&amp;row=254&amp;col=15&amp;number=&amp;sourceID=12","")</f>
        <v/>
      </c>
      <c r="P254" s="4" t="str">
        <f>HYPERLINK("http://141.218.60.56/~jnz1568/getInfo.php?workbook=07_01.xlsx&amp;sheet=A0&amp;row=254&amp;col=16&amp;number=0.066796&amp;sourceID=12","0.066796")</f>
        <v>0.066796</v>
      </c>
      <c r="Q254" s="4" t="str">
        <f>HYPERLINK("http://141.218.60.56/~jnz1568/getInfo.php?workbook=07_01.xlsx&amp;sheet=A0&amp;row=254&amp;col=17&amp;number=&amp;sourceID=12","")</f>
        <v/>
      </c>
      <c r="R254" s="4" t="str">
        <f>HYPERLINK("http://141.218.60.56/~jnz1568/getInfo.php?workbook=07_01.xlsx&amp;sheet=A0&amp;row=254&amp;col=18&amp;number=5.0153&amp;sourceID=12","5.0153")</f>
        <v>5.0153</v>
      </c>
      <c r="S254" s="4" t="str">
        <f>HYPERLINK("http://141.218.60.56/~jnz1568/getInfo.php?workbook=07_01.xlsx&amp;sheet=A0&amp;row=254&amp;col=19&amp;number=&amp;sourceID=12","")</f>
        <v/>
      </c>
      <c r="T254" s="4" t="str">
        <f>HYPERLINK("http://141.218.60.56/~jnz1568/getInfo.php?workbook=07_01.xlsx&amp;sheet=A0&amp;row=254&amp;col=20&amp;number==SUM(U254:X254)&amp;sourceID=30","=SUM(U254:X254)")</f>
        <v>=SUM(U254:X254)</v>
      </c>
      <c r="U254" s="4" t="str">
        <f>HYPERLINK("http://141.218.60.56/~jnz1568/getInfo.php?workbook=07_01.xlsx&amp;sheet=A0&amp;row=254&amp;col=21&amp;number=&amp;sourceID=30","")</f>
        <v/>
      </c>
      <c r="V254" s="4" t="str">
        <f>HYPERLINK("http://141.218.60.56/~jnz1568/getInfo.php?workbook=07_01.xlsx&amp;sheet=A0&amp;row=254&amp;col=22&amp;number=&amp;sourceID=30","")</f>
        <v/>
      </c>
      <c r="W254" s="4" t="str">
        <f>HYPERLINK("http://141.218.60.56/~jnz1568/getInfo.php?workbook=07_01.xlsx&amp;sheet=A0&amp;row=254&amp;col=23&amp;number=&amp;sourceID=30","")</f>
        <v/>
      </c>
      <c r="X254" s="4" t="str">
        <f>HYPERLINK("http://141.218.60.56/~jnz1568/getInfo.php?workbook=07_01.xlsx&amp;sheet=A0&amp;row=254&amp;col=24&amp;number=5.015&amp;sourceID=30","5.015")</f>
        <v>5.015</v>
      </c>
      <c r="Y254" s="4" t="str">
        <f>HYPERLINK("http://141.218.60.56/~jnz1568/getInfo.php?workbook=07_01.xlsx&amp;sheet=A0&amp;row=254&amp;col=25&amp;number=&amp;sourceID=13","")</f>
        <v/>
      </c>
      <c r="Z254" s="4" t="str">
        <f>HYPERLINK("http://141.218.60.56/~jnz1568/getInfo.php?workbook=07_01.xlsx&amp;sheet=A0&amp;row=254&amp;col=26&amp;number=&amp;sourceID=13","")</f>
        <v/>
      </c>
      <c r="AA254" s="4" t="str">
        <f>HYPERLINK("http://141.218.60.56/~jnz1568/getInfo.php?workbook=07_01.xlsx&amp;sheet=A0&amp;row=254&amp;col=27&amp;number=&amp;sourceID=13","")</f>
        <v/>
      </c>
      <c r="AB254" s="4" t="str">
        <f>HYPERLINK("http://141.218.60.56/~jnz1568/getInfo.php?workbook=07_01.xlsx&amp;sheet=A0&amp;row=254&amp;col=28&amp;number=&amp;sourceID=13","")</f>
        <v/>
      </c>
      <c r="AC254" s="4" t="str">
        <f>HYPERLINK("http://141.218.60.56/~jnz1568/getInfo.php?workbook=07_01.xlsx&amp;sheet=A0&amp;row=254&amp;col=29&amp;number=&amp;sourceID=13","")</f>
        <v/>
      </c>
      <c r="AD254" s="4" t="str">
        <f>HYPERLINK("http://141.218.60.56/~jnz1568/getInfo.php?workbook=07_01.xlsx&amp;sheet=A0&amp;row=254&amp;col=30&amp;number=&amp;sourceID=13","")</f>
        <v/>
      </c>
    </row>
    <row r="255" spans="1:30">
      <c r="A255" s="3">
        <v>7</v>
      </c>
      <c r="B255" s="3">
        <v>1</v>
      </c>
      <c r="C255" s="3">
        <v>24</v>
      </c>
      <c r="D255" s="3">
        <v>8</v>
      </c>
      <c r="E255" s="3">
        <f>((1/(INDEX(E0!J$4:J$28,C255,1)-INDEX(E0!J$4:J$28,D255,1))))*100000000</f>
        <v>0</v>
      </c>
      <c r="F255" s="4" t="str">
        <f>HYPERLINK("http://141.218.60.56/~jnz1568/getInfo.php?workbook=07_01.xlsx&amp;sheet=A0&amp;row=255&amp;col=6&amp;number==&amp;sourceID=11","=")</f>
        <v>=</v>
      </c>
      <c r="G255" s="4" t="str">
        <f>HYPERLINK("http://141.218.60.56/~jnz1568/getInfo.php?workbook=07_01.xlsx&amp;sheet=A0&amp;row=255&amp;col=7&amp;number=&amp;sourceID=11","")</f>
        <v/>
      </c>
      <c r="H255" s="4" t="str">
        <f>HYPERLINK("http://141.218.60.56/~jnz1568/getInfo.php?workbook=07_01.xlsx&amp;sheet=A0&amp;row=255&amp;col=8&amp;number=3085.9&amp;sourceID=11","3085.9")</f>
        <v>3085.9</v>
      </c>
      <c r="I255" s="4" t="str">
        <f>HYPERLINK("http://141.218.60.56/~jnz1568/getInfo.php?workbook=07_01.xlsx&amp;sheet=A0&amp;row=255&amp;col=9&amp;number=&amp;sourceID=11","")</f>
        <v/>
      </c>
      <c r="J255" s="4" t="str">
        <f>HYPERLINK("http://141.218.60.56/~jnz1568/getInfo.php?workbook=07_01.xlsx&amp;sheet=A0&amp;row=255&amp;col=10&amp;number=&amp;sourceID=11","")</f>
        <v/>
      </c>
      <c r="K255" s="4" t="str">
        <f>HYPERLINK("http://141.218.60.56/~jnz1568/getInfo.php?workbook=07_01.xlsx&amp;sheet=A0&amp;row=255&amp;col=11&amp;number=&amp;sourceID=11","")</f>
        <v/>
      </c>
      <c r="L255" s="4" t="str">
        <f>HYPERLINK("http://141.218.60.56/~jnz1568/getInfo.php?workbook=07_01.xlsx&amp;sheet=A0&amp;row=255&amp;col=12&amp;number=5.6878e-06&amp;sourceID=11","5.6878e-06")</f>
        <v>5.6878e-06</v>
      </c>
      <c r="M255" s="4" t="str">
        <f>HYPERLINK("http://141.218.60.56/~jnz1568/getInfo.php?workbook=07_01.xlsx&amp;sheet=A0&amp;row=255&amp;col=13&amp;number=3086&amp;sourceID=12","3086")</f>
        <v>3086</v>
      </c>
      <c r="N255" s="4" t="str">
        <f>HYPERLINK("http://141.218.60.56/~jnz1568/getInfo.php?workbook=07_01.xlsx&amp;sheet=A0&amp;row=255&amp;col=14&amp;number=&amp;sourceID=12","")</f>
        <v/>
      </c>
      <c r="O255" s="4" t="str">
        <f>HYPERLINK("http://141.218.60.56/~jnz1568/getInfo.php?workbook=07_01.xlsx&amp;sheet=A0&amp;row=255&amp;col=15&amp;number=3086&amp;sourceID=12","3086")</f>
        <v>3086</v>
      </c>
      <c r="P255" s="4" t="str">
        <f>HYPERLINK("http://141.218.60.56/~jnz1568/getInfo.php?workbook=07_01.xlsx&amp;sheet=A0&amp;row=255&amp;col=16&amp;number=&amp;sourceID=12","")</f>
        <v/>
      </c>
      <c r="Q255" s="4" t="str">
        <f>HYPERLINK("http://141.218.60.56/~jnz1568/getInfo.php?workbook=07_01.xlsx&amp;sheet=A0&amp;row=255&amp;col=17&amp;number=&amp;sourceID=12","")</f>
        <v/>
      </c>
      <c r="R255" s="4" t="str">
        <f>HYPERLINK("http://141.218.60.56/~jnz1568/getInfo.php?workbook=07_01.xlsx&amp;sheet=A0&amp;row=255&amp;col=18&amp;number=&amp;sourceID=12","")</f>
        <v/>
      </c>
      <c r="S255" s="4" t="str">
        <f>HYPERLINK("http://141.218.60.56/~jnz1568/getInfo.php?workbook=07_01.xlsx&amp;sheet=A0&amp;row=255&amp;col=19&amp;number=5.688e-06&amp;sourceID=12","5.688e-06")</f>
        <v>5.688e-06</v>
      </c>
      <c r="T255" s="4" t="str">
        <f>HYPERLINK("http://141.218.60.56/~jnz1568/getInfo.php?workbook=07_01.xlsx&amp;sheet=A0&amp;row=255&amp;col=20&amp;number==SUM(U255:X255)&amp;sourceID=30","=SUM(U255:X255)")</f>
        <v>=SUM(U255:X255)</v>
      </c>
      <c r="U255" s="4" t="str">
        <f>HYPERLINK("http://141.218.60.56/~jnz1568/getInfo.php?workbook=07_01.xlsx&amp;sheet=A0&amp;row=255&amp;col=21&amp;number=&amp;sourceID=30","")</f>
        <v/>
      </c>
      <c r="V255" s="4" t="str">
        <f>HYPERLINK("http://141.218.60.56/~jnz1568/getInfo.php?workbook=07_01.xlsx&amp;sheet=A0&amp;row=255&amp;col=22&amp;number=3086&amp;sourceID=30","3086")</f>
        <v>3086</v>
      </c>
      <c r="W255" s="4" t="str">
        <f>HYPERLINK("http://141.218.60.56/~jnz1568/getInfo.php?workbook=07_01.xlsx&amp;sheet=A0&amp;row=255&amp;col=23&amp;number=&amp;sourceID=30","")</f>
        <v/>
      </c>
      <c r="X255" s="4" t="str">
        <f>HYPERLINK("http://141.218.60.56/~jnz1568/getInfo.php?workbook=07_01.xlsx&amp;sheet=A0&amp;row=255&amp;col=24&amp;number=&amp;sourceID=30","")</f>
        <v/>
      </c>
      <c r="Y255" s="4" t="str">
        <f>HYPERLINK("http://141.218.60.56/~jnz1568/getInfo.php?workbook=07_01.xlsx&amp;sheet=A0&amp;row=255&amp;col=25&amp;number=&amp;sourceID=13","")</f>
        <v/>
      </c>
      <c r="Z255" s="4" t="str">
        <f>HYPERLINK("http://141.218.60.56/~jnz1568/getInfo.php?workbook=07_01.xlsx&amp;sheet=A0&amp;row=255&amp;col=26&amp;number=&amp;sourceID=13","")</f>
        <v/>
      </c>
      <c r="AA255" s="4" t="str">
        <f>HYPERLINK("http://141.218.60.56/~jnz1568/getInfo.php?workbook=07_01.xlsx&amp;sheet=A0&amp;row=255&amp;col=27&amp;number=&amp;sourceID=13","")</f>
        <v/>
      </c>
      <c r="AB255" s="4" t="str">
        <f>HYPERLINK("http://141.218.60.56/~jnz1568/getInfo.php?workbook=07_01.xlsx&amp;sheet=A0&amp;row=255&amp;col=28&amp;number=&amp;sourceID=13","")</f>
        <v/>
      </c>
      <c r="AC255" s="4" t="str">
        <f>HYPERLINK("http://141.218.60.56/~jnz1568/getInfo.php?workbook=07_01.xlsx&amp;sheet=A0&amp;row=255&amp;col=29&amp;number=&amp;sourceID=13","")</f>
        <v/>
      </c>
      <c r="AD255" s="4" t="str">
        <f>HYPERLINK("http://141.218.60.56/~jnz1568/getInfo.php?workbook=07_01.xlsx&amp;sheet=A0&amp;row=255&amp;col=30&amp;number=&amp;sourceID=13","")</f>
        <v/>
      </c>
    </row>
    <row r="256" spans="1:30">
      <c r="A256" s="3">
        <v>7</v>
      </c>
      <c r="B256" s="3">
        <v>1</v>
      </c>
      <c r="C256" s="3">
        <v>24</v>
      </c>
      <c r="D256" s="3">
        <v>9</v>
      </c>
      <c r="E256" s="3">
        <f>((1/(INDEX(E0!J$4:J$28,C256,1)-INDEX(E0!J$4:J$28,D256,1))))*100000000</f>
        <v>0</v>
      </c>
      <c r="F256" s="4" t="str">
        <f>HYPERLINK("http://141.218.60.56/~jnz1568/getInfo.php?workbook=07_01.xlsx&amp;sheet=A0&amp;row=256&amp;col=6&amp;number==&amp;sourceID=11","=")</f>
        <v>=</v>
      </c>
      <c r="G256" s="4" t="str">
        <f>HYPERLINK("http://141.218.60.56/~jnz1568/getInfo.php?workbook=07_01.xlsx&amp;sheet=A0&amp;row=256&amp;col=7&amp;number=10911000000&amp;sourceID=11","10911000000")</f>
        <v>10911000000</v>
      </c>
      <c r="H256" s="4" t="str">
        <f>HYPERLINK("http://141.218.60.56/~jnz1568/getInfo.php?workbook=07_01.xlsx&amp;sheet=A0&amp;row=256&amp;col=8&amp;number=&amp;sourceID=11","")</f>
        <v/>
      </c>
      <c r="I256" s="4" t="str">
        <f>HYPERLINK("http://141.218.60.56/~jnz1568/getInfo.php?workbook=07_01.xlsx&amp;sheet=A0&amp;row=256&amp;col=9&amp;number=0.20111&amp;sourceID=11","0.20111")</f>
        <v>0.20111</v>
      </c>
      <c r="J256" s="4" t="str">
        <f>HYPERLINK("http://141.218.60.56/~jnz1568/getInfo.php?workbook=07_01.xlsx&amp;sheet=A0&amp;row=256&amp;col=10&amp;number=&amp;sourceID=11","")</f>
        <v/>
      </c>
      <c r="K256" s="4" t="str">
        <f>HYPERLINK("http://141.218.60.56/~jnz1568/getInfo.php?workbook=07_01.xlsx&amp;sheet=A0&amp;row=256&amp;col=11&amp;number=34.512&amp;sourceID=11","34.512")</f>
        <v>34.512</v>
      </c>
      <c r="L256" s="4" t="str">
        <f>HYPERLINK("http://141.218.60.56/~jnz1568/getInfo.php?workbook=07_01.xlsx&amp;sheet=A0&amp;row=256&amp;col=12&amp;number=&amp;sourceID=11","")</f>
        <v/>
      </c>
      <c r="M256" s="4" t="str">
        <f>HYPERLINK("http://141.218.60.56/~jnz1568/getInfo.php?workbook=07_01.xlsx&amp;sheet=A0&amp;row=256&amp;col=13&amp;number=10912000000&amp;sourceID=12","10912000000")</f>
        <v>10912000000</v>
      </c>
      <c r="N256" s="4" t="str">
        <f>HYPERLINK("http://141.218.60.56/~jnz1568/getInfo.php?workbook=07_01.xlsx&amp;sheet=A0&amp;row=256&amp;col=14&amp;number=10912000000&amp;sourceID=12","10912000000")</f>
        <v>10912000000</v>
      </c>
      <c r="O256" s="4" t="str">
        <f>HYPERLINK("http://141.218.60.56/~jnz1568/getInfo.php?workbook=07_01.xlsx&amp;sheet=A0&amp;row=256&amp;col=15&amp;number=&amp;sourceID=12","")</f>
        <v/>
      </c>
      <c r="P256" s="4" t="str">
        <f>HYPERLINK("http://141.218.60.56/~jnz1568/getInfo.php?workbook=07_01.xlsx&amp;sheet=A0&amp;row=256&amp;col=16&amp;number=0.20112&amp;sourceID=12","0.20112")</f>
        <v>0.20112</v>
      </c>
      <c r="Q256" s="4" t="str">
        <f>HYPERLINK("http://141.218.60.56/~jnz1568/getInfo.php?workbook=07_01.xlsx&amp;sheet=A0&amp;row=256&amp;col=17&amp;number=&amp;sourceID=12","")</f>
        <v/>
      </c>
      <c r="R256" s="4" t="str">
        <f>HYPERLINK("http://141.218.60.56/~jnz1568/getInfo.php?workbook=07_01.xlsx&amp;sheet=A0&amp;row=256&amp;col=18&amp;number=34.513&amp;sourceID=12","34.513")</f>
        <v>34.513</v>
      </c>
      <c r="S256" s="4" t="str">
        <f>HYPERLINK("http://141.218.60.56/~jnz1568/getInfo.php?workbook=07_01.xlsx&amp;sheet=A0&amp;row=256&amp;col=19&amp;number=&amp;sourceID=12","")</f>
        <v/>
      </c>
      <c r="T256" s="4" t="str">
        <f>HYPERLINK("http://141.218.60.56/~jnz1568/getInfo.php?workbook=07_01.xlsx&amp;sheet=A0&amp;row=256&amp;col=20&amp;number==SUM(U256:X256)&amp;sourceID=30","=SUM(U256:X256)")</f>
        <v>=SUM(U256:X256)</v>
      </c>
      <c r="U256" s="4" t="str">
        <f>HYPERLINK("http://141.218.60.56/~jnz1568/getInfo.php?workbook=07_01.xlsx&amp;sheet=A0&amp;row=256&amp;col=21&amp;number=10910000000&amp;sourceID=30","10910000000")</f>
        <v>10910000000</v>
      </c>
      <c r="V256" s="4" t="str">
        <f>HYPERLINK("http://141.218.60.56/~jnz1568/getInfo.php?workbook=07_01.xlsx&amp;sheet=A0&amp;row=256&amp;col=22&amp;number=&amp;sourceID=30","")</f>
        <v/>
      </c>
      <c r="W256" s="4" t="str">
        <f>HYPERLINK("http://141.218.60.56/~jnz1568/getInfo.php?workbook=07_01.xlsx&amp;sheet=A0&amp;row=256&amp;col=23&amp;number=&amp;sourceID=30","")</f>
        <v/>
      </c>
      <c r="X256" s="4" t="str">
        <f>HYPERLINK("http://141.218.60.56/~jnz1568/getInfo.php?workbook=07_01.xlsx&amp;sheet=A0&amp;row=256&amp;col=24&amp;number=34.51&amp;sourceID=30","34.51")</f>
        <v>34.51</v>
      </c>
      <c r="Y256" s="4" t="str">
        <f>HYPERLINK("http://141.218.60.56/~jnz1568/getInfo.php?workbook=07_01.xlsx&amp;sheet=A0&amp;row=256&amp;col=25&amp;number=&amp;sourceID=13","")</f>
        <v/>
      </c>
      <c r="Z256" s="4" t="str">
        <f>HYPERLINK("http://141.218.60.56/~jnz1568/getInfo.php?workbook=07_01.xlsx&amp;sheet=A0&amp;row=256&amp;col=26&amp;number=&amp;sourceID=13","")</f>
        <v/>
      </c>
      <c r="AA256" s="4" t="str">
        <f>HYPERLINK("http://141.218.60.56/~jnz1568/getInfo.php?workbook=07_01.xlsx&amp;sheet=A0&amp;row=256&amp;col=27&amp;number=&amp;sourceID=13","")</f>
        <v/>
      </c>
      <c r="AB256" s="4" t="str">
        <f>HYPERLINK("http://141.218.60.56/~jnz1568/getInfo.php?workbook=07_01.xlsx&amp;sheet=A0&amp;row=256&amp;col=28&amp;number=&amp;sourceID=13","")</f>
        <v/>
      </c>
      <c r="AC256" s="4" t="str">
        <f>HYPERLINK("http://141.218.60.56/~jnz1568/getInfo.php?workbook=07_01.xlsx&amp;sheet=A0&amp;row=256&amp;col=29&amp;number=&amp;sourceID=13","")</f>
        <v/>
      </c>
      <c r="AD256" s="4" t="str">
        <f>HYPERLINK("http://141.218.60.56/~jnz1568/getInfo.php?workbook=07_01.xlsx&amp;sheet=A0&amp;row=256&amp;col=30&amp;number=&amp;sourceID=13","")</f>
        <v/>
      </c>
    </row>
    <row r="257" spans="1:30">
      <c r="A257" s="3">
        <v>7</v>
      </c>
      <c r="B257" s="3">
        <v>1</v>
      </c>
      <c r="C257" s="3">
        <v>24</v>
      </c>
      <c r="D257" s="3">
        <v>10</v>
      </c>
      <c r="E257" s="3">
        <f>((1/(INDEX(E0!J$4:J$28,C257,1)-INDEX(E0!J$4:J$28,D257,1))))*100000000</f>
        <v>0</v>
      </c>
      <c r="F257" s="4" t="str">
        <f>HYPERLINK("http://141.218.60.56/~jnz1568/getInfo.php?workbook=07_01.xlsx&amp;sheet=A0&amp;row=257&amp;col=6&amp;number==&amp;sourceID=11","=")</f>
        <v>=</v>
      </c>
      <c r="G257" s="4" t="str">
        <f>HYPERLINK("http://141.218.60.56/~jnz1568/getInfo.php?workbook=07_01.xlsx&amp;sheet=A0&amp;row=257&amp;col=7&amp;number=&amp;sourceID=11","")</f>
        <v/>
      </c>
      <c r="H257" s="4" t="str">
        <f>HYPERLINK("http://141.218.60.56/~jnz1568/getInfo.php?workbook=07_01.xlsx&amp;sheet=A0&amp;row=257&amp;col=8&amp;number=&amp;sourceID=11","")</f>
        <v/>
      </c>
      <c r="I257" s="4" t="str">
        <f>HYPERLINK("http://141.218.60.56/~jnz1568/getInfo.php?workbook=07_01.xlsx&amp;sheet=A0&amp;row=257&amp;col=9&amp;number=&amp;sourceID=11","")</f>
        <v/>
      </c>
      <c r="J257" s="4" t="str">
        <f>HYPERLINK("http://141.218.60.56/~jnz1568/getInfo.php?workbook=07_01.xlsx&amp;sheet=A0&amp;row=257&amp;col=10&amp;number=&amp;sourceID=11","")</f>
        <v/>
      </c>
      <c r="K257" s="4" t="str">
        <f>HYPERLINK("http://141.218.60.56/~jnz1568/getInfo.php?workbook=07_01.xlsx&amp;sheet=A0&amp;row=257&amp;col=11&amp;number=&amp;sourceID=11","")</f>
        <v/>
      </c>
      <c r="L257" s="4" t="str">
        <f>HYPERLINK("http://141.218.60.56/~jnz1568/getInfo.php?workbook=07_01.xlsx&amp;sheet=A0&amp;row=257&amp;col=12&amp;number=6.8296e-06&amp;sourceID=11","6.8296e-06")</f>
        <v>6.8296e-06</v>
      </c>
      <c r="M257" s="4" t="str">
        <f>HYPERLINK("http://141.218.60.56/~jnz1568/getInfo.php?workbook=07_01.xlsx&amp;sheet=A0&amp;row=257&amp;col=13&amp;number=6.8299e-06&amp;sourceID=12","6.8299e-06")</f>
        <v>6.8299e-06</v>
      </c>
      <c r="N257" s="4" t="str">
        <f>HYPERLINK("http://141.218.60.56/~jnz1568/getInfo.php?workbook=07_01.xlsx&amp;sheet=A0&amp;row=257&amp;col=14&amp;number=&amp;sourceID=12","")</f>
        <v/>
      </c>
      <c r="O257" s="4" t="str">
        <f>HYPERLINK("http://141.218.60.56/~jnz1568/getInfo.php?workbook=07_01.xlsx&amp;sheet=A0&amp;row=257&amp;col=15&amp;number=&amp;sourceID=12","")</f>
        <v/>
      </c>
      <c r="P257" s="4" t="str">
        <f>HYPERLINK("http://141.218.60.56/~jnz1568/getInfo.php?workbook=07_01.xlsx&amp;sheet=A0&amp;row=257&amp;col=16&amp;number=&amp;sourceID=12","")</f>
        <v/>
      </c>
      <c r="Q257" s="4" t="str">
        <f>HYPERLINK("http://141.218.60.56/~jnz1568/getInfo.php?workbook=07_01.xlsx&amp;sheet=A0&amp;row=257&amp;col=17&amp;number=&amp;sourceID=12","")</f>
        <v/>
      </c>
      <c r="R257" s="4" t="str">
        <f>HYPERLINK("http://141.218.60.56/~jnz1568/getInfo.php?workbook=07_01.xlsx&amp;sheet=A0&amp;row=257&amp;col=18&amp;number=&amp;sourceID=12","")</f>
        <v/>
      </c>
      <c r="S257" s="4" t="str">
        <f>HYPERLINK("http://141.218.60.56/~jnz1568/getInfo.php?workbook=07_01.xlsx&amp;sheet=A0&amp;row=257&amp;col=19&amp;number=6.8299e-06&amp;sourceID=12","6.8299e-06")</f>
        <v>6.8299e-06</v>
      </c>
      <c r="T257" s="4" t="str">
        <f>HYPERLINK("http://141.218.60.56/~jnz1568/getInfo.php?workbook=07_01.xlsx&amp;sheet=A0&amp;row=257&amp;col=20&amp;number=&amp;sourceID=30","")</f>
        <v/>
      </c>
      <c r="U257" s="4" t="str">
        <f>HYPERLINK("http://141.218.60.56/~jnz1568/getInfo.php?workbook=07_01.xlsx&amp;sheet=A0&amp;row=257&amp;col=21&amp;number=&amp;sourceID=30","")</f>
        <v/>
      </c>
      <c r="V257" s="4" t="str">
        <f>HYPERLINK("http://141.218.60.56/~jnz1568/getInfo.php?workbook=07_01.xlsx&amp;sheet=A0&amp;row=257&amp;col=22&amp;number=&amp;sourceID=30","")</f>
        <v/>
      </c>
      <c r="W257" s="4" t="str">
        <f>HYPERLINK("http://141.218.60.56/~jnz1568/getInfo.php?workbook=07_01.xlsx&amp;sheet=A0&amp;row=257&amp;col=23&amp;number=&amp;sourceID=30","")</f>
        <v/>
      </c>
      <c r="X257" s="4" t="str">
        <f>HYPERLINK("http://141.218.60.56/~jnz1568/getInfo.php?workbook=07_01.xlsx&amp;sheet=A0&amp;row=257&amp;col=24&amp;number=&amp;sourceID=30","")</f>
        <v/>
      </c>
      <c r="Y257" s="4" t="str">
        <f>HYPERLINK("http://141.218.60.56/~jnz1568/getInfo.php?workbook=07_01.xlsx&amp;sheet=A0&amp;row=257&amp;col=25&amp;number=&amp;sourceID=13","")</f>
        <v/>
      </c>
      <c r="Z257" s="4" t="str">
        <f>HYPERLINK("http://141.218.60.56/~jnz1568/getInfo.php?workbook=07_01.xlsx&amp;sheet=A0&amp;row=257&amp;col=26&amp;number=&amp;sourceID=13","")</f>
        <v/>
      </c>
      <c r="AA257" s="4" t="str">
        <f>HYPERLINK("http://141.218.60.56/~jnz1568/getInfo.php?workbook=07_01.xlsx&amp;sheet=A0&amp;row=257&amp;col=27&amp;number=&amp;sourceID=13","")</f>
        <v/>
      </c>
      <c r="AB257" s="4" t="str">
        <f>HYPERLINK("http://141.218.60.56/~jnz1568/getInfo.php?workbook=07_01.xlsx&amp;sheet=A0&amp;row=257&amp;col=28&amp;number=&amp;sourceID=13","")</f>
        <v/>
      </c>
      <c r="AC257" s="4" t="str">
        <f>HYPERLINK("http://141.218.60.56/~jnz1568/getInfo.php?workbook=07_01.xlsx&amp;sheet=A0&amp;row=257&amp;col=29&amp;number=&amp;sourceID=13","")</f>
        <v/>
      </c>
      <c r="AD257" s="4" t="str">
        <f>HYPERLINK("http://141.218.60.56/~jnz1568/getInfo.php?workbook=07_01.xlsx&amp;sheet=A0&amp;row=257&amp;col=30&amp;number=&amp;sourceID=13","")</f>
        <v/>
      </c>
    </row>
    <row r="258" spans="1:30">
      <c r="A258" s="3">
        <v>7</v>
      </c>
      <c r="B258" s="3">
        <v>1</v>
      </c>
      <c r="C258" s="3">
        <v>24</v>
      </c>
      <c r="D258" s="3">
        <v>11</v>
      </c>
      <c r="E258" s="3">
        <f>((1/(INDEX(E0!J$4:J$28,C258,1)-INDEX(E0!J$4:J$28,D258,1))))*100000000</f>
        <v>0</v>
      </c>
      <c r="F258" s="4" t="str">
        <f>HYPERLINK("http://141.218.60.56/~jnz1568/getInfo.php?workbook=07_01.xlsx&amp;sheet=A0&amp;row=258&amp;col=6&amp;number==&amp;sourceID=11","=")</f>
        <v>=</v>
      </c>
      <c r="G258" s="4" t="str">
        <f>HYPERLINK("http://141.218.60.56/~jnz1568/getInfo.php?workbook=07_01.xlsx&amp;sheet=A0&amp;row=258&amp;col=7&amp;number=&amp;sourceID=11","")</f>
        <v/>
      </c>
      <c r="H258" s="4" t="str">
        <f>HYPERLINK("http://141.218.60.56/~jnz1568/getInfo.php?workbook=07_01.xlsx&amp;sheet=A0&amp;row=258&amp;col=8&amp;number=&amp;sourceID=11","")</f>
        <v/>
      </c>
      <c r="I258" s="4" t="str">
        <f>HYPERLINK("http://141.218.60.56/~jnz1568/getInfo.php?workbook=07_01.xlsx&amp;sheet=A0&amp;row=258&amp;col=9&amp;number=0.72068&amp;sourceID=11","0.72068")</f>
        <v>0.72068</v>
      </c>
      <c r="J258" s="4" t="str">
        <f>HYPERLINK("http://141.218.60.56/~jnz1568/getInfo.php?workbook=07_01.xlsx&amp;sheet=A0&amp;row=258&amp;col=10&amp;number=&amp;sourceID=11","")</f>
        <v/>
      </c>
      <c r="K258" s="4" t="str">
        <f>HYPERLINK("http://141.218.60.56/~jnz1568/getInfo.php?workbook=07_01.xlsx&amp;sheet=A0&amp;row=258&amp;col=11&amp;number=&amp;sourceID=11","")</f>
        <v/>
      </c>
      <c r="L258" s="4" t="str">
        <f>HYPERLINK("http://141.218.60.56/~jnz1568/getInfo.php?workbook=07_01.xlsx&amp;sheet=A0&amp;row=258&amp;col=12&amp;number=&amp;sourceID=11","")</f>
        <v/>
      </c>
      <c r="M258" s="4" t="str">
        <f>HYPERLINK("http://141.218.60.56/~jnz1568/getInfo.php?workbook=07_01.xlsx&amp;sheet=A0&amp;row=258&amp;col=13&amp;number=0.72071&amp;sourceID=12","0.72071")</f>
        <v>0.72071</v>
      </c>
      <c r="N258" s="4" t="str">
        <f>HYPERLINK("http://141.218.60.56/~jnz1568/getInfo.php?workbook=07_01.xlsx&amp;sheet=A0&amp;row=258&amp;col=14&amp;number=&amp;sourceID=12","")</f>
        <v/>
      </c>
      <c r="O258" s="4" t="str">
        <f>HYPERLINK("http://141.218.60.56/~jnz1568/getInfo.php?workbook=07_01.xlsx&amp;sheet=A0&amp;row=258&amp;col=15&amp;number=&amp;sourceID=12","")</f>
        <v/>
      </c>
      <c r="P258" s="4" t="str">
        <f>HYPERLINK("http://141.218.60.56/~jnz1568/getInfo.php?workbook=07_01.xlsx&amp;sheet=A0&amp;row=258&amp;col=16&amp;number=0.72071&amp;sourceID=12","0.72071")</f>
        <v>0.72071</v>
      </c>
      <c r="Q258" s="4" t="str">
        <f>HYPERLINK("http://141.218.60.56/~jnz1568/getInfo.php?workbook=07_01.xlsx&amp;sheet=A0&amp;row=258&amp;col=17&amp;number=&amp;sourceID=12","")</f>
        <v/>
      </c>
      <c r="R258" s="4" t="str">
        <f>HYPERLINK("http://141.218.60.56/~jnz1568/getInfo.php?workbook=07_01.xlsx&amp;sheet=A0&amp;row=258&amp;col=18&amp;number=&amp;sourceID=12","")</f>
        <v/>
      </c>
      <c r="S258" s="4" t="str">
        <f>HYPERLINK("http://141.218.60.56/~jnz1568/getInfo.php?workbook=07_01.xlsx&amp;sheet=A0&amp;row=258&amp;col=19&amp;number=&amp;sourceID=12","")</f>
        <v/>
      </c>
      <c r="T258" s="4" t="str">
        <f>HYPERLINK("http://141.218.60.56/~jnz1568/getInfo.php?workbook=07_01.xlsx&amp;sheet=A0&amp;row=258&amp;col=20&amp;number=&amp;sourceID=30","")</f>
        <v/>
      </c>
      <c r="U258" s="4" t="str">
        <f>HYPERLINK("http://141.218.60.56/~jnz1568/getInfo.php?workbook=07_01.xlsx&amp;sheet=A0&amp;row=258&amp;col=21&amp;number=&amp;sourceID=30","")</f>
        <v/>
      </c>
      <c r="V258" s="4" t="str">
        <f>HYPERLINK("http://141.218.60.56/~jnz1568/getInfo.php?workbook=07_01.xlsx&amp;sheet=A0&amp;row=258&amp;col=22&amp;number=&amp;sourceID=30","")</f>
        <v/>
      </c>
      <c r="W258" s="4" t="str">
        <f>HYPERLINK("http://141.218.60.56/~jnz1568/getInfo.php?workbook=07_01.xlsx&amp;sheet=A0&amp;row=258&amp;col=23&amp;number=&amp;sourceID=30","")</f>
        <v/>
      </c>
      <c r="X258" s="4" t="str">
        <f>HYPERLINK("http://141.218.60.56/~jnz1568/getInfo.php?workbook=07_01.xlsx&amp;sheet=A0&amp;row=258&amp;col=24&amp;number=&amp;sourceID=30","")</f>
        <v/>
      </c>
      <c r="Y258" s="4" t="str">
        <f>HYPERLINK("http://141.218.60.56/~jnz1568/getInfo.php?workbook=07_01.xlsx&amp;sheet=A0&amp;row=258&amp;col=25&amp;number=&amp;sourceID=13","")</f>
        <v/>
      </c>
      <c r="Z258" s="4" t="str">
        <f>HYPERLINK("http://141.218.60.56/~jnz1568/getInfo.php?workbook=07_01.xlsx&amp;sheet=A0&amp;row=258&amp;col=26&amp;number=&amp;sourceID=13","")</f>
        <v/>
      </c>
      <c r="AA258" s="4" t="str">
        <f>HYPERLINK("http://141.218.60.56/~jnz1568/getInfo.php?workbook=07_01.xlsx&amp;sheet=A0&amp;row=258&amp;col=27&amp;number=&amp;sourceID=13","")</f>
        <v/>
      </c>
      <c r="AB258" s="4" t="str">
        <f>HYPERLINK("http://141.218.60.56/~jnz1568/getInfo.php?workbook=07_01.xlsx&amp;sheet=A0&amp;row=258&amp;col=28&amp;number=&amp;sourceID=13","")</f>
        <v/>
      </c>
      <c r="AC258" s="4" t="str">
        <f>HYPERLINK("http://141.218.60.56/~jnz1568/getInfo.php?workbook=07_01.xlsx&amp;sheet=A0&amp;row=258&amp;col=29&amp;number=&amp;sourceID=13","")</f>
        <v/>
      </c>
      <c r="AD258" s="4" t="str">
        <f>HYPERLINK("http://141.218.60.56/~jnz1568/getInfo.php?workbook=07_01.xlsx&amp;sheet=A0&amp;row=258&amp;col=30&amp;number=&amp;sourceID=13","")</f>
        <v/>
      </c>
    </row>
    <row r="259" spans="1:30">
      <c r="A259" s="3">
        <v>7</v>
      </c>
      <c r="B259" s="3">
        <v>1</v>
      </c>
      <c r="C259" s="3">
        <v>24</v>
      </c>
      <c r="D259" s="3">
        <v>12</v>
      </c>
      <c r="E259" s="3">
        <f>((1/(INDEX(E0!J$4:J$28,C259,1)-INDEX(E0!J$4:J$28,D259,1))))*100000000</f>
        <v>0</v>
      </c>
      <c r="F259" s="4" t="str">
        <f>HYPERLINK("http://141.218.60.56/~jnz1568/getInfo.php?workbook=07_01.xlsx&amp;sheet=A0&amp;row=259&amp;col=6&amp;number==&amp;sourceID=11","=")</f>
        <v>=</v>
      </c>
      <c r="G259" s="4" t="str">
        <f>HYPERLINK("http://141.218.60.56/~jnz1568/getInfo.php?workbook=07_01.xlsx&amp;sheet=A0&amp;row=259&amp;col=7&amp;number=&amp;sourceID=11","")</f>
        <v/>
      </c>
      <c r="H259" s="4" t="str">
        <f>HYPERLINK("http://141.218.60.56/~jnz1568/getInfo.php?workbook=07_01.xlsx&amp;sheet=A0&amp;row=259&amp;col=8&amp;number=&amp;sourceID=11","")</f>
        <v/>
      </c>
      <c r="I259" s="4" t="str">
        <f>HYPERLINK("http://141.218.60.56/~jnz1568/getInfo.php?workbook=07_01.xlsx&amp;sheet=A0&amp;row=259&amp;col=9&amp;number=0.11501&amp;sourceID=11","0.11501")</f>
        <v>0.11501</v>
      </c>
      <c r="J259" s="4" t="str">
        <f>HYPERLINK("http://141.218.60.56/~jnz1568/getInfo.php?workbook=07_01.xlsx&amp;sheet=A0&amp;row=259&amp;col=10&amp;number=&amp;sourceID=11","")</f>
        <v/>
      </c>
      <c r="K259" s="4" t="str">
        <f>HYPERLINK("http://141.218.60.56/~jnz1568/getInfo.php?workbook=07_01.xlsx&amp;sheet=A0&amp;row=259&amp;col=11&amp;number=0.28558&amp;sourceID=11","0.28558")</f>
        <v>0.28558</v>
      </c>
      <c r="L259" s="4" t="str">
        <f>HYPERLINK("http://141.218.60.56/~jnz1568/getInfo.php?workbook=07_01.xlsx&amp;sheet=A0&amp;row=259&amp;col=12&amp;number=&amp;sourceID=11","")</f>
        <v/>
      </c>
      <c r="M259" s="4" t="str">
        <f>HYPERLINK("http://141.218.60.56/~jnz1568/getInfo.php?workbook=07_01.xlsx&amp;sheet=A0&amp;row=259&amp;col=13&amp;number=0.40061&amp;sourceID=12","0.40061")</f>
        <v>0.40061</v>
      </c>
      <c r="N259" s="4" t="str">
        <f>HYPERLINK("http://141.218.60.56/~jnz1568/getInfo.php?workbook=07_01.xlsx&amp;sheet=A0&amp;row=259&amp;col=14&amp;number=&amp;sourceID=12","")</f>
        <v/>
      </c>
      <c r="O259" s="4" t="str">
        <f>HYPERLINK("http://141.218.60.56/~jnz1568/getInfo.php?workbook=07_01.xlsx&amp;sheet=A0&amp;row=259&amp;col=15&amp;number=&amp;sourceID=12","")</f>
        <v/>
      </c>
      <c r="P259" s="4" t="str">
        <f>HYPERLINK("http://141.218.60.56/~jnz1568/getInfo.php?workbook=07_01.xlsx&amp;sheet=A0&amp;row=259&amp;col=16&amp;number=0.11501&amp;sourceID=12","0.11501")</f>
        <v>0.11501</v>
      </c>
      <c r="Q259" s="4" t="str">
        <f>HYPERLINK("http://141.218.60.56/~jnz1568/getInfo.php?workbook=07_01.xlsx&amp;sheet=A0&amp;row=259&amp;col=17&amp;number=&amp;sourceID=12","")</f>
        <v/>
      </c>
      <c r="R259" s="4" t="str">
        <f>HYPERLINK("http://141.218.60.56/~jnz1568/getInfo.php?workbook=07_01.xlsx&amp;sheet=A0&amp;row=259&amp;col=18&amp;number=0.2856&amp;sourceID=12","0.2856")</f>
        <v>0.2856</v>
      </c>
      <c r="S259" s="4" t="str">
        <f>HYPERLINK("http://141.218.60.56/~jnz1568/getInfo.php?workbook=07_01.xlsx&amp;sheet=A0&amp;row=259&amp;col=19&amp;number=&amp;sourceID=12","")</f>
        <v/>
      </c>
      <c r="T259" s="4" t="str">
        <f>HYPERLINK("http://141.218.60.56/~jnz1568/getInfo.php?workbook=07_01.xlsx&amp;sheet=A0&amp;row=259&amp;col=20&amp;number==SUM(U259:X259)&amp;sourceID=30","=SUM(U259:X259)")</f>
        <v>=SUM(U259:X259)</v>
      </c>
      <c r="U259" s="4" t="str">
        <f>HYPERLINK("http://141.218.60.56/~jnz1568/getInfo.php?workbook=07_01.xlsx&amp;sheet=A0&amp;row=259&amp;col=21&amp;number=&amp;sourceID=30","")</f>
        <v/>
      </c>
      <c r="V259" s="4" t="str">
        <f>HYPERLINK("http://141.218.60.56/~jnz1568/getInfo.php?workbook=07_01.xlsx&amp;sheet=A0&amp;row=259&amp;col=22&amp;number=&amp;sourceID=30","")</f>
        <v/>
      </c>
      <c r="W259" s="4" t="str">
        <f>HYPERLINK("http://141.218.60.56/~jnz1568/getInfo.php?workbook=07_01.xlsx&amp;sheet=A0&amp;row=259&amp;col=23&amp;number=&amp;sourceID=30","")</f>
        <v/>
      </c>
      <c r="X259" s="4" t="str">
        <f>HYPERLINK("http://141.218.60.56/~jnz1568/getInfo.php?workbook=07_01.xlsx&amp;sheet=A0&amp;row=259&amp;col=24&amp;number=0.2856&amp;sourceID=30","0.2856")</f>
        <v>0.2856</v>
      </c>
      <c r="Y259" s="4" t="str">
        <f>HYPERLINK("http://141.218.60.56/~jnz1568/getInfo.php?workbook=07_01.xlsx&amp;sheet=A0&amp;row=259&amp;col=25&amp;number=&amp;sourceID=13","")</f>
        <v/>
      </c>
      <c r="Z259" s="4" t="str">
        <f>HYPERLINK("http://141.218.60.56/~jnz1568/getInfo.php?workbook=07_01.xlsx&amp;sheet=A0&amp;row=259&amp;col=26&amp;number=&amp;sourceID=13","")</f>
        <v/>
      </c>
      <c r="AA259" s="4" t="str">
        <f>HYPERLINK("http://141.218.60.56/~jnz1568/getInfo.php?workbook=07_01.xlsx&amp;sheet=A0&amp;row=259&amp;col=27&amp;number=&amp;sourceID=13","")</f>
        <v/>
      </c>
      <c r="AB259" s="4" t="str">
        <f>HYPERLINK("http://141.218.60.56/~jnz1568/getInfo.php?workbook=07_01.xlsx&amp;sheet=A0&amp;row=259&amp;col=28&amp;number=&amp;sourceID=13","")</f>
        <v/>
      </c>
      <c r="AC259" s="4" t="str">
        <f>HYPERLINK("http://141.218.60.56/~jnz1568/getInfo.php?workbook=07_01.xlsx&amp;sheet=A0&amp;row=259&amp;col=29&amp;number=&amp;sourceID=13","")</f>
        <v/>
      </c>
      <c r="AD259" s="4" t="str">
        <f>HYPERLINK("http://141.218.60.56/~jnz1568/getInfo.php?workbook=07_01.xlsx&amp;sheet=A0&amp;row=259&amp;col=30&amp;number=&amp;sourceID=13","")</f>
        <v/>
      </c>
    </row>
    <row r="260" spans="1:30">
      <c r="A260" s="3">
        <v>7</v>
      </c>
      <c r="B260" s="3">
        <v>1</v>
      </c>
      <c r="C260" s="3">
        <v>24</v>
      </c>
      <c r="D260" s="3">
        <v>13</v>
      </c>
      <c r="E260" s="3">
        <f>((1/(INDEX(E0!J$4:J$28,C260,1)-INDEX(E0!J$4:J$28,D260,1))))*100000000</f>
        <v>0</v>
      </c>
      <c r="F260" s="4" t="str">
        <f>HYPERLINK("http://141.218.60.56/~jnz1568/getInfo.php?workbook=07_01.xlsx&amp;sheet=A0&amp;row=260&amp;col=6&amp;number==&amp;sourceID=11","=")</f>
        <v>=</v>
      </c>
      <c r="G260" s="4" t="str">
        <f>HYPERLINK("http://141.218.60.56/~jnz1568/getInfo.php?workbook=07_01.xlsx&amp;sheet=A0&amp;row=260&amp;col=7&amp;number=&amp;sourceID=11","")</f>
        <v/>
      </c>
      <c r="H260" s="4" t="str">
        <f>HYPERLINK("http://141.218.60.56/~jnz1568/getInfo.php?workbook=07_01.xlsx&amp;sheet=A0&amp;row=260&amp;col=8&amp;number=110380&amp;sourceID=11","110380")</f>
        <v>110380</v>
      </c>
      <c r="I260" s="4" t="str">
        <f>HYPERLINK("http://141.218.60.56/~jnz1568/getInfo.php?workbook=07_01.xlsx&amp;sheet=A0&amp;row=260&amp;col=9&amp;number=&amp;sourceID=11","")</f>
        <v/>
      </c>
      <c r="J260" s="4" t="str">
        <f>HYPERLINK("http://141.218.60.56/~jnz1568/getInfo.php?workbook=07_01.xlsx&amp;sheet=A0&amp;row=260&amp;col=10&amp;number=&amp;sourceID=11","")</f>
        <v/>
      </c>
      <c r="K260" s="4" t="str">
        <f>HYPERLINK("http://141.218.60.56/~jnz1568/getInfo.php?workbook=07_01.xlsx&amp;sheet=A0&amp;row=260&amp;col=11&amp;number=&amp;sourceID=11","")</f>
        <v/>
      </c>
      <c r="L260" s="4" t="str">
        <f>HYPERLINK("http://141.218.60.56/~jnz1568/getInfo.php?workbook=07_01.xlsx&amp;sheet=A0&amp;row=260&amp;col=12&amp;number=2.0401e-05&amp;sourceID=11","2.0401e-05")</f>
        <v>2.0401e-05</v>
      </c>
      <c r="M260" s="4" t="str">
        <f>HYPERLINK("http://141.218.60.56/~jnz1568/getInfo.php?workbook=07_01.xlsx&amp;sheet=A0&amp;row=260&amp;col=13&amp;number=110390&amp;sourceID=12","110390")</f>
        <v>110390</v>
      </c>
      <c r="N260" s="4" t="str">
        <f>HYPERLINK("http://141.218.60.56/~jnz1568/getInfo.php?workbook=07_01.xlsx&amp;sheet=A0&amp;row=260&amp;col=14&amp;number=&amp;sourceID=12","")</f>
        <v/>
      </c>
      <c r="O260" s="4" t="str">
        <f>HYPERLINK("http://141.218.60.56/~jnz1568/getInfo.php?workbook=07_01.xlsx&amp;sheet=A0&amp;row=260&amp;col=15&amp;number=110390&amp;sourceID=12","110390")</f>
        <v>110390</v>
      </c>
      <c r="P260" s="4" t="str">
        <f>HYPERLINK("http://141.218.60.56/~jnz1568/getInfo.php?workbook=07_01.xlsx&amp;sheet=A0&amp;row=260&amp;col=16&amp;number=&amp;sourceID=12","")</f>
        <v/>
      </c>
      <c r="Q260" s="4" t="str">
        <f>HYPERLINK("http://141.218.60.56/~jnz1568/getInfo.php?workbook=07_01.xlsx&amp;sheet=A0&amp;row=260&amp;col=17&amp;number=&amp;sourceID=12","")</f>
        <v/>
      </c>
      <c r="R260" s="4" t="str">
        <f>HYPERLINK("http://141.218.60.56/~jnz1568/getInfo.php?workbook=07_01.xlsx&amp;sheet=A0&amp;row=260&amp;col=18&amp;number=&amp;sourceID=12","")</f>
        <v/>
      </c>
      <c r="S260" s="4" t="str">
        <f>HYPERLINK("http://141.218.60.56/~jnz1568/getInfo.php?workbook=07_01.xlsx&amp;sheet=A0&amp;row=260&amp;col=19&amp;number=2.0402e-05&amp;sourceID=12","2.0402e-05")</f>
        <v>2.0402e-05</v>
      </c>
      <c r="T260" s="4" t="str">
        <f>HYPERLINK("http://141.218.60.56/~jnz1568/getInfo.php?workbook=07_01.xlsx&amp;sheet=A0&amp;row=260&amp;col=20&amp;number==SUM(U260:X260)&amp;sourceID=30","=SUM(U260:X260)")</f>
        <v>=SUM(U260:X260)</v>
      </c>
      <c r="U260" s="4" t="str">
        <f>HYPERLINK("http://141.218.60.56/~jnz1568/getInfo.php?workbook=07_01.xlsx&amp;sheet=A0&amp;row=260&amp;col=21&amp;number=&amp;sourceID=30","")</f>
        <v/>
      </c>
      <c r="V260" s="4" t="str">
        <f>HYPERLINK("http://141.218.60.56/~jnz1568/getInfo.php?workbook=07_01.xlsx&amp;sheet=A0&amp;row=260&amp;col=22&amp;number=110400&amp;sourceID=30","110400")</f>
        <v>110400</v>
      </c>
      <c r="W260" s="4" t="str">
        <f>HYPERLINK("http://141.218.60.56/~jnz1568/getInfo.php?workbook=07_01.xlsx&amp;sheet=A0&amp;row=260&amp;col=23&amp;number=&amp;sourceID=30","")</f>
        <v/>
      </c>
      <c r="X260" s="4" t="str">
        <f>HYPERLINK("http://141.218.60.56/~jnz1568/getInfo.php?workbook=07_01.xlsx&amp;sheet=A0&amp;row=260&amp;col=24&amp;number=&amp;sourceID=30","")</f>
        <v/>
      </c>
      <c r="Y260" s="4" t="str">
        <f>HYPERLINK("http://141.218.60.56/~jnz1568/getInfo.php?workbook=07_01.xlsx&amp;sheet=A0&amp;row=260&amp;col=25&amp;number=&amp;sourceID=13","")</f>
        <v/>
      </c>
      <c r="Z260" s="4" t="str">
        <f>HYPERLINK("http://141.218.60.56/~jnz1568/getInfo.php?workbook=07_01.xlsx&amp;sheet=A0&amp;row=260&amp;col=26&amp;number=&amp;sourceID=13","")</f>
        <v/>
      </c>
      <c r="AA260" s="4" t="str">
        <f>HYPERLINK("http://141.218.60.56/~jnz1568/getInfo.php?workbook=07_01.xlsx&amp;sheet=A0&amp;row=260&amp;col=27&amp;number=&amp;sourceID=13","")</f>
        <v/>
      </c>
      <c r="AB260" s="4" t="str">
        <f>HYPERLINK("http://141.218.60.56/~jnz1568/getInfo.php?workbook=07_01.xlsx&amp;sheet=A0&amp;row=260&amp;col=28&amp;number=&amp;sourceID=13","")</f>
        <v/>
      </c>
      <c r="AC260" s="4" t="str">
        <f>HYPERLINK("http://141.218.60.56/~jnz1568/getInfo.php?workbook=07_01.xlsx&amp;sheet=A0&amp;row=260&amp;col=29&amp;number=&amp;sourceID=13","")</f>
        <v/>
      </c>
      <c r="AD260" s="4" t="str">
        <f>HYPERLINK("http://141.218.60.56/~jnz1568/getInfo.php?workbook=07_01.xlsx&amp;sheet=A0&amp;row=260&amp;col=30&amp;number=&amp;sourceID=13","")</f>
        <v/>
      </c>
    </row>
    <row r="261" spans="1:30">
      <c r="A261" s="3">
        <v>7</v>
      </c>
      <c r="B261" s="3">
        <v>1</v>
      </c>
      <c r="C261" s="3">
        <v>24</v>
      </c>
      <c r="D261" s="3">
        <v>14</v>
      </c>
      <c r="E261" s="3">
        <f>((1/(INDEX(E0!J$4:J$28,C261,1)-INDEX(E0!J$4:J$28,D261,1))))*100000000</f>
        <v>0</v>
      </c>
      <c r="F261" s="4" t="str">
        <f>HYPERLINK("http://141.218.60.56/~jnz1568/getInfo.php?workbook=07_01.xlsx&amp;sheet=A0&amp;row=261&amp;col=6&amp;number==&amp;sourceID=11","=")</f>
        <v>=</v>
      </c>
      <c r="G261" s="4" t="str">
        <f>HYPERLINK("http://141.218.60.56/~jnz1568/getInfo.php?workbook=07_01.xlsx&amp;sheet=A0&amp;row=261&amp;col=7&amp;number=&amp;sourceID=11","")</f>
        <v/>
      </c>
      <c r="H261" s="4" t="str">
        <f>HYPERLINK("http://141.218.60.56/~jnz1568/getInfo.php?workbook=07_01.xlsx&amp;sheet=A0&amp;row=261&amp;col=8&amp;number=1928.6&amp;sourceID=11","1928.6")</f>
        <v>1928.6</v>
      </c>
      <c r="I261" s="4" t="str">
        <f>HYPERLINK("http://141.218.60.56/~jnz1568/getInfo.php?workbook=07_01.xlsx&amp;sheet=A0&amp;row=261&amp;col=9&amp;number=&amp;sourceID=11","")</f>
        <v/>
      </c>
      <c r="J261" s="4" t="str">
        <f>HYPERLINK("http://141.218.60.56/~jnz1568/getInfo.php?workbook=07_01.xlsx&amp;sheet=A0&amp;row=261&amp;col=10&amp;number=8.4882e-05&amp;sourceID=11","8.4882e-05")</f>
        <v>8.4882e-05</v>
      </c>
      <c r="K261" s="4" t="str">
        <f>HYPERLINK("http://141.218.60.56/~jnz1568/getInfo.php?workbook=07_01.xlsx&amp;sheet=A0&amp;row=261&amp;col=11&amp;number=&amp;sourceID=11","")</f>
        <v/>
      </c>
      <c r="L261" s="4" t="str">
        <f>HYPERLINK("http://141.218.60.56/~jnz1568/getInfo.php?workbook=07_01.xlsx&amp;sheet=A0&amp;row=261&amp;col=12&amp;number=5.2778e-08&amp;sourceID=11","5.2778e-08")</f>
        <v>5.2778e-08</v>
      </c>
      <c r="M261" s="4" t="str">
        <f>HYPERLINK("http://141.218.60.56/~jnz1568/getInfo.php?workbook=07_01.xlsx&amp;sheet=A0&amp;row=261&amp;col=13&amp;number=1928.7&amp;sourceID=12","1928.7")</f>
        <v>1928.7</v>
      </c>
      <c r="N261" s="4" t="str">
        <f>HYPERLINK("http://141.218.60.56/~jnz1568/getInfo.php?workbook=07_01.xlsx&amp;sheet=A0&amp;row=261&amp;col=14&amp;number=&amp;sourceID=12","")</f>
        <v/>
      </c>
      <c r="O261" s="4" t="str">
        <f>HYPERLINK("http://141.218.60.56/~jnz1568/getInfo.php?workbook=07_01.xlsx&amp;sheet=A0&amp;row=261&amp;col=15&amp;number=1928.7&amp;sourceID=12","1928.7")</f>
        <v>1928.7</v>
      </c>
      <c r="P261" s="4" t="str">
        <f>HYPERLINK("http://141.218.60.56/~jnz1568/getInfo.php?workbook=07_01.xlsx&amp;sheet=A0&amp;row=261&amp;col=16&amp;number=&amp;sourceID=12","")</f>
        <v/>
      </c>
      <c r="Q261" s="4" t="str">
        <f>HYPERLINK("http://141.218.60.56/~jnz1568/getInfo.php?workbook=07_01.xlsx&amp;sheet=A0&amp;row=261&amp;col=17&amp;number=8.4891e-05&amp;sourceID=12","8.4891e-05")</f>
        <v>8.4891e-05</v>
      </c>
      <c r="R261" s="4" t="str">
        <f>HYPERLINK("http://141.218.60.56/~jnz1568/getInfo.php?workbook=07_01.xlsx&amp;sheet=A0&amp;row=261&amp;col=18&amp;number=&amp;sourceID=12","")</f>
        <v/>
      </c>
      <c r="S261" s="4" t="str">
        <f>HYPERLINK("http://141.218.60.56/~jnz1568/getInfo.php?workbook=07_01.xlsx&amp;sheet=A0&amp;row=261&amp;col=19&amp;number=5.278e-08&amp;sourceID=12","5.278e-08")</f>
        <v>5.278e-08</v>
      </c>
      <c r="T261" s="4" t="str">
        <f>HYPERLINK("http://141.218.60.56/~jnz1568/getInfo.php?workbook=07_01.xlsx&amp;sheet=A0&amp;row=261&amp;col=20&amp;number==SUM(U261:X261)&amp;sourceID=30","=SUM(U261:X261)")</f>
        <v>=SUM(U261:X261)</v>
      </c>
      <c r="U261" s="4" t="str">
        <f>HYPERLINK("http://141.218.60.56/~jnz1568/getInfo.php?workbook=07_01.xlsx&amp;sheet=A0&amp;row=261&amp;col=21&amp;number=&amp;sourceID=30","")</f>
        <v/>
      </c>
      <c r="V261" s="4" t="str">
        <f>HYPERLINK("http://141.218.60.56/~jnz1568/getInfo.php?workbook=07_01.xlsx&amp;sheet=A0&amp;row=261&amp;col=22&amp;number=1929&amp;sourceID=30","1929")</f>
        <v>1929</v>
      </c>
      <c r="W261" s="4" t="str">
        <f>HYPERLINK("http://141.218.60.56/~jnz1568/getInfo.php?workbook=07_01.xlsx&amp;sheet=A0&amp;row=261&amp;col=23&amp;number=8.496e-05&amp;sourceID=30","8.496e-05")</f>
        <v>8.496e-05</v>
      </c>
      <c r="X261" s="4" t="str">
        <f>HYPERLINK("http://141.218.60.56/~jnz1568/getInfo.php?workbook=07_01.xlsx&amp;sheet=A0&amp;row=261&amp;col=24&amp;number=&amp;sourceID=30","")</f>
        <v/>
      </c>
      <c r="Y261" s="4" t="str">
        <f>HYPERLINK("http://141.218.60.56/~jnz1568/getInfo.php?workbook=07_01.xlsx&amp;sheet=A0&amp;row=261&amp;col=25&amp;number=&amp;sourceID=13","")</f>
        <v/>
      </c>
      <c r="Z261" s="4" t="str">
        <f>HYPERLINK("http://141.218.60.56/~jnz1568/getInfo.php?workbook=07_01.xlsx&amp;sheet=A0&amp;row=261&amp;col=26&amp;number=&amp;sourceID=13","")</f>
        <v/>
      </c>
      <c r="AA261" s="4" t="str">
        <f>HYPERLINK("http://141.218.60.56/~jnz1568/getInfo.php?workbook=07_01.xlsx&amp;sheet=A0&amp;row=261&amp;col=27&amp;number=&amp;sourceID=13","")</f>
        <v/>
      </c>
      <c r="AB261" s="4" t="str">
        <f>HYPERLINK("http://141.218.60.56/~jnz1568/getInfo.php?workbook=07_01.xlsx&amp;sheet=A0&amp;row=261&amp;col=28&amp;number=&amp;sourceID=13","")</f>
        <v/>
      </c>
      <c r="AC261" s="4" t="str">
        <f>HYPERLINK("http://141.218.60.56/~jnz1568/getInfo.php?workbook=07_01.xlsx&amp;sheet=A0&amp;row=261&amp;col=29&amp;number=&amp;sourceID=13","")</f>
        <v/>
      </c>
      <c r="AD261" s="4" t="str">
        <f>HYPERLINK("http://141.218.60.56/~jnz1568/getInfo.php?workbook=07_01.xlsx&amp;sheet=A0&amp;row=261&amp;col=30&amp;number=&amp;sourceID=13","")</f>
        <v/>
      </c>
    </row>
    <row r="262" spans="1:30">
      <c r="A262" s="3">
        <v>7</v>
      </c>
      <c r="B262" s="3">
        <v>1</v>
      </c>
      <c r="C262" s="3">
        <v>24</v>
      </c>
      <c r="D262" s="3">
        <v>15</v>
      </c>
      <c r="E262" s="3">
        <f>((1/(INDEX(E0!J$4:J$28,C262,1)-INDEX(E0!J$4:J$28,D262,1))))*100000000</f>
        <v>0</v>
      </c>
      <c r="F262" s="4" t="str">
        <f>HYPERLINK("http://141.218.60.56/~jnz1568/getInfo.php?workbook=07_01.xlsx&amp;sheet=A0&amp;row=262&amp;col=6&amp;number==SUM(G262:L262)&amp;sourceID=11","=SUM(G262:L262)")</f>
        <v>=SUM(G262:L262)</v>
      </c>
      <c r="G262" s="4" t="str">
        <f>HYPERLINK("http://141.218.60.56/~jnz1568/getInfo.php?workbook=07_01.xlsx&amp;sheet=A0&amp;row=262&amp;col=7&amp;number=6208300000&amp;sourceID=11","6208300000")</f>
        <v>6208300000</v>
      </c>
      <c r="H262" s="4" t="str">
        <f>HYPERLINK("http://141.218.60.56/~jnz1568/getInfo.php?workbook=07_01.xlsx&amp;sheet=A0&amp;row=262&amp;col=8&amp;number=&amp;sourceID=11","")</f>
        <v/>
      </c>
      <c r="I262" s="4" t="str">
        <f>HYPERLINK("http://141.218.60.56/~jnz1568/getInfo.php?workbook=07_01.xlsx&amp;sheet=A0&amp;row=262&amp;col=9&amp;number=0.3446&amp;sourceID=11","0.3446")</f>
        <v>0.3446</v>
      </c>
      <c r="J262" s="4" t="str">
        <f>HYPERLINK("http://141.218.60.56/~jnz1568/getInfo.php?workbook=07_01.xlsx&amp;sheet=A0&amp;row=262&amp;col=10&amp;number=&amp;sourceID=11","")</f>
        <v/>
      </c>
      <c r="K262" s="4" t="str">
        <f>HYPERLINK("http://141.218.60.56/~jnz1568/getInfo.php?workbook=07_01.xlsx&amp;sheet=A0&amp;row=262&amp;col=11&amp;number=1.9666&amp;sourceID=11","1.9666")</f>
        <v>1.9666</v>
      </c>
      <c r="L262" s="4" t="str">
        <f>HYPERLINK("http://141.218.60.56/~jnz1568/getInfo.php?workbook=07_01.xlsx&amp;sheet=A0&amp;row=262&amp;col=12&amp;number=&amp;sourceID=11","")</f>
        <v/>
      </c>
      <c r="M262" s="4" t="str">
        <f>HYPERLINK("http://141.218.60.56/~jnz1568/getInfo.php?workbook=07_01.xlsx&amp;sheet=A0&amp;row=262&amp;col=13&amp;number=6208600000&amp;sourceID=12","6208600000")</f>
        <v>6208600000</v>
      </c>
      <c r="N262" s="4" t="str">
        <f>HYPERLINK("http://141.218.60.56/~jnz1568/getInfo.php?workbook=07_01.xlsx&amp;sheet=A0&amp;row=262&amp;col=14&amp;number=6208600000&amp;sourceID=12","6208600000")</f>
        <v>6208600000</v>
      </c>
      <c r="O262" s="4" t="str">
        <f>HYPERLINK("http://141.218.60.56/~jnz1568/getInfo.php?workbook=07_01.xlsx&amp;sheet=A0&amp;row=262&amp;col=15&amp;number=&amp;sourceID=12","")</f>
        <v/>
      </c>
      <c r="P262" s="4" t="str">
        <f>HYPERLINK("http://141.218.60.56/~jnz1568/getInfo.php?workbook=07_01.xlsx&amp;sheet=A0&amp;row=262&amp;col=16&amp;number=0.34461&amp;sourceID=12","0.34461")</f>
        <v>0.34461</v>
      </c>
      <c r="Q262" s="4" t="str">
        <f>HYPERLINK("http://141.218.60.56/~jnz1568/getInfo.php?workbook=07_01.xlsx&amp;sheet=A0&amp;row=262&amp;col=17&amp;number=&amp;sourceID=12","")</f>
        <v/>
      </c>
      <c r="R262" s="4" t="str">
        <f>HYPERLINK("http://141.218.60.56/~jnz1568/getInfo.php?workbook=07_01.xlsx&amp;sheet=A0&amp;row=262&amp;col=18&amp;number=1.9667&amp;sourceID=12","1.9667")</f>
        <v>1.9667</v>
      </c>
      <c r="S262" s="4" t="str">
        <f>HYPERLINK("http://141.218.60.56/~jnz1568/getInfo.php?workbook=07_01.xlsx&amp;sheet=A0&amp;row=262&amp;col=19&amp;number=&amp;sourceID=12","")</f>
        <v/>
      </c>
      <c r="T262" s="4" t="str">
        <f>HYPERLINK("http://141.218.60.56/~jnz1568/getInfo.php?workbook=07_01.xlsx&amp;sheet=A0&amp;row=262&amp;col=20&amp;number==SUM(U262:X262)&amp;sourceID=30","=SUM(U262:X262)")</f>
        <v>=SUM(U262:X262)</v>
      </c>
      <c r="U262" s="4" t="str">
        <f>HYPERLINK("http://141.218.60.56/~jnz1568/getInfo.php?workbook=07_01.xlsx&amp;sheet=A0&amp;row=262&amp;col=21&amp;number=6209000000&amp;sourceID=30","6209000000")</f>
        <v>6209000000</v>
      </c>
      <c r="V262" s="4" t="str">
        <f>HYPERLINK("http://141.218.60.56/~jnz1568/getInfo.php?workbook=07_01.xlsx&amp;sheet=A0&amp;row=262&amp;col=22&amp;number=&amp;sourceID=30","")</f>
        <v/>
      </c>
      <c r="W262" s="4" t="str">
        <f>HYPERLINK("http://141.218.60.56/~jnz1568/getInfo.php?workbook=07_01.xlsx&amp;sheet=A0&amp;row=262&amp;col=23&amp;number=&amp;sourceID=30","")</f>
        <v/>
      </c>
      <c r="X262" s="4" t="str">
        <f>HYPERLINK("http://141.218.60.56/~jnz1568/getInfo.php?workbook=07_01.xlsx&amp;sheet=A0&amp;row=262&amp;col=24&amp;number=1.967&amp;sourceID=30","1.967")</f>
        <v>1.967</v>
      </c>
      <c r="Y262" s="4" t="str">
        <f>HYPERLINK("http://141.218.60.56/~jnz1568/getInfo.php?workbook=07_01.xlsx&amp;sheet=A0&amp;row=262&amp;col=25&amp;number=&amp;sourceID=13","")</f>
        <v/>
      </c>
      <c r="Z262" s="4" t="str">
        <f>HYPERLINK("http://141.218.60.56/~jnz1568/getInfo.php?workbook=07_01.xlsx&amp;sheet=A0&amp;row=262&amp;col=26&amp;number=&amp;sourceID=13","")</f>
        <v/>
      </c>
      <c r="AA262" s="4" t="str">
        <f>HYPERLINK("http://141.218.60.56/~jnz1568/getInfo.php?workbook=07_01.xlsx&amp;sheet=A0&amp;row=262&amp;col=27&amp;number=&amp;sourceID=13","")</f>
        <v/>
      </c>
      <c r="AB262" s="4" t="str">
        <f>HYPERLINK("http://141.218.60.56/~jnz1568/getInfo.php?workbook=07_01.xlsx&amp;sheet=A0&amp;row=262&amp;col=28&amp;number=&amp;sourceID=13","")</f>
        <v/>
      </c>
      <c r="AC262" s="4" t="str">
        <f>HYPERLINK("http://141.218.60.56/~jnz1568/getInfo.php?workbook=07_01.xlsx&amp;sheet=A0&amp;row=262&amp;col=29&amp;number=&amp;sourceID=13","")</f>
        <v/>
      </c>
      <c r="AD262" s="4" t="str">
        <f>HYPERLINK("http://141.218.60.56/~jnz1568/getInfo.php?workbook=07_01.xlsx&amp;sheet=A0&amp;row=262&amp;col=30&amp;number=&amp;sourceID=13","")</f>
        <v/>
      </c>
    </row>
    <row r="263" spans="1:30">
      <c r="A263" s="3">
        <v>7</v>
      </c>
      <c r="B263" s="3">
        <v>1</v>
      </c>
      <c r="C263" s="3">
        <v>24</v>
      </c>
      <c r="D263" s="3">
        <v>16</v>
      </c>
      <c r="E263" s="3">
        <f>((1/(INDEX(E0!J$4:J$28,C263,1)-INDEX(E0!J$4:J$28,D263,1))))*100000000</f>
        <v>0</v>
      </c>
      <c r="F263" s="4" t="str">
        <f>HYPERLINK("http://141.218.60.56/~jnz1568/getInfo.php?workbook=07_01.xlsx&amp;sheet=A0&amp;row=263&amp;col=6&amp;number==&amp;sourceID=11","=")</f>
        <v>=</v>
      </c>
      <c r="G263" s="4" t="str">
        <f>HYPERLINK("http://141.218.60.56/~jnz1568/getInfo.php?workbook=07_01.xlsx&amp;sheet=A0&amp;row=263&amp;col=7&amp;number=&amp;sourceID=11","")</f>
        <v/>
      </c>
      <c r="H263" s="4" t="str">
        <f>HYPERLINK("http://141.218.60.56/~jnz1568/getInfo.php?workbook=07_01.xlsx&amp;sheet=A0&amp;row=263&amp;col=8&amp;number=16069&amp;sourceID=11","16069")</f>
        <v>16069</v>
      </c>
      <c r="I263" s="4" t="str">
        <f>HYPERLINK("http://141.218.60.56/~jnz1568/getInfo.php?workbook=07_01.xlsx&amp;sheet=A0&amp;row=263&amp;col=9&amp;number=&amp;sourceID=11","")</f>
        <v/>
      </c>
      <c r="J263" s="4" t="str">
        <f>HYPERLINK("http://141.218.60.56/~jnz1568/getInfo.php?workbook=07_01.xlsx&amp;sheet=A0&amp;row=263&amp;col=10&amp;number=0.00085386&amp;sourceID=11","0.00085386")</f>
        <v>0.00085386</v>
      </c>
      <c r="K263" s="4" t="str">
        <f>HYPERLINK("http://141.218.60.56/~jnz1568/getInfo.php?workbook=07_01.xlsx&amp;sheet=A0&amp;row=263&amp;col=11&amp;number=&amp;sourceID=11","")</f>
        <v/>
      </c>
      <c r="L263" s="4" t="str">
        <f>HYPERLINK("http://141.218.60.56/~jnz1568/getInfo.php?workbook=07_01.xlsx&amp;sheet=A0&amp;row=263&amp;col=12&amp;number=6.9633e-06&amp;sourceID=11","6.9633e-06")</f>
        <v>6.9633e-06</v>
      </c>
      <c r="M263" s="4" t="str">
        <f>HYPERLINK("http://141.218.60.56/~jnz1568/getInfo.php?workbook=07_01.xlsx&amp;sheet=A0&amp;row=263&amp;col=13&amp;number=16070&amp;sourceID=12","16070")</f>
        <v>16070</v>
      </c>
      <c r="N263" s="4" t="str">
        <f>HYPERLINK("http://141.218.60.56/~jnz1568/getInfo.php?workbook=07_01.xlsx&amp;sheet=A0&amp;row=263&amp;col=14&amp;number=&amp;sourceID=12","")</f>
        <v/>
      </c>
      <c r="O263" s="4" t="str">
        <f>HYPERLINK("http://141.218.60.56/~jnz1568/getInfo.php?workbook=07_01.xlsx&amp;sheet=A0&amp;row=263&amp;col=15&amp;number=16070&amp;sourceID=12","16070")</f>
        <v>16070</v>
      </c>
      <c r="P263" s="4" t="str">
        <f>HYPERLINK("http://141.218.60.56/~jnz1568/getInfo.php?workbook=07_01.xlsx&amp;sheet=A0&amp;row=263&amp;col=16&amp;number=&amp;sourceID=12","")</f>
        <v/>
      </c>
      <c r="Q263" s="4" t="str">
        <f>HYPERLINK("http://141.218.60.56/~jnz1568/getInfo.php?workbook=07_01.xlsx&amp;sheet=A0&amp;row=263&amp;col=17&amp;number=0.0008539&amp;sourceID=12","0.0008539")</f>
        <v>0.0008539</v>
      </c>
      <c r="R263" s="4" t="str">
        <f>HYPERLINK("http://141.218.60.56/~jnz1568/getInfo.php?workbook=07_01.xlsx&amp;sheet=A0&amp;row=263&amp;col=18&amp;number=&amp;sourceID=12","")</f>
        <v/>
      </c>
      <c r="S263" s="4" t="str">
        <f>HYPERLINK("http://141.218.60.56/~jnz1568/getInfo.php?workbook=07_01.xlsx&amp;sheet=A0&amp;row=263&amp;col=19&amp;number=6.9635e-06&amp;sourceID=12","6.9635e-06")</f>
        <v>6.9635e-06</v>
      </c>
      <c r="T263" s="4" t="str">
        <f>HYPERLINK("http://141.218.60.56/~jnz1568/getInfo.php?workbook=07_01.xlsx&amp;sheet=A0&amp;row=263&amp;col=20&amp;number==SUM(U263:X263)&amp;sourceID=30","=SUM(U263:X263)")</f>
        <v>=SUM(U263:X263)</v>
      </c>
      <c r="U263" s="4" t="str">
        <f>HYPERLINK("http://141.218.60.56/~jnz1568/getInfo.php?workbook=07_01.xlsx&amp;sheet=A0&amp;row=263&amp;col=21&amp;number=&amp;sourceID=30","")</f>
        <v/>
      </c>
      <c r="V263" s="4" t="str">
        <f>HYPERLINK("http://141.218.60.56/~jnz1568/getInfo.php?workbook=07_01.xlsx&amp;sheet=A0&amp;row=263&amp;col=22&amp;number=16070&amp;sourceID=30","16070")</f>
        <v>16070</v>
      </c>
      <c r="W263" s="4" t="str">
        <f>HYPERLINK("http://141.218.60.56/~jnz1568/getInfo.php?workbook=07_01.xlsx&amp;sheet=A0&amp;row=263&amp;col=23&amp;number=0.0008536&amp;sourceID=30","0.0008536")</f>
        <v>0.0008536</v>
      </c>
      <c r="X263" s="4" t="str">
        <f>HYPERLINK("http://141.218.60.56/~jnz1568/getInfo.php?workbook=07_01.xlsx&amp;sheet=A0&amp;row=263&amp;col=24&amp;number=&amp;sourceID=30","")</f>
        <v/>
      </c>
      <c r="Y263" s="4" t="str">
        <f>HYPERLINK("http://141.218.60.56/~jnz1568/getInfo.php?workbook=07_01.xlsx&amp;sheet=A0&amp;row=263&amp;col=25&amp;number=&amp;sourceID=13","")</f>
        <v/>
      </c>
      <c r="Z263" s="4" t="str">
        <f>HYPERLINK("http://141.218.60.56/~jnz1568/getInfo.php?workbook=07_01.xlsx&amp;sheet=A0&amp;row=263&amp;col=26&amp;number=&amp;sourceID=13","")</f>
        <v/>
      </c>
      <c r="AA263" s="4" t="str">
        <f>HYPERLINK("http://141.218.60.56/~jnz1568/getInfo.php?workbook=07_01.xlsx&amp;sheet=A0&amp;row=263&amp;col=27&amp;number=&amp;sourceID=13","")</f>
        <v/>
      </c>
      <c r="AB263" s="4" t="str">
        <f>HYPERLINK("http://141.218.60.56/~jnz1568/getInfo.php?workbook=07_01.xlsx&amp;sheet=A0&amp;row=263&amp;col=28&amp;number=&amp;sourceID=13","")</f>
        <v/>
      </c>
      <c r="AC263" s="4" t="str">
        <f>HYPERLINK("http://141.218.60.56/~jnz1568/getInfo.php?workbook=07_01.xlsx&amp;sheet=A0&amp;row=263&amp;col=29&amp;number=&amp;sourceID=13","")</f>
        <v/>
      </c>
      <c r="AD263" s="4" t="str">
        <f>HYPERLINK("http://141.218.60.56/~jnz1568/getInfo.php?workbook=07_01.xlsx&amp;sheet=A0&amp;row=263&amp;col=30&amp;number=&amp;sourceID=13","")</f>
        <v/>
      </c>
    </row>
    <row r="264" spans="1:30">
      <c r="A264" s="3">
        <v>7</v>
      </c>
      <c r="B264" s="3">
        <v>1</v>
      </c>
      <c r="C264" s="3">
        <v>24</v>
      </c>
      <c r="D264" s="3">
        <v>17</v>
      </c>
      <c r="E264" s="3">
        <f>((1/(INDEX(E0!J$4:J$28,C264,1)-INDEX(E0!J$4:J$28,D264,1))))*100000000</f>
        <v>0</v>
      </c>
      <c r="F264" s="4" t="str">
        <f>HYPERLINK("http://141.218.60.56/~jnz1568/getInfo.php?workbook=07_01.xlsx&amp;sheet=A0&amp;row=264&amp;col=6&amp;number==&amp;sourceID=11","=")</f>
        <v>=</v>
      </c>
      <c r="G264" s="4" t="str">
        <f>HYPERLINK("http://141.218.60.56/~jnz1568/getInfo.php?workbook=07_01.xlsx&amp;sheet=A0&amp;row=264&amp;col=7&amp;number=&amp;sourceID=11","")</f>
        <v/>
      </c>
      <c r="H264" s="4" t="str">
        <f>HYPERLINK("http://141.218.60.56/~jnz1568/getInfo.php?workbook=07_01.xlsx&amp;sheet=A0&amp;row=264&amp;col=8&amp;number=&amp;sourceID=11","")</f>
        <v/>
      </c>
      <c r="I264" s="4" t="str">
        <f>HYPERLINK("http://141.218.60.56/~jnz1568/getInfo.php?workbook=07_01.xlsx&amp;sheet=A0&amp;row=264&amp;col=9&amp;number=&amp;sourceID=11","")</f>
        <v/>
      </c>
      <c r="J264" s="4" t="str">
        <f>HYPERLINK("http://141.218.60.56/~jnz1568/getInfo.php?workbook=07_01.xlsx&amp;sheet=A0&amp;row=264&amp;col=10&amp;number=&amp;sourceID=11","")</f>
        <v/>
      </c>
      <c r="K264" s="4" t="str">
        <f>HYPERLINK("http://141.218.60.56/~jnz1568/getInfo.php?workbook=07_01.xlsx&amp;sheet=A0&amp;row=264&amp;col=11&amp;number=&amp;sourceID=11","")</f>
        <v/>
      </c>
      <c r="L264" s="4" t="str">
        <f>HYPERLINK("http://141.218.60.56/~jnz1568/getInfo.php?workbook=07_01.xlsx&amp;sheet=A0&amp;row=264&amp;col=12&amp;number=0&amp;sourceID=11","0")</f>
        <v>0</v>
      </c>
      <c r="M264" s="4" t="str">
        <f>HYPERLINK("http://141.218.60.56/~jnz1568/getInfo.php?workbook=07_01.xlsx&amp;sheet=A0&amp;row=264&amp;col=13&amp;number=0&amp;sourceID=12","0")</f>
        <v>0</v>
      </c>
      <c r="N264" s="4" t="str">
        <f>HYPERLINK("http://141.218.60.56/~jnz1568/getInfo.php?workbook=07_01.xlsx&amp;sheet=A0&amp;row=264&amp;col=14&amp;number=&amp;sourceID=12","")</f>
        <v/>
      </c>
      <c r="O264" s="4" t="str">
        <f>HYPERLINK("http://141.218.60.56/~jnz1568/getInfo.php?workbook=07_01.xlsx&amp;sheet=A0&amp;row=264&amp;col=15&amp;number=&amp;sourceID=12","")</f>
        <v/>
      </c>
      <c r="P264" s="4" t="str">
        <f>HYPERLINK("http://141.218.60.56/~jnz1568/getInfo.php?workbook=07_01.xlsx&amp;sheet=A0&amp;row=264&amp;col=16&amp;number=&amp;sourceID=12","")</f>
        <v/>
      </c>
      <c r="Q264" s="4" t="str">
        <f>HYPERLINK("http://141.218.60.56/~jnz1568/getInfo.php?workbook=07_01.xlsx&amp;sheet=A0&amp;row=264&amp;col=17&amp;number=&amp;sourceID=12","")</f>
        <v/>
      </c>
      <c r="R264" s="4" t="str">
        <f>HYPERLINK("http://141.218.60.56/~jnz1568/getInfo.php?workbook=07_01.xlsx&amp;sheet=A0&amp;row=264&amp;col=18&amp;number=&amp;sourceID=12","")</f>
        <v/>
      </c>
      <c r="S264" s="4" t="str">
        <f>HYPERLINK("http://141.218.60.56/~jnz1568/getInfo.php?workbook=07_01.xlsx&amp;sheet=A0&amp;row=264&amp;col=19&amp;number=0&amp;sourceID=12","0")</f>
        <v>0</v>
      </c>
      <c r="T264" s="4" t="str">
        <f>HYPERLINK("http://141.218.60.56/~jnz1568/getInfo.php?workbook=07_01.xlsx&amp;sheet=A0&amp;row=264&amp;col=20&amp;number=&amp;sourceID=30","")</f>
        <v/>
      </c>
      <c r="U264" s="4" t="str">
        <f>HYPERLINK("http://141.218.60.56/~jnz1568/getInfo.php?workbook=07_01.xlsx&amp;sheet=A0&amp;row=264&amp;col=21&amp;number=&amp;sourceID=30","")</f>
        <v/>
      </c>
      <c r="V264" s="4" t="str">
        <f>HYPERLINK("http://141.218.60.56/~jnz1568/getInfo.php?workbook=07_01.xlsx&amp;sheet=A0&amp;row=264&amp;col=22&amp;number=&amp;sourceID=30","")</f>
        <v/>
      </c>
      <c r="W264" s="4" t="str">
        <f>HYPERLINK("http://141.218.60.56/~jnz1568/getInfo.php?workbook=07_01.xlsx&amp;sheet=A0&amp;row=264&amp;col=23&amp;number=&amp;sourceID=30","")</f>
        <v/>
      </c>
      <c r="X264" s="4" t="str">
        <f>HYPERLINK("http://141.218.60.56/~jnz1568/getInfo.php?workbook=07_01.xlsx&amp;sheet=A0&amp;row=264&amp;col=24&amp;number=&amp;sourceID=30","")</f>
        <v/>
      </c>
      <c r="Y264" s="4" t="str">
        <f>HYPERLINK("http://141.218.60.56/~jnz1568/getInfo.php?workbook=07_01.xlsx&amp;sheet=A0&amp;row=264&amp;col=25&amp;number=&amp;sourceID=13","")</f>
        <v/>
      </c>
      <c r="Z264" s="4" t="str">
        <f>HYPERLINK("http://141.218.60.56/~jnz1568/getInfo.php?workbook=07_01.xlsx&amp;sheet=A0&amp;row=264&amp;col=26&amp;number=&amp;sourceID=13","")</f>
        <v/>
      </c>
      <c r="AA264" s="4" t="str">
        <f>HYPERLINK("http://141.218.60.56/~jnz1568/getInfo.php?workbook=07_01.xlsx&amp;sheet=A0&amp;row=264&amp;col=27&amp;number=&amp;sourceID=13","")</f>
        <v/>
      </c>
      <c r="AB264" s="4" t="str">
        <f>HYPERLINK("http://141.218.60.56/~jnz1568/getInfo.php?workbook=07_01.xlsx&amp;sheet=A0&amp;row=264&amp;col=28&amp;number=&amp;sourceID=13","")</f>
        <v/>
      </c>
      <c r="AC264" s="4" t="str">
        <f>HYPERLINK("http://141.218.60.56/~jnz1568/getInfo.php?workbook=07_01.xlsx&amp;sheet=A0&amp;row=264&amp;col=29&amp;number=&amp;sourceID=13","")</f>
        <v/>
      </c>
      <c r="AD264" s="4" t="str">
        <f>HYPERLINK("http://141.218.60.56/~jnz1568/getInfo.php?workbook=07_01.xlsx&amp;sheet=A0&amp;row=264&amp;col=30&amp;number=&amp;sourceID=13","")</f>
        <v/>
      </c>
    </row>
    <row r="265" spans="1:30">
      <c r="A265" s="3">
        <v>7</v>
      </c>
      <c r="B265" s="3">
        <v>1</v>
      </c>
      <c r="C265" s="3">
        <v>24</v>
      </c>
      <c r="D265" s="3">
        <v>18</v>
      </c>
      <c r="E265" s="3">
        <f>((1/(INDEX(E0!J$4:J$28,C265,1)-INDEX(E0!J$4:J$28,D265,1))))*100000000</f>
        <v>0</v>
      </c>
      <c r="F265" s="4" t="str">
        <f>HYPERLINK("http://141.218.60.56/~jnz1568/getInfo.php?workbook=07_01.xlsx&amp;sheet=A0&amp;row=265&amp;col=6&amp;number==&amp;sourceID=11","=")</f>
        <v>=</v>
      </c>
      <c r="G265" s="4" t="str">
        <f>HYPERLINK("http://141.218.60.56/~jnz1568/getInfo.php?workbook=07_01.xlsx&amp;sheet=A0&amp;row=265&amp;col=7&amp;number=&amp;sourceID=11","")</f>
        <v/>
      </c>
      <c r="H265" s="4" t="str">
        <f>HYPERLINK("http://141.218.60.56/~jnz1568/getInfo.php?workbook=07_01.xlsx&amp;sheet=A0&amp;row=265&amp;col=8&amp;number=&amp;sourceID=11","")</f>
        <v/>
      </c>
      <c r="I265" s="4" t="str">
        <f>HYPERLINK("http://141.218.60.56/~jnz1568/getInfo.php?workbook=07_01.xlsx&amp;sheet=A0&amp;row=265&amp;col=9&amp;number=0&amp;sourceID=11","0")</f>
        <v>0</v>
      </c>
      <c r="J265" s="4" t="str">
        <f>HYPERLINK("http://141.218.60.56/~jnz1568/getInfo.php?workbook=07_01.xlsx&amp;sheet=A0&amp;row=265&amp;col=10&amp;number=&amp;sourceID=11","")</f>
        <v/>
      </c>
      <c r="K265" s="4" t="str">
        <f>HYPERLINK("http://141.218.60.56/~jnz1568/getInfo.php?workbook=07_01.xlsx&amp;sheet=A0&amp;row=265&amp;col=11&amp;number=&amp;sourceID=11","")</f>
        <v/>
      </c>
      <c r="L265" s="4" t="str">
        <f>HYPERLINK("http://141.218.60.56/~jnz1568/getInfo.php?workbook=07_01.xlsx&amp;sheet=A0&amp;row=265&amp;col=12&amp;number=&amp;sourceID=11","")</f>
        <v/>
      </c>
      <c r="M265" s="4" t="str">
        <f>HYPERLINK("http://141.218.60.56/~jnz1568/getInfo.php?workbook=07_01.xlsx&amp;sheet=A0&amp;row=265&amp;col=13&amp;number=0&amp;sourceID=12","0")</f>
        <v>0</v>
      </c>
      <c r="N265" s="4" t="str">
        <f>HYPERLINK("http://141.218.60.56/~jnz1568/getInfo.php?workbook=07_01.xlsx&amp;sheet=A0&amp;row=265&amp;col=14&amp;number=&amp;sourceID=12","")</f>
        <v/>
      </c>
      <c r="O265" s="4" t="str">
        <f>HYPERLINK("http://141.218.60.56/~jnz1568/getInfo.php?workbook=07_01.xlsx&amp;sheet=A0&amp;row=265&amp;col=15&amp;number=&amp;sourceID=12","")</f>
        <v/>
      </c>
      <c r="P265" s="4" t="str">
        <f>HYPERLINK("http://141.218.60.56/~jnz1568/getInfo.php?workbook=07_01.xlsx&amp;sheet=A0&amp;row=265&amp;col=16&amp;number=0&amp;sourceID=12","0")</f>
        <v>0</v>
      </c>
      <c r="Q265" s="4" t="str">
        <f>HYPERLINK("http://141.218.60.56/~jnz1568/getInfo.php?workbook=07_01.xlsx&amp;sheet=A0&amp;row=265&amp;col=17&amp;number=&amp;sourceID=12","")</f>
        <v/>
      </c>
      <c r="R265" s="4" t="str">
        <f>HYPERLINK("http://141.218.60.56/~jnz1568/getInfo.php?workbook=07_01.xlsx&amp;sheet=A0&amp;row=265&amp;col=18&amp;number=&amp;sourceID=12","")</f>
        <v/>
      </c>
      <c r="S265" s="4" t="str">
        <f>HYPERLINK("http://141.218.60.56/~jnz1568/getInfo.php?workbook=07_01.xlsx&amp;sheet=A0&amp;row=265&amp;col=19&amp;number=&amp;sourceID=12","")</f>
        <v/>
      </c>
      <c r="T265" s="4" t="str">
        <f>HYPERLINK("http://141.218.60.56/~jnz1568/getInfo.php?workbook=07_01.xlsx&amp;sheet=A0&amp;row=265&amp;col=20&amp;number=&amp;sourceID=30","")</f>
        <v/>
      </c>
      <c r="U265" s="4" t="str">
        <f>HYPERLINK("http://141.218.60.56/~jnz1568/getInfo.php?workbook=07_01.xlsx&amp;sheet=A0&amp;row=265&amp;col=21&amp;number=&amp;sourceID=30","")</f>
        <v/>
      </c>
      <c r="V265" s="4" t="str">
        <f>HYPERLINK("http://141.218.60.56/~jnz1568/getInfo.php?workbook=07_01.xlsx&amp;sheet=A0&amp;row=265&amp;col=22&amp;number=&amp;sourceID=30","")</f>
        <v/>
      </c>
      <c r="W265" s="4" t="str">
        <f>HYPERLINK("http://141.218.60.56/~jnz1568/getInfo.php?workbook=07_01.xlsx&amp;sheet=A0&amp;row=265&amp;col=23&amp;number=&amp;sourceID=30","")</f>
        <v/>
      </c>
      <c r="X265" s="4" t="str">
        <f>HYPERLINK("http://141.218.60.56/~jnz1568/getInfo.php?workbook=07_01.xlsx&amp;sheet=A0&amp;row=265&amp;col=24&amp;number=&amp;sourceID=30","")</f>
        <v/>
      </c>
      <c r="Y265" s="4" t="str">
        <f>HYPERLINK("http://141.218.60.56/~jnz1568/getInfo.php?workbook=07_01.xlsx&amp;sheet=A0&amp;row=265&amp;col=25&amp;number=&amp;sourceID=13","")</f>
        <v/>
      </c>
      <c r="Z265" s="4" t="str">
        <f>HYPERLINK("http://141.218.60.56/~jnz1568/getInfo.php?workbook=07_01.xlsx&amp;sheet=A0&amp;row=265&amp;col=26&amp;number=&amp;sourceID=13","")</f>
        <v/>
      </c>
      <c r="AA265" s="4" t="str">
        <f>HYPERLINK("http://141.218.60.56/~jnz1568/getInfo.php?workbook=07_01.xlsx&amp;sheet=A0&amp;row=265&amp;col=27&amp;number=&amp;sourceID=13","")</f>
        <v/>
      </c>
      <c r="AB265" s="4" t="str">
        <f>HYPERLINK("http://141.218.60.56/~jnz1568/getInfo.php?workbook=07_01.xlsx&amp;sheet=A0&amp;row=265&amp;col=28&amp;number=&amp;sourceID=13","")</f>
        <v/>
      </c>
      <c r="AC265" s="4" t="str">
        <f>HYPERLINK("http://141.218.60.56/~jnz1568/getInfo.php?workbook=07_01.xlsx&amp;sheet=A0&amp;row=265&amp;col=29&amp;number=&amp;sourceID=13","")</f>
        <v/>
      </c>
      <c r="AD265" s="4" t="str">
        <f>HYPERLINK("http://141.218.60.56/~jnz1568/getInfo.php?workbook=07_01.xlsx&amp;sheet=A0&amp;row=265&amp;col=30&amp;number=&amp;sourceID=13","")</f>
        <v/>
      </c>
    </row>
    <row r="266" spans="1:30">
      <c r="A266" s="3">
        <v>7</v>
      </c>
      <c r="B266" s="3">
        <v>1</v>
      </c>
      <c r="C266" s="3">
        <v>24</v>
      </c>
      <c r="D266" s="3">
        <v>19</v>
      </c>
      <c r="E266" s="3">
        <f>((1/(INDEX(E0!J$4:J$28,C266,1)-INDEX(E0!J$4:J$28,D266,1))))*100000000</f>
        <v>0</v>
      </c>
      <c r="F266" s="4" t="str">
        <f>HYPERLINK("http://141.218.60.56/~jnz1568/getInfo.php?workbook=07_01.xlsx&amp;sheet=A0&amp;row=266&amp;col=6&amp;number==&amp;sourceID=11","=")</f>
        <v>=</v>
      </c>
      <c r="G266" s="4" t="str">
        <f>HYPERLINK("http://141.218.60.56/~jnz1568/getInfo.php?workbook=07_01.xlsx&amp;sheet=A0&amp;row=266&amp;col=7&amp;number=&amp;sourceID=11","")</f>
        <v/>
      </c>
      <c r="H266" s="4" t="str">
        <f>HYPERLINK("http://141.218.60.56/~jnz1568/getInfo.php?workbook=07_01.xlsx&amp;sheet=A0&amp;row=266&amp;col=8&amp;number=&amp;sourceID=11","")</f>
        <v/>
      </c>
      <c r="I266" s="4" t="str">
        <f>HYPERLINK("http://141.218.60.56/~jnz1568/getInfo.php?workbook=07_01.xlsx&amp;sheet=A0&amp;row=266&amp;col=9&amp;number=0&amp;sourceID=11","0")</f>
        <v>0</v>
      </c>
      <c r="J266" s="4" t="str">
        <f>HYPERLINK("http://141.218.60.56/~jnz1568/getInfo.php?workbook=07_01.xlsx&amp;sheet=A0&amp;row=266&amp;col=10&amp;number=&amp;sourceID=11","")</f>
        <v/>
      </c>
      <c r="K266" s="4" t="str">
        <f>HYPERLINK("http://141.218.60.56/~jnz1568/getInfo.php?workbook=07_01.xlsx&amp;sheet=A0&amp;row=266&amp;col=11&amp;number=0&amp;sourceID=11","0")</f>
        <v>0</v>
      </c>
      <c r="L266" s="4" t="str">
        <f>HYPERLINK("http://141.218.60.56/~jnz1568/getInfo.php?workbook=07_01.xlsx&amp;sheet=A0&amp;row=266&amp;col=12&amp;number=&amp;sourceID=11","")</f>
        <v/>
      </c>
      <c r="M266" s="4" t="str">
        <f>HYPERLINK("http://141.218.60.56/~jnz1568/getInfo.php?workbook=07_01.xlsx&amp;sheet=A0&amp;row=266&amp;col=13&amp;number=0&amp;sourceID=12","0")</f>
        <v>0</v>
      </c>
      <c r="N266" s="4" t="str">
        <f>HYPERLINK("http://141.218.60.56/~jnz1568/getInfo.php?workbook=07_01.xlsx&amp;sheet=A0&amp;row=266&amp;col=14&amp;number=&amp;sourceID=12","")</f>
        <v/>
      </c>
      <c r="O266" s="4" t="str">
        <f>HYPERLINK("http://141.218.60.56/~jnz1568/getInfo.php?workbook=07_01.xlsx&amp;sheet=A0&amp;row=266&amp;col=15&amp;number=&amp;sourceID=12","")</f>
        <v/>
      </c>
      <c r="P266" s="4" t="str">
        <f>HYPERLINK("http://141.218.60.56/~jnz1568/getInfo.php?workbook=07_01.xlsx&amp;sheet=A0&amp;row=266&amp;col=16&amp;number=0&amp;sourceID=12","0")</f>
        <v>0</v>
      </c>
      <c r="Q266" s="4" t="str">
        <f>HYPERLINK("http://141.218.60.56/~jnz1568/getInfo.php?workbook=07_01.xlsx&amp;sheet=A0&amp;row=266&amp;col=17&amp;number=&amp;sourceID=12","")</f>
        <v/>
      </c>
      <c r="R266" s="4" t="str">
        <f>HYPERLINK("http://141.218.60.56/~jnz1568/getInfo.php?workbook=07_01.xlsx&amp;sheet=A0&amp;row=266&amp;col=18&amp;number=0&amp;sourceID=12","0")</f>
        <v>0</v>
      </c>
      <c r="S266" s="4" t="str">
        <f>HYPERLINK("http://141.218.60.56/~jnz1568/getInfo.php?workbook=07_01.xlsx&amp;sheet=A0&amp;row=266&amp;col=19&amp;number=&amp;sourceID=12","")</f>
        <v/>
      </c>
      <c r="T266" s="4" t="str">
        <f>HYPERLINK("http://141.218.60.56/~jnz1568/getInfo.php?workbook=07_01.xlsx&amp;sheet=A0&amp;row=266&amp;col=20&amp;number==SUM(U266:X266)&amp;sourceID=30","=SUM(U266:X266)")</f>
        <v>=SUM(U266:X266)</v>
      </c>
      <c r="U266" s="4" t="str">
        <f>HYPERLINK("http://141.218.60.56/~jnz1568/getInfo.php?workbook=07_01.xlsx&amp;sheet=A0&amp;row=266&amp;col=21&amp;number=&amp;sourceID=30","")</f>
        <v/>
      </c>
      <c r="V266" s="4" t="str">
        <f>HYPERLINK("http://141.218.60.56/~jnz1568/getInfo.php?workbook=07_01.xlsx&amp;sheet=A0&amp;row=266&amp;col=22&amp;number=&amp;sourceID=30","")</f>
        <v/>
      </c>
      <c r="W266" s="4" t="str">
        <f>HYPERLINK("http://141.218.60.56/~jnz1568/getInfo.php?workbook=07_01.xlsx&amp;sheet=A0&amp;row=266&amp;col=23&amp;number=&amp;sourceID=30","")</f>
        <v/>
      </c>
      <c r="X266" s="4" t="str">
        <f>HYPERLINK("http://141.218.60.56/~jnz1568/getInfo.php?workbook=07_01.xlsx&amp;sheet=A0&amp;row=266&amp;col=24&amp;number=0&amp;sourceID=30","0")</f>
        <v>0</v>
      </c>
      <c r="Y266" s="4" t="str">
        <f>HYPERLINK("http://141.218.60.56/~jnz1568/getInfo.php?workbook=07_01.xlsx&amp;sheet=A0&amp;row=266&amp;col=25&amp;number=&amp;sourceID=13","")</f>
        <v/>
      </c>
      <c r="Z266" s="4" t="str">
        <f>HYPERLINK("http://141.218.60.56/~jnz1568/getInfo.php?workbook=07_01.xlsx&amp;sheet=A0&amp;row=266&amp;col=26&amp;number=&amp;sourceID=13","")</f>
        <v/>
      </c>
      <c r="AA266" s="4" t="str">
        <f>HYPERLINK("http://141.218.60.56/~jnz1568/getInfo.php?workbook=07_01.xlsx&amp;sheet=A0&amp;row=266&amp;col=27&amp;number=&amp;sourceID=13","")</f>
        <v/>
      </c>
      <c r="AB266" s="4" t="str">
        <f>HYPERLINK("http://141.218.60.56/~jnz1568/getInfo.php?workbook=07_01.xlsx&amp;sheet=A0&amp;row=266&amp;col=28&amp;number=&amp;sourceID=13","")</f>
        <v/>
      </c>
      <c r="AC266" s="4" t="str">
        <f>HYPERLINK("http://141.218.60.56/~jnz1568/getInfo.php?workbook=07_01.xlsx&amp;sheet=A0&amp;row=266&amp;col=29&amp;number=&amp;sourceID=13","")</f>
        <v/>
      </c>
      <c r="AD266" s="4" t="str">
        <f>HYPERLINK("http://141.218.60.56/~jnz1568/getInfo.php?workbook=07_01.xlsx&amp;sheet=A0&amp;row=266&amp;col=30&amp;number=&amp;sourceID=13","")</f>
        <v/>
      </c>
    </row>
    <row r="267" spans="1:30">
      <c r="A267" s="3">
        <v>7</v>
      </c>
      <c r="B267" s="3">
        <v>1</v>
      </c>
      <c r="C267" s="3">
        <v>24</v>
      </c>
      <c r="D267" s="3">
        <v>20</v>
      </c>
      <c r="E267" s="3">
        <f>((1/(INDEX(E0!J$4:J$28,C267,1)-INDEX(E0!J$4:J$28,D267,1))))*100000000</f>
        <v>0</v>
      </c>
      <c r="F267" s="4" t="str">
        <f>HYPERLINK("http://141.218.60.56/~jnz1568/getInfo.php?workbook=07_01.xlsx&amp;sheet=A0&amp;row=267&amp;col=6&amp;number==&amp;sourceID=11","=")</f>
        <v>=</v>
      </c>
      <c r="G267" s="4" t="str">
        <f>HYPERLINK("http://141.218.60.56/~jnz1568/getInfo.php?workbook=07_01.xlsx&amp;sheet=A0&amp;row=267&amp;col=7&amp;number=&amp;sourceID=11","")</f>
        <v/>
      </c>
      <c r="H267" s="4" t="str">
        <f>HYPERLINK("http://141.218.60.56/~jnz1568/getInfo.php?workbook=07_01.xlsx&amp;sheet=A0&amp;row=267&amp;col=8&amp;number=2.74e-13&amp;sourceID=11","2.74e-13")</f>
        <v>2.74e-13</v>
      </c>
      <c r="I267" s="4" t="str">
        <f>HYPERLINK("http://141.218.60.56/~jnz1568/getInfo.php?workbook=07_01.xlsx&amp;sheet=A0&amp;row=267&amp;col=9&amp;number=&amp;sourceID=11","")</f>
        <v/>
      </c>
      <c r="J267" s="4" t="str">
        <f>HYPERLINK("http://141.218.60.56/~jnz1568/getInfo.php?workbook=07_01.xlsx&amp;sheet=A0&amp;row=267&amp;col=10&amp;number=&amp;sourceID=11","")</f>
        <v/>
      </c>
      <c r="K267" s="4" t="str">
        <f>HYPERLINK("http://141.218.60.56/~jnz1568/getInfo.php?workbook=07_01.xlsx&amp;sheet=A0&amp;row=267&amp;col=11&amp;number=&amp;sourceID=11","")</f>
        <v/>
      </c>
      <c r="L267" s="4" t="str">
        <f>HYPERLINK("http://141.218.60.56/~jnz1568/getInfo.php?workbook=07_01.xlsx&amp;sheet=A0&amp;row=267&amp;col=12&amp;number=0&amp;sourceID=11","0")</f>
        <v>0</v>
      </c>
      <c r="M267" s="4" t="str">
        <f>HYPERLINK("http://141.218.60.56/~jnz1568/getInfo.php?workbook=07_01.xlsx&amp;sheet=A0&amp;row=267&amp;col=13&amp;number=2.75e-13&amp;sourceID=12","2.75e-13")</f>
        <v>2.75e-13</v>
      </c>
      <c r="N267" s="4" t="str">
        <f>HYPERLINK("http://141.218.60.56/~jnz1568/getInfo.php?workbook=07_01.xlsx&amp;sheet=A0&amp;row=267&amp;col=14&amp;number=&amp;sourceID=12","")</f>
        <v/>
      </c>
      <c r="O267" s="4" t="str">
        <f>HYPERLINK("http://141.218.60.56/~jnz1568/getInfo.php?workbook=07_01.xlsx&amp;sheet=A0&amp;row=267&amp;col=15&amp;number=2.75e-13&amp;sourceID=12","2.75e-13")</f>
        <v>2.75e-13</v>
      </c>
      <c r="P267" s="4" t="str">
        <f>HYPERLINK("http://141.218.60.56/~jnz1568/getInfo.php?workbook=07_01.xlsx&amp;sheet=A0&amp;row=267&amp;col=16&amp;number=&amp;sourceID=12","")</f>
        <v/>
      </c>
      <c r="Q267" s="4" t="str">
        <f>HYPERLINK("http://141.218.60.56/~jnz1568/getInfo.php?workbook=07_01.xlsx&amp;sheet=A0&amp;row=267&amp;col=17&amp;number=&amp;sourceID=12","")</f>
        <v/>
      </c>
      <c r="R267" s="4" t="str">
        <f>HYPERLINK("http://141.218.60.56/~jnz1568/getInfo.php?workbook=07_01.xlsx&amp;sheet=A0&amp;row=267&amp;col=18&amp;number=&amp;sourceID=12","")</f>
        <v/>
      </c>
      <c r="S267" s="4" t="str">
        <f>HYPERLINK("http://141.218.60.56/~jnz1568/getInfo.php?workbook=07_01.xlsx&amp;sheet=A0&amp;row=267&amp;col=19&amp;number=0&amp;sourceID=12","0")</f>
        <v>0</v>
      </c>
      <c r="T267" s="4" t="str">
        <f>HYPERLINK("http://141.218.60.56/~jnz1568/getInfo.php?workbook=07_01.xlsx&amp;sheet=A0&amp;row=267&amp;col=20&amp;number==SUM(U267:X267)&amp;sourceID=30","=SUM(U267:X267)")</f>
        <v>=SUM(U267:X267)</v>
      </c>
      <c r="U267" s="4" t="str">
        <f>HYPERLINK("http://141.218.60.56/~jnz1568/getInfo.php?workbook=07_01.xlsx&amp;sheet=A0&amp;row=267&amp;col=21&amp;number=&amp;sourceID=30","")</f>
        <v/>
      </c>
      <c r="V267" s="4" t="str">
        <f>HYPERLINK("http://141.218.60.56/~jnz1568/getInfo.php?workbook=07_01.xlsx&amp;sheet=A0&amp;row=267&amp;col=22&amp;number=2.75e-13&amp;sourceID=30","2.75e-13")</f>
        <v>2.75e-13</v>
      </c>
      <c r="W267" s="4" t="str">
        <f>HYPERLINK("http://141.218.60.56/~jnz1568/getInfo.php?workbook=07_01.xlsx&amp;sheet=A0&amp;row=267&amp;col=23&amp;number=&amp;sourceID=30","")</f>
        <v/>
      </c>
      <c r="X267" s="4" t="str">
        <f>HYPERLINK("http://141.218.60.56/~jnz1568/getInfo.php?workbook=07_01.xlsx&amp;sheet=A0&amp;row=267&amp;col=24&amp;number=&amp;sourceID=30","")</f>
        <v/>
      </c>
      <c r="Y267" s="4" t="str">
        <f>HYPERLINK("http://141.218.60.56/~jnz1568/getInfo.php?workbook=07_01.xlsx&amp;sheet=A0&amp;row=267&amp;col=25&amp;number=&amp;sourceID=13","")</f>
        <v/>
      </c>
      <c r="Z267" s="4" t="str">
        <f>HYPERLINK("http://141.218.60.56/~jnz1568/getInfo.php?workbook=07_01.xlsx&amp;sheet=A0&amp;row=267&amp;col=26&amp;number=&amp;sourceID=13","")</f>
        <v/>
      </c>
      <c r="AA267" s="4" t="str">
        <f>HYPERLINK("http://141.218.60.56/~jnz1568/getInfo.php?workbook=07_01.xlsx&amp;sheet=A0&amp;row=267&amp;col=27&amp;number=&amp;sourceID=13","")</f>
        <v/>
      </c>
      <c r="AB267" s="4" t="str">
        <f>HYPERLINK("http://141.218.60.56/~jnz1568/getInfo.php?workbook=07_01.xlsx&amp;sheet=A0&amp;row=267&amp;col=28&amp;number=&amp;sourceID=13","")</f>
        <v/>
      </c>
      <c r="AC267" s="4" t="str">
        <f>HYPERLINK("http://141.218.60.56/~jnz1568/getInfo.php?workbook=07_01.xlsx&amp;sheet=A0&amp;row=267&amp;col=29&amp;number=&amp;sourceID=13","")</f>
        <v/>
      </c>
      <c r="AD267" s="4" t="str">
        <f>HYPERLINK("http://141.218.60.56/~jnz1568/getInfo.php?workbook=07_01.xlsx&amp;sheet=A0&amp;row=267&amp;col=30&amp;number=&amp;sourceID=13","")</f>
        <v/>
      </c>
    </row>
    <row r="268" spans="1:30">
      <c r="A268" s="3">
        <v>7</v>
      </c>
      <c r="B268" s="3">
        <v>1</v>
      </c>
      <c r="C268" s="3">
        <v>24</v>
      </c>
      <c r="D268" s="3">
        <v>21</v>
      </c>
      <c r="E268" s="3">
        <f>((1/(INDEX(E0!J$4:J$28,C268,1)-INDEX(E0!J$4:J$28,D268,1))))*100000000</f>
        <v>0</v>
      </c>
      <c r="F268" s="4" t="str">
        <f>HYPERLINK("http://141.218.60.56/~jnz1568/getInfo.php?workbook=07_01.xlsx&amp;sheet=A0&amp;row=268&amp;col=6&amp;number==&amp;sourceID=11","=")</f>
        <v>=</v>
      </c>
      <c r="G268" s="4" t="str">
        <f>HYPERLINK("http://141.218.60.56/~jnz1568/getInfo.php?workbook=07_01.xlsx&amp;sheet=A0&amp;row=268&amp;col=7&amp;number=&amp;sourceID=11","")</f>
        <v/>
      </c>
      <c r="H268" s="4" t="str">
        <f>HYPERLINK("http://141.218.60.56/~jnz1568/getInfo.php?workbook=07_01.xlsx&amp;sheet=A0&amp;row=268&amp;col=8&amp;number=0&amp;sourceID=11","0")</f>
        <v>0</v>
      </c>
      <c r="I268" s="4" t="str">
        <f>HYPERLINK("http://141.218.60.56/~jnz1568/getInfo.php?workbook=07_01.xlsx&amp;sheet=A0&amp;row=268&amp;col=9&amp;number=&amp;sourceID=11","")</f>
        <v/>
      </c>
      <c r="J268" s="4" t="str">
        <f>HYPERLINK("http://141.218.60.56/~jnz1568/getInfo.php?workbook=07_01.xlsx&amp;sheet=A0&amp;row=268&amp;col=10&amp;number=9.4665e-09&amp;sourceID=11","9.4665e-09")</f>
        <v>9.4665e-09</v>
      </c>
      <c r="K268" s="4" t="str">
        <f>HYPERLINK("http://141.218.60.56/~jnz1568/getInfo.php?workbook=07_01.xlsx&amp;sheet=A0&amp;row=268&amp;col=11&amp;number=&amp;sourceID=11","")</f>
        <v/>
      </c>
      <c r="L268" s="4" t="str">
        <f>HYPERLINK("http://141.218.60.56/~jnz1568/getInfo.php?workbook=07_01.xlsx&amp;sheet=A0&amp;row=268&amp;col=12&amp;number=0&amp;sourceID=11","0")</f>
        <v>0</v>
      </c>
      <c r="M268" s="4" t="str">
        <f>HYPERLINK("http://141.218.60.56/~jnz1568/getInfo.php?workbook=07_01.xlsx&amp;sheet=A0&amp;row=268&amp;col=13&amp;number=9.4693e-09&amp;sourceID=12","9.4693e-09")</f>
        <v>9.4693e-09</v>
      </c>
      <c r="N268" s="4" t="str">
        <f>HYPERLINK("http://141.218.60.56/~jnz1568/getInfo.php?workbook=07_01.xlsx&amp;sheet=A0&amp;row=268&amp;col=14&amp;number=&amp;sourceID=12","")</f>
        <v/>
      </c>
      <c r="O268" s="4" t="str">
        <f>HYPERLINK("http://141.218.60.56/~jnz1568/getInfo.php?workbook=07_01.xlsx&amp;sheet=A0&amp;row=268&amp;col=15&amp;number=0&amp;sourceID=12","0")</f>
        <v>0</v>
      </c>
      <c r="P268" s="4" t="str">
        <f>HYPERLINK("http://141.218.60.56/~jnz1568/getInfo.php?workbook=07_01.xlsx&amp;sheet=A0&amp;row=268&amp;col=16&amp;number=&amp;sourceID=12","")</f>
        <v/>
      </c>
      <c r="Q268" s="4" t="str">
        <f>HYPERLINK("http://141.218.60.56/~jnz1568/getInfo.php?workbook=07_01.xlsx&amp;sheet=A0&amp;row=268&amp;col=17&amp;number=9.4693e-09&amp;sourceID=12","9.4693e-09")</f>
        <v>9.4693e-09</v>
      </c>
      <c r="R268" s="4" t="str">
        <f>HYPERLINK("http://141.218.60.56/~jnz1568/getInfo.php?workbook=07_01.xlsx&amp;sheet=A0&amp;row=268&amp;col=18&amp;number=&amp;sourceID=12","")</f>
        <v/>
      </c>
      <c r="S268" s="4" t="str">
        <f>HYPERLINK("http://141.218.60.56/~jnz1568/getInfo.php?workbook=07_01.xlsx&amp;sheet=A0&amp;row=268&amp;col=19&amp;number=0&amp;sourceID=12","0")</f>
        <v>0</v>
      </c>
      <c r="T268" s="4" t="str">
        <f>HYPERLINK("http://141.218.60.56/~jnz1568/getInfo.php?workbook=07_01.xlsx&amp;sheet=A0&amp;row=268&amp;col=20&amp;number==SUM(U268:X268)&amp;sourceID=30","=SUM(U268:X268)")</f>
        <v>=SUM(U268:X268)</v>
      </c>
      <c r="U268" s="4" t="str">
        <f>HYPERLINK("http://141.218.60.56/~jnz1568/getInfo.php?workbook=07_01.xlsx&amp;sheet=A0&amp;row=268&amp;col=21&amp;number=&amp;sourceID=30","")</f>
        <v/>
      </c>
      <c r="V268" s="4" t="str">
        <f>HYPERLINK("http://141.218.60.56/~jnz1568/getInfo.php?workbook=07_01.xlsx&amp;sheet=A0&amp;row=268&amp;col=22&amp;number=0&amp;sourceID=30","0")</f>
        <v>0</v>
      </c>
      <c r="W268" s="4" t="str">
        <f>HYPERLINK("http://141.218.60.56/~jnz1568/getInfo.php?workbook=07_01.xlsx&amp;sheet=A0&amp;row=268&amp;col=23&amp;number=9.469e-09&amp;sourceID=30","9.469e-09")</f>
        <v>9.469e-09</v>
      </c>
      <c r="X268" s="4" t="str">
        <f>HYPERLINK("http://141.218.60.56/~jnz1568/getInfo.php?workbook=07_01.xlsx&amp;sheet=A0&amp;row=268&amp;col=24&amp;number=&amp;sourceID=30","")</f>
        <v/>
      </c>
      <c r="Y268" s="4" t="str">
        <f>HYPERLINK("http://141.218.60.56/~jnz1568/getInfo.php?workbook=07_01.xlsx&amp;sheet=A0&amp;row=268&amp;col=25&amp;number=&amp;sourceID=13","")</f>
        <v/>
      </c>
      <c r="Z268" s="4" t="str">
        <f>HYPERLINK("http://141.218.60.56/~jnz1568/getInfo.php?workbook=07_01.xlsx&amp;sheet=A0&amp;row=268&amp;col=26&amp;number=&amp;sourceID=13","")</f>
        <v/>
      </c>
      <c r="AA268" s="4" t="str">
        <f>HYPERLINK("http://141.218.60.56/~jnz1568/getInfo.php?workbook=07_01.xlsx&amp;sheet=A0&amp;row=268&amp;col=27&amp;number=&amp;sourceID=13","")</f>
        <v/>
      </c>
      <c r="AB268" s="4" t="str">
        <f>HYPERLINK("http://141.218.60.56/~jnz1568/getInfo.php?workbook=07_01.xlsx&amp;sheet=A0&amp;row=268&amp;col=28&amp;number=&amp;sourceID=13","")</f>
        <v/>
      </c>
      <c r="AC268" s="4" t="str">
        <f>HYPERLINK("http://141.218.60.56/~jnz1568/getInfo.php?workbook=07_01.xlsx&amp;sheet=A0&amp;row=268&amp;col=29&amp;number=&amp;sourceID=13","")</f>
        <v/>
      </c>
      <c r="AD268" s="4" t="str">
        <f>HYPERLINK("http://141.218.60.56/~jnz1568/getInfo.php?workbook=07_01.xlsx&amp;sheet=A0&amp;row=268&amp;col=30&amp;number=&amp;sourceID=13","")</f>
        <v/>
      </c>
    </row>
    <row r="269" spans="1:30">
      <c r="A269" s="3">
        <v>7</v>
      </c>
      <c r="B269" s="3">
        <v>1</v>
      </c>
      <c r="C269" s="3">
        <v>24</v>
      </c>
      <c r="D269" s="3">
        <v>22</v>
      </c>
      <c r="E269" s="3">
        <f>((1/(INDEX(E0!J$4:J$28,C269,1)-INDEX(E0!J$4:J$28,D269,1))))*100000000</f>
        <v>0</v>
      </c>
      <c r="F269" s="4" t="str">
        <f>HYPERLINK("http://141.218.60.56/~jnz1568/getInfo.php?workbook=07_01.xlsx&amp;sheet=A0&amp;row=269&amp;col=6&amp;number==&amp;sourceID=11","=")</f>
        <v>=</v>
      </c>
      <c r="G269" s="4" t="str">
        <f>HYPERLINK("http://141.218.60.56/~jnz1568/getInfo.php?workbook=07_01.xlsx&amp;sheet=A0&amp;row=269&amp;col=7&amp;number=0.01306&amp;sourceID=11","0.01306")</f>
        <v>0.01306</v>
      </c>
      <c r="H269" s="4" t="str">
        <f>HYPERLINK("http://141.218.60.56/~jnz1568/getInfo.php?workbook=07_01.xlsx&amp;sheet=A0&amp;row=269&amp;col=8&amp;number=&amp;sourceID=11","")</f>
        <v/>
      </c>
      <c r="I269" s="4" t="str">
        <f>HYPERLINK("http://141.218.60.56/~jnz1568/getInfo.php?workbook=07_01.xlsx&amp;sheet=A0&amp;row=269&amp;col=9&amp;number=0&amp;sourceID=11","0")</f>
        <v>0</v>
      </c>
      <c r="J269" s="4" t="str">
        <f>HYPERLINK("http://141.218.60.56/~jnz1568/getInfo.php?workbook=07_01.xlsx&amp;sheet=A0&amp;row=269&amp;col=10&amp;number=&amp;sourceID=11","")</f>
        <v/>
      </c>
      <c r="K269" s="4" t="str">
        <f>HYPERLINK("http://141.218.60.56/~jnz1568/getInfo.php?workbook=07_01.xlsx&amp;sheet=A0&amp;row=269&amp;col=11&amp;number=0&amp;sourceID=11","0")</f>
        <v>0</v>
      </c>
      <c r="L269" s="4" t="str">
        <f>HYPERLINK("http://141.218.60.56/~jnz1568/getInfo.php?workbook=07_01.xlsx&amp;sheet=A0&amp;row=269&amp;col=12&amp;number=&amp;sourceID=11","")</f>
        <v/>
      </c>
      <c r="M269" s="4" t="str">
        <f>HYPERLINK("http://141.218.60.56/~jnz1568/getInfo.php?workbook=07_01.xlsx&amp;sheet=A0&amp;row=269&amp;col=13&amp;number=0.013064&amp;sourceID=12","0.013064")</f>
        <v>0.013064</v>
      </c>
      <c r="N269" s="4" t="str">
        <f>HYPERLINK("http://141.218.60.56/~jnz1568/getInfo.php?workbook=07_01.xlsx&amp;sheet=A0&amp;row=269&amp;col=14&amp;number=0.013064&amp;sourceID=12","0.013064")</f>
        <v>0.013064</v>
      </c>
      <c r="O269" s="4" t="str">
        <f>HYPERLINK("http://141.218.60.56/~jnz1568/getInfo.php?workbook=07_01.xlsx&amp;sheet=A0&amp;row=269&amp;col=15&amp;number=&amp;sourceID=12","")</f>
        <v/>
      </c>
      <c r="P269" s="4" t="str">
        <f>HYPERLINK("http://141.218.60.56/~jnz1568/getInfo.php?workbook=07_01.xlsx&amp;sheet=A0&amp;row=269&amp;col=16&amp;number=0&amp;sourceID=12","0")</f>
        <v>0</v>
      </c>
      <c r="Q269" s="4" t="str">
        <f>HYPERLINK("http://141.218.60.56/~jnz1568/getInfo.php?workbook=07_01.xlsx&amp;sheet=A0&amp;row=269&amp;col=17&amp;number=&amp;sourceID=12","")</f>
        <v/>
      </c>
      <c r="R269" s="4" t="str">
        <f>HYPERLINK("http://141.218.60.56/~jnz1568/getInfo.php?workbook=07_01.xlsx&amp;sheet=A0&amp;row=269&amp;col=18&amp;number=0&amp;sourceID=12","0")</f>
        <v>0</v>
      </c>
      <c r="S269" s="4" t="str">
        <f>HYPERLINK("http://141.218.60.56/~jnz1568/getInfo.php?workbook=07_01.xlsx&amp;sheet=A0&amp;row=269&amp;col=19&amp;number=&amp;sourceID=12","")</f>
        <v/>
      </c>
      <c r="T269" s="4" t="str">
        <f>HYPERLINK("http://141.218.60.56/~jnz1568/getInfo.php?workbook=07_01.xlsx&amp;sheet=A0&amp;row=269&amp;col=20&amp;number==SUM(U269:X269)&amp;sourceID=30","=SUM(U269:X269)")</f>
        <v>=SUM(U269:X269)</v>
      </c>
      <c r="U269" s="4" t="str">
        <f>HYPERLINK("http://141.218.60.56/~jnz1568/getInfo.php?workbook=07_01.xlsx&amp;sheet=A0&amp;row=269&amp;col=21&amp;number=0.01306&amp;sourceID=30","0.01306")</f>
        <v>0.01306</v>
      </c>
      <c r="V269" s="4" t="str">
        <f>HYPERLINK("http://141.218.60.56/~jnz1568/getInfo.php?workbook=07_01.xlsx&amp;sheet=A0&amp;row=269&amp;col=22&amp;number=&amp;sourceID=30","")</f>
        <v/>
      </c>
      <c r="W269" s="4" t="str">
        <f>HYPERLINK("http://141.218.60.56/~jnz1568/getInfo.php?workbook=07_01.xlsx&amp;sheet=A0&amp;row=269&amp;col=23&amp;number=&amp;sourceID=30","")</f>
        <v/>
      </c>
      <c r="X269" s="4" t="str">
        <f>HYPERLINK("http://141.218.60.56/~jnz1568/getInfo.php?workbook=07_01.xlsx&amp;sheet=A0&amp;row=269&amp;col=24&amp;number=0&amp;sourceID=30","0")</f>
        <v>0</v>
      </c>
      <c r="Y269" s="4" t="str">
        <f>HYPERLINK("http://141.218.60.56/~jnz1568/getInfo.php?workbook=07_01.xlsx&amp;sheet=A0&amp;row=269&amp;col=25&amp;number=&amp;sourceID=13","")</f>
        <v/>
      </c>
      <c r="Z269" s="4" t="str">
        <f>HYPERLINK("http://141.218.60.56/~jnz1568/getInfo.php?workbook=07_01.xlsx&amp;sheet=A0&amp;row=269&amp;col=26&amp;number=&amp;sourceID=13","")</f>
        <v/>
      </c>
      <c r="AA269" s="4" t="str">
        <f>HYPERLINK("http://141.218.60.56/~jnz1568/getInfo.php?workbook=07_01.xlsx&amp;sheet=A0&amp;row=269&amp;col=27&amp;number=&amp;sourceID=13","")</f>
        <v/>
      </c>
      <c r="AB269" s="4" t="str">
        <f>HYPERLINK("http://141.218.60.56/~jnz1568/getInfo.php?workbook=07_01.xlsx&amp;sheet=A0&amp;row=269&amp;col=28&amp;number=&amp;sourceID=13","")</f>
        <v/>
      </c>
      <c r="AC269" s="4" t="str">
        <f>HYPERLINK("http://141.218.60.56/~jnz1568/getInfo.php?workbook=07_01.xlsx&amp;sheet=A0&amp;row=269&amp;col=29&amp;number=&amp;sourceID=13","")</f>
        <v/>
      </c>
      <c r="AD269" s="4" t="str">
        <f>HYPERLINK("http://141.218.60.56/~jnz1568/getInfo.php?workbook=07_01.xlsx&amp;sheet=A0&amp;row=269&amp;col=30&amp;number=&amp;sourceID=13","")</f>
        <v/>
      </c>
    </row>
    <row r="270" spans="1:30">
      <c r="A270" s="3">
        <v>7</v>
      </c>
      <c r="B270" s="3">
        <v>1</v>
      </c>
      <c r="C270" s="3">
        <v>25</v>
      </c>
      <c r="D270" s="3">
        <v>4</v>
      </c>
      <c r="E270" s="3">
        <f>((1/(INDEX(E0!J$4:J$28,C270,1)-INDEX(E0!J$4:J$28,D270,1))))*100000000</f>
        <v>0</v>
      </c>
      <c r="F270" s="4" t="str">
        <f>HYPERLINK("http://141.218.60.56/~jnz1568/getInfo.php?workbook=07_01.xlsx&amp;sheet=A0&amp;row=270&amp;col=6&amp;number==&amp;sourceID=11","=")</f>
        <v>=</v>
      </c>
      <c r="G270" s="4" t="str">
        <f>HYPERLINK("http://141.218.60.56/~jnz1568/getInfo.php?workbook=07_01.xlsx&amp;sheet=A0&amp;row=270&amp;col=7&amp;number=&amp;sourceID=11","")</f>
        <v/>
      </c>
      <c r="H270" s="4" t="str">
        <f>HYPERLINK("http://141.218.60.56/~jnz1568/getInfo.php?workbook=07_01.xlsx&amp;sheet=A0&amp;row=270&amp;col=8&amp;number=&amp;sourceID=11","")</f>
        <v/>
      </c>
      <c r="I270" s="4" t="str">
        <f>HYPERLINK("http://141.218.60.56/~jnz1568/getInfo.php?workbook=07_01.xlsx&amp;sheet=A0&amp;row=270&amp;col=9&amp;number=193.1&amp;sourceID=11","193.1")</f>
        <v>193.1</v>
      </c>
      <c r="J270" s="4" t="str">
        <f>HYPERLINK("http://141.218.60.56/~jnz1568/getInfo.php?workbook=07_01.xlsx&amp;sheet=A0&amp;row=270&amp;col=10&amp;number=&amp;sourceID=11","")</f>
        <v/>
      </c>
      <c r="K270" s="4" t="str">
        <f>HYPERLINK("http://141.218.60.56/~jnz1568/getInfo.php?workbook=07_01.xlsx&amp;sheet=A0&amp;row=270&amp;col=11&amp;number=&amp;sourceID=11","")</f>
        <v/>
      </c>
      <c r="L270" s="4" t="str">
        <f>HYPERLINK("http://141.218.60.56/~jnz1568/getInfo.php?workbook=07_01.xlsx&amp;sheet=A0&amp;row=270&amp;col=12&amp;number=&amp;sourceID=11","")</f>
        <v/>
      </c>
      <c r="M270" s="4" t="str">
        <f>HYPERLINK("http://141.218.60.56/~jnz1568/getInfo.php?workbook=07_01.xlsx&amp;sheet=A0&amp;row=270&amp;col=13&amp;number=193.11&amp;sourceID=12","193.11")</f>
        <v>193.11</v>
      </c>
      <c r="N270" s="4" t="str">
        <f>HYPERLINK("http://141.218.60.56/~jnz1568/getInfo.php?workbook=07_01.xlsx&amp;sheet=A0&amp;row=270&amp;col=14&amp;number=&amp;sourceID=12","")</f>
        <v/>
      </c>
      <c r="O270" s="4" t="str">
        <f>HYPERLINK("http://141.218.60.56/~jnz1568/getInfo.php?workbook=07_01.xlsx&amp;sheet=A0&amp;row=270&amp;col=15&amp;number=&amp;sourceID=12","")</f>
        <v/>
      </c>
      <c r="P270" s="4" t="str">
        <f>HYPERLINK("http://141.218.60.56/~jnz1568/getInfo.php?workbook=07_01.xlsx&amp;sheet=A0&amp;row=270&amp;col=16&amp;number=193.11&amp;sourceID=12","193.11")</f>
        <v>193.11</v>
      </c>
      <c r="Q270" s="4" t="str">
        <f>HYPERLINK("http://141.218.60.56/~jnz1568/getInfo.php?workbook=07_01.xlsx&amp;sheet=A0&amp;row=270&amp;col=17&amp;number=&amp;sourceID=12","")</f>
        <v/>
      </c>
      <c r="R270" s="4" t="str">
        <f>HYPERLINK("http://141.218.60.56/~jnz1568/getInfo.php?workbook=07_01.xlsx&amp;sheet=A0&amp;row=270&amp;col=18&amp;number=&amp;sourceID=12","")</f>
        <v/>
      </c>
      <c r="S270" s="4" t="str">
        <f>HYPERLINK("http://141.218.60.56/~jnz1568/getInfo.php?workbook=07_01.xlsx&amp;sheet=A0&amp;row=270&amp;col=19&amp;number=&amp;sourceID=12","")</f>
        <v/>
      </c>
      <c r="T270" s="4" t="str">
        <f>HYPERLINK("http://141.218.60.56/~jnz1568/getInfo.php?workbook=07_01.xlsx&amp;sheet=A0&amp;row=270&amp;col=20&amp;number=&amp;sourceID=30","")</f>
        <v/>
      </c>
      <c r="U270" s="4" t="str">
        <f>HYPERLINK("http://141.218.60.56/~jnz1568/getInfo.php?workbook=07_01.xlsx&amp;sheet=A0&amp;row=270&amp;col=21&amp;number=&amp;sourceID=30","")</f>
        <v/>
      </c>
      <c r="V270" s="4" t="str">
        <f>HYPERLINK("http://141.218.60.56/~jnz1568/getInfo.php?workbook=07_01.xlsx&amp;sheet=A0&amp;row=270&amp;col=22&amp;number=&amp;sourceID=30","")</f>
        <v/>
      </c>
      <c r="W270" s="4" t="str">
        <f>HYPERLINK("http://141.218.60.56/~jnz1568/getInfo.php?workbook=07_01.xlsx&amp;sheet=A0&amp;row=270&amp;col=23&amp;number=&amp;sourceID=30","")</f>
        <v/>
      </c>
      <c r="X270" s="4" t="str">
        <f>HYPERLINK("http://141.218.60.56/~jnz1568/getInfo.php?workbook=07_01.xlsx&amp;sheet=A0&amp;row=270&amp;col=24&amp;number=&amp;sourceID=30","")</f>
        <v/>
      </c>
      <c r="Y270" s="4" t="str">
        <f>HYPERLINK("http://141.218.60.56/~jnz1568/getInfo.php?workbook=07_01.xlsx&amp;sheet=A0&amp;row=270&amp;col=25&amp;number=&amp;sourceID=13","")</f>
        <v/>
      </c>
      <c r="Z270" s="4" t="str">
        <f>HYPERLINK("http://141.218.60.56/~jnz1568/getInfo.php?workbook=07_01.xlsx&amp;sheet=A0&amp;row=270&amp;col=26&amp;number=&amp;sourceID=13","")</f>
        <v/>
      </c>
      <c r="AA270" s="4" t="str">
        <f>HYPERLINK("http://141.218.60.56/~jnz1568/getInfo.php?workbook=07_01.xlsx&amp;sheet=A0&amp;row=270&amp;col=27&amp;number=&amp;sourceID=13","")</f>
        <v/>
      </c>
      <c r="AB270" s="4" t="str">
        <f>HYPERLINK("http://141.218.60.56/~jnz1568/getInfo.php?workbook=07_01.xlsx&amp;sheet=A0&amp;row=270&amp;col=28&amp;number=&amp;sourceID=13","")</f>
        <v/>
      </c>
      <c r="AC270" s="4" t="str">
        <f>HYPERLINK("http://141.218.60.56/~jnz1568/getInfo.php?workbook=07_01.xlsx&amp;sheet=A0&amp;row=270&amp;col=29&amp;number=&amp;sourceID=13","")</f>
        <v/>
      </c>
      <c r="AD270" s="4" t="str">
        <f>HYPERLINK("http://141.218.60.56/~jnz1568/getInfo.php?workbook=07_01.xlsx&amp;sheet=A0&amp;row=270&amp;col=30&amp;number=&amp;sourceID=13","")</f>
        <v/>
      </c>
    </row>
    <row r="271" spans="1:30">
      <c r="A271" s="3">
        <v>7</v>
      </c>
      <c r="B271" s="3">
        <v>1</v>
      </c>
      <c r="C271" s="3">
        <v>25</v>
      </c>
      <c r="D271" s="3">
        <v>7</v>
      </c>
      <c r="E271" s="3">
        <f>((1/(INDEX(E0!J$4:J$28,C271,1)-INDEX(E0!J$4:J$28,D271,1))))*100000000</f>
        <v>0</v>
      </c>
      <c r="F271" s="4" t="str">
        <f>HYPERLINK("http://141.218.60.56/~jnz1568/getInfo.php?workbook=07_01.xlsx&amp;sheet=A0&amp;row=271&amp;col=6&amp;number==&amp;sourceID=11","=")</f>
        <v>=</v>
      </c>
      <c r="G271" s="4" t="str">
        <f>HYPERLINK("http://141.218.60.56/~jnz1568/getInfo.php?workbook=07_01.xlsx&amp;sheet=A0&amp;row=271&amp;col=7&amp;number=&amp;sourceID=11","")</f>
        <v/>
      </c>
      <c r="H271" s="4" t="str">
        <f>HYPERLINK("http://141.218.60.56/~jnz1568/getInfo.php?workbook=07_01.xlsx&amp;sheet=A0&amp;row=271&amp;col=8&amp;number=&amp;sourceID=11","")</f>
        <v/>
      </c>
      <c r="I271" s="4" t="str">
        <f>HYPERLINK("http://141.218.60.56/~jnz1568/getInfo.php?workbook=07_01.xlsx&amp;sheet=A0&amp;row=271&amp;col=9&amp;number=&amp;sourceID=11","")</f>
        <v/>
      </c>
      <c r="J271" s="4" t="str">
        <f>HYPERLINK("http://141.218.60.56/~jnz1568/getInfo.php?workbook=07_01.xlsx&amp;sheet=A0&amp;row=271&amp;col=10&amp;number=&amp;sourceID=11","")</f>
        <v/>
      </c>
      <c r="K271" s="4" t="str">
        <f>HYPERLINK("http://141.218.60.56/~jnz1568/getInfo.php?workbook=07_01.xlsx&amp;sheet=A0&amp;row=271&amp;col=11&amp;number=&amp;sourceID=11","")</f>
        <v/>
      </c>
      <c r="L271" s="4" t="str">
        <f>HYPERLINK("http://141.218.60.56/~jnz1568/getInfo.php?workbook=07_01.xlsx&amp;sheet=A0&amp;row=271&amp;col=12&amp;number=0.0010087&amp;sourceID=11","0.0010087")</f>
        <v>0.0010087</v>
      </c>
      <c r="M271" s="4" t="str">
        <f>HYPERLINK("http://141.218.60.56/~jnz1568/getInfo.php?workbook=07_01.xlsx&amp;sheet=A0&amp;row=271&amp;col=13&amp;number=0.0010088&amp;sourceID=12","0.0010088")</f>
        <v>0.0010088</v>
      </c>
      <c r="N271" s="4" t="str">
        <f>HYPERLINK("http://141.218.60.56/~jnz1568/getInfo.php?workbook=07_01.xlsx&amp;sheet=A0&amp;row=271&amp;col=14&amp;number=&amp;sourceID=12","")</f>
        <v/>
      </c>
      <c r="O271" s="4" t="str">
        <f>HYPERLINK("http://141.218.60.56/~jnz1568/getInfo.php?workbook=07_01.xlsx&amp;sheet=A0&amp;row=271&amp;col=15&amp;number=&amp;sourceID=12","")</f>
        <v/>
      </c>
      <c r="P271" s="4" t="str">
        <f>HYPERLINK("http://141.218.60.56/~jnz1568/getInfo.php?workbook=07_01.xlsx&amp;sheet=A0&amp;row=271&amp;col=16&amp;number=&amp;sourceID=12","")</f>
        <v/>
      </c>
      <c r="Q271" s="4" t="str">
        <f>HYPERLINK("http://141.218.60.56/~jnz1568/getInfo.php?workbook=07_01.xlsx&amp;sheet=A0&amp;row=271&amp;col=17&amp;number=&amp;sourceID=12","")</f>
        <v/>
      </c>
      <c r="R271" s="4" t="str">
        <f>HYPERLINK("http://141.218.60.56/~jnz1568/getInfo.php?workbook=07_01.xlsx&amp;sheet=A0&amp;row=271&amp;col=18&amp;number=&amp;sourceID=12","")</f>
        <v/>
      </c>
      <c r="S271" s="4" t="str">
        <f>HYPERLINK("http://141.218.60.56/~jnz1568/getInfo.php?workbook=07_01.xlsx&amp;sheet=A0&amp;row=271&amp;col=19&amp;number=0.0010088&amp;sourceID=12","0.0010088")</f>
        <v>0.0010088</v>
      </c>
      <c r="T271" s="4" t="str">
        <f>HYPERLINK("http://141.218.60.56/~jnz1568/getInfo.php?workbook=07_01.xlsx&amp;sheet=A0&amp;row=271&amp;col=20&amp;number=&amp;sourceID=30","")</f>
        <v/>
      </c>
      <c r="U271" s="4" t="str">
        <f>HYPERLINK("http://141.218.60.56/~jnz1568/getInfo.php?workbook=07_01.xlsx&amp;sheet=A0&amp;row=271&amp;col=21&amp;number=&amp;sourceID=30","")</f>
        <v/>
      </c>
      <c r="V271" s="4" t="str">
        <f>HYPERLINK("http://141.218.60.56/~jnz1568/getInfo.php?workbook=07_01.xlsx&amp;sheet=A0&amp;row=271&amp;col=22&amp;number=&amp;sourceID=30","")</f>
        <v/>
      </c>
      <c r="W271" s="4" t="str">
        <f>HYPERLINK("http://141.218.60.56/~jnz1568/getInfo.php?workbook=07_01.xlsx&amp;sheet=A0&amp;row=271&amp;col=23&amp;number=&amp;sourceID=30","")</f>
        <v/>
      </c>
      <c r="X271" s="4" t="str">
        <f>HYPERLINK("http://141.218.60.56/~jnz1568/getInfo.php?workbook=07_01.xlsx&amp;sheet=A0&amp;row=271&amp;col=24&amp;number=&amp;sourceID=30","")</f>
        <v/>
      </c>
      <c r="Y271" s="4" t="str">
        <f>HYPERLINK("http://141.218.60.56/~jnz1568/getInfo.php?workbook=07_01.xlsx&amp;sheet=A0&amp;row=271&amp;col=25&amp;number=&amp;sourceID=13","")</f>
        <v/>
      </c>
      <c r="Z271" s="4" t="str">
        <f>HYPERLINK("http://141.218.60.56/~jnz1568/getInfo.php?workbook=07_01.xlsx&amp;sheet=A0&amp;row=271&amp;col=26&amp;number=&amp;sourceID=13","")</f>
        <v/>
      </c>
      <c r="AA271" s="4" t="str">
        <f>HYPERLINK("http://141.218.60.56/~jnz1568/getInfo.php?workbook=07_01.xlsx&amp;sheet=A0&amp;row=271&amp;col=27&amp;number=&amp;sourceID=13","")</f>
        <v/>
      </c>
      <c r="AB271" s="4" t="str">
        <f>HYPERLINK("http://141.218.60.56/~jnz1568/getInfo.php?workbook=07_01.xlsx&amp;sheet=A0&amp;row=271&amp;col=28&amp;number=&amp;sourceID=13","")</f>
        <v/>
      </c>
      <c r="AC271" s="4" t="str">
        <f>HYPERLINK("http://141.218.60.56/~jnz1568/getInfo.php?workbook=07_01.xlsx&amp;sheet=A0&amp;row=271&amp;col=29&amp;number=&amp;sourceID=13","")</f>
        <v/>
      </c>
      <c r="AD271" s="4" t="str">
        <f>HYPERLINK("http://141.218.60.56/~jnz1568/getInfo.php?workbook=07_01.xlsx&amp;sheet=A0&amp;row=271&amp;col=30&amp;number=&amp;sourceID=13","")</f>
        <v/>
      </c>
    </row>
    <row r="272" spans="1:30">
      <c r="A272" s="3">
        <v>7</v>
      </c>
      <c r="B272" s="3">
        <v>1</v>
      </c>
      <c r="C272" s="3">
        <v>25</v>
      </c>
      <c r="D272" s="3">
        <v>8</v>
      </c>
      <c r="E272" s="3">
        <f>((1/(INDEX(E0!J$4:J$28,C272,1)-INDEX(E0!J$4:J$28,D272,1))))*100000000</f>
        <v>0</v>
      </c>
      <c r="F272" s="4" t="str">
        <f>HYPERLINK("http://141.218.60.56/~jnz1568/getInfo.php?workbook=07_01.xlsx&amp;sheet=A0&amp;row=272&amp;col=6&amp;number==&amp;sourceID=11","=")</f>
        <v>=</v>
      </c>
      <c r="G272" s="4" t="str">
        <f>HYPERLINK("http://141.218.60.56/~jnz1568/getInfo.php?workbook=07_01.xlsx&amp;sheet=A0&amp;row=272&amp;col=7&amp;number=&amp;sourceID=11","")</f>
        <v/>
      </c>
      <c r="H272" s="4" t="str">
        <f>HYPERLINK("http://141.218.60.56/~jnz1568/getInfo.php?workbook=07_01.xlsx&amp;sheet=A0&amp;row=272&amp;col=8&amp;number=&amp;sourceID=11","")</f>
        <v/>
      </c>
      <c r="I272" s="4" t="str">
        <f>HYPERLINK("http://141.218.60.56/~jnz1568/getInfo.php?workbook=07_01.xlsx&amp;sheet=A0&amp;row=272&amp;col=9&amp;number=81.663&amp;sourceID=11","81.663")</f>
        <v>81.663</v>
      </c>
      <c r="J272" s="4" t="str">
        <f>HYPERLINK("http://141.218.60.56/~jnz1568/getInfo.php?workbook=07_01.xlsx&amp;sheet=A0&amp;row=272&amp;col=10&amp;number=&amp;sourceID=11","")</f>
        <v/>
      </c>
      <c r="K272" s="4" t="str">
        <f>HYPERLINK("http://141.218.60.56/~jnz1568/getInfo.php?workbook=07_01.xlsx&amp;sheet=A0&amp;row=272&amp;col=11&amp;number=&amp;sourceID=11","")</f>
        <v/>
      </c>
      <c r="L272" s="4" t="str">
        <f>HYPERLINK("http://141.218.60.56/~jnz1568/getInfo.php?workbook=07_01.xlsx&amp;sheet=A0&amp;row=272&amp;col=12&amp;number=&amp;sourceID=11","")</f>
        <v/>
      </c>
      <c r="M272" s="4" t="str">
        <f>HYPERLINK("http://141.218.60.56/~jnz1568/getInfo.php?workbook=07_01.xlsx&amp;sheet=A0&amp;row=272&amp;col=13&amp;number=81.666&amp;sourceID=12","81.666")</f>
        <v>81.666</v>
      </c>
      <c r="N272" s="4" t="str">
        <f>HYPERLINK("http://141.218.60.56/~jnz1568/getInfo.php?workbook=07_01.xlsx&amp;sheet=A0&amp;row=272&amp;col=14&amp;number=&amp;sourceID=12","")</f>
        <v/>
      </c>
      <c r="O272" s="4" t="str">
        <f>HYPERLINK("http://141.218.60.56/~jnz1568/getInfo.php?workbook=07_01.xlsx&amp;sheet=A0&amp;row=272&amp;col=15&amp;number=&amp;sourceID=12","")</f>
        <v/>
      </c>
      <c r="P272" s="4" t="str">
        <f>HYPERLINK("http://141.218.60.56/~jnz1568/getInfo.php?workbook=07_01.xlsx&amp;sheet=A0&amp;row=272&amp;col=16&amp;number=81.666&amp;sourceID=12","81.666")</f>
        <v>81.666</v>
      </c>
      <c r="Q272" s="4" t="str">
        <f>HYPERLINK("http://141.218.60.56/~jnz1568/getInfo.php?workbook=07_01.xlsx&amp;sheet=A0&amp;row=272&amp;col=17&amp;number=&amp;sourceID=12","")</f>
        <v/>
      </c>
      <c r="R272" s="4" t="str">
        <f>HYPERLINK("http://141.218.60.56/~jnz1568/getInfo.php?workbook=07_01.xlsx&amp;sheet=A0&amp;row=272&amp;col=18&amp;number=&amp;sourceID=12","")</f>
        <v/>
      </c>
      <c r="S272" s="4" t="str">
        <f>HYPERLINK("http://141.218.60.56/~jnz1568/getInfo.php?workbook=07_01.xlsx&amp;sheet=A0&amp;row=272&amp;col=19&amp;number=&amp;sourceID=12","")</f>
        <v/>
      </c>
      <c r="T272" s="4" t="str">
        <f>HYPERLINK("http://141.218.60.56/~jnz1568/getInfo.php?workbook=07_01.xlsx&amp;sheet=A0&amp;row=272&amp;col=20&amp;number=&amp;sourceID=30","")</f>
        <v/>
      </c>
      <c r="U272" s="4" t="str">
        <f>HYPERLINK("http://141.218.60.56/~jnz1568/getInfo.php?workbook=07_01.xlsx&amp;sheet=A0&amp;row=272&amp;col=21&amp;number=&amp;sourceID=30","")</f>
        <v/>
      </c>
      <c r="V272" s="4" t="str">
        <f>HYPERLINK("http://141.218.60.56/~jnz1568/getInfo.php?workbook=07_01.xlsx&amp;sheet=A0&amp;row=272&amp;col=22&amp;number=&amp;sourceID=30","")</f>
        <v/>
      </c>
      <c r="W272" s="4" t="str">
        <f>HYPERLINK("http://141.218.60.56/~jnz1568/getInfo.php?workbook=07_01.xlsx&amp;sheet=A0&amp;row=272&amp;col=23&amp;number=&amp;sourceID=30","")</f>
        <v/>
      </c>
      <c r="X272" s="4" t="str">
        <f>HYPERLINK("http://141.218.60.56/~jnz1568/getInfo.php?workbook=07_01.xlsx&amp;sheet=A0&amp;row=272&amp;col=24&amp;number=&amp;sourceID=30","")</f>
        <v/>
      </c>
      <c r="Y272" s="4" t="str">
        <f>HYPERLINK("http://141.218.60.56/~jnz1568/getInfo.php?workbook=07_01.xlsx&amp;sheet=A0&amp;row=272&amp;col=25&amp;number=&amp;sourceID=13","")</f>
        <v/>
      </c>
      <c r="Z272" s="4" t="str">
        <f>HYPERLINK("http://141.218.60.56/~jnz1568/getInfo.php?workbook=07_01.xlsx&amp;sheet=A0&amp;row=272&amp;col=26&amp;number=&amp;sourceID=13","")</f>
        <v/>
      </c>
      <c r="AA272" s="4" t="str">
        <f>HYPERLINK("http://141.218.60.56/~jnz1568/getInfo.php?workbook=07_01.xlsx&amp;sheet=A0&amp;row=272&amp;col=27&amp;number=&amp;sourceID=13","")</f>
        <v/>
      </c>
      <c r="AB272" s="4" t="str">
        <f>HYPERLINK("http://141.218.60.56/~jnz1568/getInfo.php?workbook=07_01.xlsx&amp;sheet=A0&amp;row=272&amp;col=28&amp;number=&amp;sourceID=13","")</f>
        <v/>
      </c>
      <c r="AC272" s="4" t="str">
        <f>HYPERLINK("http://141.218.60.56/~jnz1568/getInfo.php?workbook=07_01.xlsx&amp;sheet=A0&amp;row=272&amp;col=29&amp;number=&amp;sourceID=13","")</f>
        <v/>
      </c>
      <c r="AD272" s="4" t="str">
        <f>HYPERLINK("http://141.218.60.56/~jnz1568/getInfo.php?workbook=07_01.xlsx&amp;sheet=A0&amp;row=272&amp;col=30&amp;number=&amp;sourceID=13","")</f>
        <v/>
      </c>
    </row>
    <row r="273" spans="1:30">
      <c r="A273" s="3">
        <v>7</v>
      </c>
      <c r="B273" s="3">
        <v>1</v>
      </c>
      <c r="C273" s="3">
        <v>25</v>
      </c>
      <c r="D273" s="3">
        <v>9</v>
      </c>
      <c r="E273" s="3">
        <f>((1/(INDEX(E0!J$4:J$28,C273,1)-INDEX(E0!J$4:J$28,D273,1))))*100000000</f>
        <v>0</v>
      </c>
      <c r="F273" s="4" t="str">
        <f>HYPERLINK("http://141.218.60.56/~jnz1568/getInfo.php?workbook=07_01.xlsx&amp;sheet=A0&amp;row=273&amp;col=6&amp;number==&amp;sourceID=11","=")</f>
        <v>=</v>
      </c>
      <c r="G273" s="4" t="str">
        <f>HYPERLINK("http://141.218.60.56/~jnz1568/getInfo.php?workbook=07_01.xlsx&amp;sheet=A0&amp;row=273&amp;col=7&amp;number=&amp;sourceID=11","")</f>
        <v/>
      </c>
      <c r="H273" s="4" t="str">
        <f>HYPERLINK("http://141.218.60.56/~jnz1568/getInfo.php?workbook=07_01.xlsx&amp;sheet=A0&amp;row=273&amp;col=8&amp;number=1366200&amp;sourceID=11","1366200")</f>
        <v>1366200</v>
      </c>
      <c r="I273" s="4" t="str">
        <f>HYPERLINK("http://141.218.60.56/~jnz1568/getInfo.php?workbook=07_01.xlsx&amp;sheet=A0&amp;row=273&amp;col=9&amp;number=&amp;sourceID=11","")</f>
        <v/>
      </c>
      <c r="J273" s="4" t="str">
        <f>HYPERLINK("http://141.218.60.56/~jnz1568/getInfo.php?workbook=07_01.xlsx&amp;sheet=A0&amp;row=273&amp;col=10&amp;number=&amp;sourceID=11","")</f>
        <v/>
      </c>
      <c r="K273" s="4" t="str">
        <f>HYPERLINK("http://141.218.60.56/~jnz1568/getInfo.php?workbook=07_01.xlsx&amp;sheet=A0&amp;row=273&amp;col=11&amp;number=&amp;sourceID=11","")</f>
        <v/>
      </c>
      <c r="L273" s="4" t="str">
        <f>HYPERLINK("http://141.218.60.56/~jnz1568/getInfo.php?workbook=07_01.xlsx&amp;sheet=A0&amp;row=273&amp;col=12&amp;number=0.0032858&amp;sourceID=11","0.0032858")</f>
        <v>0.0032858</v>
      </c>
      <c r="M273" s="4" t="str">
        <f>HYPERLINK("http://141.218.60.56/~jnz1568/getInfo.php?workbook=07_01.xlsx&amp;sheet=A0&amp;row=273&amp;col=13&amp;number=1366300&amp;sourceID=12","1366300")</f>
        <v>1366300</v>
      </c>
      <c r="N273" s="4" t="str">
        <f>HYPERLINK("http://141.218.60.56/~jnz1568/getInfo.php?workbook=07_01.xlsx&amp;sheet=A0&amp;row=273&amp;col=14&amp;number=&amp;sourceID=12","")</f>
        <v/>
      </c>
      <c r="O273" s="4" t="str">
        <f>HYPERLINK("http://141.218.60.56/~jnz1568/getInfo.php?workbook=07_01.xlsx&amp;sheet=A0&amp;row=273&amp;col=15&amp;number=1366300&amp;sourceID=12","1366300")</f>
        <v>1366300</v>
      </c>
      <c r="P273" s="4" t="str">
        <f>HYPERLINK("http://141.218.60.56/~jnz1568/getInfo.php?workbook=07_01.xlsx&amp;sheet=A0&amp;row=273&amp;col=16&amp;number=&amp;sourceID=12","")</f>
        <v/>
      </c>
      <c r="Q273" s="4" t="str">
        <f>HYPERLINK("http://141.218.60.56/~jnz1568/getInfo.php?workbook=07_01.xlsx&amp;sheet=A0&amp;row=273&amp;col=17&amp;number=&amp;sourceID=12","")</f>
        <v/>
      </c>
      <c r="R273" s="4" t="str">
        <f>HYPERLINK("http://141.218.60.56/~jnz1568/getInfo.php?workbook=07_01.xlsx&amp;sheet=A0&amp;row=273&amp;col=18&amp;number=&amp;sourceID=12","")</f>
        <v/>
      </c>
      <c r="S273" s="4" t="str">
        <f>HYPERLINK("http://141.218.60.56/~jnz1568/getInfo.php?workbook=07_01.xlsx&amp;sheet=A0&amp;row=273&amp;col=19&amp;number=0.0032859&amp;sourceID=12","0.0032859")</f>
        <v>0.0032859</v>
      </c>
      <c r="T273" s="4" t="str">
        <f>HYPERLINK("http://141.218.60.56/~jnz1568/getInfo.php?workbook=07_01.xlsx&amp;sheet=A0&amp;row=273&amp;col=20&amp;number==SUM(U273:X273)&amp;sourceID=30","=SUM(U273:X273)")</f>
        <v>=SUM(U273:X273)</v>
      </c>
      <c r="U273" s="4" t="str">
        <f>HYPERLINK("http://141.218.60.56/~jnz1568/getInfo.php?workbook=07_01.xlsx&amp;sheet=A0&amp;row=273&amp;col=21&amp;number=&amp;sourceID=30","")</f>
        <v/>
      </c>
      <c r="V273" s="4" t="str">
        <f>HYPERLINK("http://141.218.60.56/~jnz1568/getInfo.php?workbook=07_01.xlsx&amp;sheet=A0&amp;row=273&amp;col=22&amp;number=1366000&amp;sourceID=30","1366000")</f>
        <v>1366000</v>
      </c>
      <c r="W273" s="4" t="str">
        <f>HYPERLINK("http://141.218.60.56/~jnz1568/getInfo.php?workbook=07_01.xlsx&amp;sheet=A0&amp;row=273&amp;col=23&amp;number=&amp;sourceID=30","")</f>
        <v/>
      </c>
      <c r="X273" s="4" t="str">
        <f>HYPERLINK("http://141.218.60.56/~jnz1568/getInfo.php?workbook=07_01.xlsx&amp;sheet=A0&amp;row=273&amp;col=24&amp;number=&amp;sourceID=30","")</f>
        <v/>
      </c>
      <c r="Y273" s="4" t="str">
        <f>HYPERLINK("http://141.218.60.56/~jnz1568/getInfo.php?workbook=07_01.xlsx&amp;sheet=A0&amp;row=273&amp;col=25&amp;number=&amp;sourceID=13","")</f>
        <v/>
      </c>
      <c r="Z273" s="4" t="str">
        <f>HYPERLINK("http://141.218.60.56/~jnz1568/getInfo.php?workbook=07_01.xlsx&amp;sheet=A0&amp;row=273&amp;col=26&amp;number=&amp;sourceID=13","")</f>
        <v/>
      </c>
      <c r="AA273" s="4" t="str">
        <f>HYPERLINK("http://141.218.60.56/~jnz1568/getInfo.php?workbook=07_01.xlsx&amp;sheet=A0&amp;row=273&amp;col=27&amp;number=&amp;sourceID=13","")</f>
        <v/>
      </c>
      <c r="AB273" s="4" t="str">
        <f>HYPERLINK("http://141.218.60.56/~jnz1568/getInfo.php?workbook=07_01.xlsx&amp;sheet=A0&amp;row=273&amp;col=28&amp;number=&amp;sourceID=13","")</f>
        <v/>
      </c>
      <c r="AC273" s="4" t="str">
        <f>HYPERLINK("http://141.218.60.56/~jnz1568/getInfo.php?workbook=07_01.xlsx&amp;sheet=A0&amp;row=273&amp;col=29&amp;number=&amp;sourceID=13","")</f>
        <v/>
      </c>
      <c r="AD273" s="4" t="str">
        <f>HYPERLINK("http://141.218.60.56/~jnz1568/getInfo.php?workbook=07_01.xlsx&amp;sheet=A0&amp;row=273&amp;col=30&amp;number=&amp;sourceID=13","")</f>
        <v/>
      </c>
    </row>
    <row r="274" spans="1:30">
      <c r="A274" s="3">
        <v>7</v>
      </c>
      <c r="B274" s="3">
        <v>1</v>
      </c>
      <c r="C274" s="3">
        <v>25</v>
      </c>
      <c r="D274" s="3">
        <v>12</v>
      </c>
      <c r="E274" s="3">
        <f>((1/(INDEX(E0!J$4:J$28,C274,1)-INDEX(E0!J$4:J$28,D274,1))))*100000000</f>
        <v>0</v>
      </c>
      <c r="F274" s="4" t="str">
        <f>HYPERLINK("http://141.218.60.56/~jnz1568/getInfo.php?workbook=07_01.xlsx&amp;sheet=A0&amp;row=274&amp;col=6&amp;number==&amp;sourceID=11","=")</f>
        <v>=</v>
      </c>
      <c r="G274" s="4" t="str">
        <f>HYPERLINK("http://141.218.60.56/~jnz1568/getInfo.php?workbook=07_01.xlsx&amp;sheet=A0&amp;row=274&amp;col=7&amp;number=&amp;sourceID=11","")</f>
        <v/>
      </c>
      <c r="H274" s="4" t="str">
        <f>HYPERLINK("http://141.218.60.56/~jnz1568/getInfo.php?workbook=07_01.xlsx&amp;sheet=A0&amp;row=274&amp;col=8&amp;number=&amp;sourceID=11","")</f>
        <v/>
      </c>
      <c r="I274" s="4" t="str">
        <f>HYPERLINK("http://141.218.60.56/~jnz1568/getInfo.php?workbook=07_01.xlsx&amp;sheet=A0&amp;row=274&amp;col=9&amp;number=&amp;sourceID=11","")</f>
        <v/>
      </c>
      <c r="J274" s="4" t="str">
        <f>HYPERLINK("http://141.218.60.56/~jnz1568/getInfo.php?workbook=07_01.xlsx&amp;sheet=A0&amp;row=274&amp;col=10&amp;number=&amp;sourceID=11","")</f>
        <v/>
      </c>
      <c r="K274" s="4" t="str">
        <f>HYPERLINK("http://141.218.60.56/~jnz1568/getInfo.php?workbook=07_01.xlsx&amp;sheet=A0&amp;row=274&amp;col=11&amp;number=&amp;sourceID=11","")</f>
        <v/>
      </c>
      <c r="L274" s="4" t="str">
        <f>HYPERLINK("http://141.218.60.56/~jnz1568/getInfo.php?workbook=07_01.xlsx&amp;sheet=A0&amp;row=274&amp;col=12&amp;number=8.7092e-06&amp;sourceID=11","8.7092e-06")</f>
        <v>8.7092e-06</v>
      </c>
      <c r="M274" s="4" t="str">
        <f>HYPERLINK("http://141.218.60.56/~jnz1568/getInfo.php?workbook=07_01.xlsx&amp;sheet=A0&amp;row=274&amp;col=13&amp;number=8.7095e-06&amp;sourceID=12","8.7095e-06")</f>
        <v>8.7095e-06</v>
      </c>
      <c r="N274" s="4" t="str">
        <f>HYPERLINK("http://141.218.60.56/~jnz1568/getInfo.php?workbook=07_01.xlsx&amp;sheet=A0&amp;row=274&amp;col=14&amp;number=&amp;sourceID=12","")</f>
        <v/>
      </c>
      <c r="O274" s="4" t="str">
        <f>HYPERLINK("http://141.218.60.56/~jnz1568/getInfo.php?workbook=07_01.xlsx&amp;sheet=A0&amp;row=274&amp;col=15&amp;number=&amp;sourceID=12","")</f>
        <v/>
      </c>
      <c r="P274" s="4" t="str">
        <f>HYPERLINK("http://141.218.60.56/~jnz1568/getInfo.php?workbook=07_01.xlsx&amp;sheet=A0&amp;row=274&amp;col=16&amp;number=&amp;sourceID=12","")</f>
        <v/>
      </c>
      <c r="Q274" s="4" t="str">
        <f>HYPERLINK("http://141.218.60.56/~jnz1568/getInfo.php?workbook=07_01.xlsx&amp;sheet=A0&amp;row=274&amp;col=17&amp;number=&amp;sourceID=12","")</f>
        <v/>
      </c>
      <c r="R274" s="4" t="str">
        <f>HYPERLINK("http://141.218.60.56/~jnz1568/getInfo.php?workbook=07_01.xlsx&amp;sheet=A0&amp;row=274&amp;col=18&amp;number=&amp;sourceID=12","")</f>
        <v/>
      </c>
      <c r="S274" s="4" t="str">
        <f>HYPERLINK("http://141.218.60.56/~jnz1568/getInfo.php?workbook=07_01.xlsx&amp;sheet=A0&amp;row=274&amp;col=19&amp;number=8.7095e-06&amp;sourceID=12","8.7095e-06")</f>
        <v>8.7095e-06</v>
      </c>
      <c r="T274" s="4" t="str">
        <f>HYPERLINK("http://141.218.60.56/~jnz1568/getInfo.php?workbook=07_01.xlsx&amp;sheet=A0&amp;row=274&amp;col=20&amp;number=&amp;sourceID=30","")</f>
        <v/>
      </c>
      <c r="U274" s="4" t="str">
        <f>HYPERLINK("http://141.218.60.56/~jnz1568/getInfo.php?workbook=07_01.xlsx&amp;sheet=A0&amp;row=274&amp;col=21&amp;number=&amp;sourceID=30","")</f>
        <v/>
      </c>
      <c r="V274" s="4" t="str">
        <f>HYPERLINK("http://141.218.60.56/~jnz1568/getInfo.php?workbook=07_01.xlsx&amp;sheet=A0&amp;row=274&amp;col=22&amp;number=&amp;sourceID=30","")</f>
        <v/>
      </c>
      <c r="W274" s="4" t="str">
        <f>HYPERLINK("http://141.218.60.56/~jnz1568/getInfo.php?workbook=07_01.xlsx&amp;sheet=A0&amp;row=274&amp;col=23&amp;number=&amp;sourceID=30","")</f>
        <v/>
      </c>
      <c r="X274" s="4" t="str">
        <f>HYPERLINK("http://141.218.60.56/~jnz1568/getInfo.php?workbook=07_01.xlsx&amp;sheet=A0&amp;row=274&amp;col=24&amp;number=&amp;sourceID=30","")</f>
        <v/>
      </c>
      <c r="Y274" s="4" t="str">
        <f>HYPERLINK("http://141.218.60.56/~jnz1568/getInfo.php?workbook=07_01.xlsx&amp;sheet=A0&amp;row=274&amp;col=25&amp;number=&amp;sourceID=13","")</f>
        <v/>
      </c>
      <c r="Z274" s="4" t="str">
        <f>HYPERLINK("http://141.218.60.56/~jnz1568/getInfo.php?workbook=07_01.xlsx&amp;sheet=A0&amp;row=274&amp;col=26&amp;number=&amp;sourceID=13","")</f>
        <v/>
      </c>
      <c r="AA274" s="4" t="str">
        <f>HYPERLINK("http://141.218.60.56/~jnz1568/getInfo.php?workbook=07_01.xlsx&amp;sheet=A0&amp;row=274&amp;col=27&amp;number=&amp;sourceID=13","")</f>
        <v/>
      </c>
      <c r="AB274" s="4" t="str">
        <f>HYPERLINK("http://141.218.60.56/~jnz1568/getInfo.php?workbook=07_01.xlsx&amp;sheet=A0&amp;row=274&amp;col=28&amp;number=&amp;sourceID=13","")</f>
        <v/>
      </c>
      <c r="AC274" s="4" t="str">
        <f>HYPERLINK("http://141.218.60.56/~jnz1568/getInfo.php?workbook=07_01.xlsx&amp;sheet=A0&amp;row=274&amp;col=29&amp;number=&amp;sourceID=13","")</f>
        <v/>
      </c>
      <c r="AD274" s="4" t="str">
        <f>HYPERLINK("http://141.218.60.56/~jnz1568/getInfo.php?workbook=07_01.xlsx&amp;sheet=A0&amp;row=274&amp;col=30&amp;number=&amp;sourceID=13","")</f>
        <v/>
      </c>
    </row>
    <row r="275" spans="1:30">
      <c r="A275" s="3">
        <v>7</v>
      </c>
      <c r="B275" s="3">
        <v>1</v>
      </c>
      <c r="C275" s="3">
        <v>25</v>
      </c>
      <c r="D275" s="3">
        <v>13</v>
      </c>
      <c r="E275" s="3">
        <f>((1/(INDEX(E0!J$4:J$28,C275,1)-INDEX(E0!J$4:J$28,D275,1))))*100000000</f>
        <v>0</v>
      </c>
      <c r="F275" s="4" t="str">
        <f>HYPERLINK("http://141.218.60.56/~jnz1568/getInfo.php?workbook=07_01.xlsx&amp;sheet=A0&amp;row=275&amp;col=6&amp;number==&amp;sourceID=11","=")</f>
        <v>=</v>
      </c>
      <c r="G275" s="4" t="str">
        <f>HYPERLINK("http://141.218.60.56/~jnz1568/getInfo.php?workbook=07_01.xlsx&amp;sheet=A0&amp;row=275&amp;col=7&amp;number=&amp;sourceID=11","")</f>
        <v/>
      </c>
      <c r="H275" s="4" t="str">
        <f>HYPERLINK("http://141.218.60.56/~jnz1568/getInfo.php?workbook=07_01.xlsx&amp;sheet=A0&amp;row=275&amp;col=8&amp;number=&amp;sourceID=11","")</f>
        <v/>
      </c>
      <c r="I275" s="4" t="str">
        <f>HYPERLINK("http://141.218.60.56/~jnz1568/getInfo.php?workbook=07_01.xlsx&amp;sheet=A0&amp;row=275&amp;col=9&amp;number=0.75385&amp;sourceID=11","0.75385")</f>
        <v>0.75385</v>
      </c>
      <c r="J275" s="4" t="str">
        <f>HYPERLINK("http://141.218.60.56/~jnz1568/getInfo.php?workbook=07_01.xlsx&amp;sheet=A0&amp;row=275&amp;col=10&amp;number=&amp;sourceID=11","")</f>
        <v/>
      </c>
      <c r="K275" s="4" t="str">
        <f>HYPERLINK("http://141.218.60.56/~jnz1568/getInfo.php?workbook=07_01.xlsx&amp;sheet=A0&amp;row=275&amp;col=11&amp;number=&amp;sourceID=11","")</f>
        <v/>
      </c>
      <c r="L275" s="4" t="str">
        <f>HYPERLINK("http://141.218.60.56/~jnz1568/getInfo.php?workbook=07_01.xlsx&amp;sheet=A0&amp;row=275&amp;col=12&amp;number=&amp;sourceID=11","")</f>
        <v/>
      </c>
      <c r="M275" s="4" t="str">
        <f>HYPERLINK("http://141.218.60.56/~jnz1568/getInfo.php?workbook=07_01.xlsx&amp;sheet=A0&amp;row=275&amp;col=13&amp;number=0.75388&amp;sourceID=12","0.75388")</f>
        <v>0.75388</v>
      </c>
      <c r="N275" s="4" t="str">
        <f>HYPERLINK("http://141.218.60.56/~jnz1568/getInfo.php?workbook=07_01.xlsx&amp;sheet=A0&amp;row=275&amp;col=14&amp;number=&amp;sourceID=12","")</f>
        <v/>
      </c>
      <c r="O275" s="4" t="str">
        <f>HYPERLINK("http://141.218.60.56/~jnz1568/getInfo.php?workbook=07_01.xlsx&amp;sheet=A0&amp;row=275&amp;col=15&amp;number=&amp;sourceID=12","")</f>
        <v/>
      </c>
      <c r="P275" s="4" t="str">
        <f>HYPERLINK("http://141.218.60.56/~jnz1568/getInfo.php?workbook=07_01.xlsx&amp;sheet=A0&amp;row=275&amp;col=16&amp;number=0.75388&amp;sourceID=12","0.75388")</f>
        <v>0.75388</v>
      </c>
      <c r="Q275" s="4" t="str">
        <f>HYPERLINK("http://141.218.60.56/~jnz1568/getInfo.php?workbook=07_01.xlsx&amp;sheet=A0&amp;row=275&amp;col=17&amp;number=&amp;sourceID=12","")</f>
        <v/>
      </c>
      <c r="R275" s="4" t="str">
        <f>HYPERLINK("http://141.218.60.56/~jnz1568/getInfo.php?workbook=07_01.xlsx&amp;sheet=A0&amp;row=275&amp;col=18&amp;number=&amp;sourceID=12","")</f>
        <v/>
      </c>
      <c r="S275" s="4" t="str">
        <f>HYPERLINK("http://141.218.60.56/~jnz1568/getInfo.php?workbook=07_01.xlsx&amp;sheet=A0&amp;row=275&amp;col=19&amp;number=&amp;sourceID=12","")</f>
        <v/>
      </c>
      <c r="T275" s="4" t="str">
        <f>HYPERLINK("http://141.218.60.56/~jnz1568/getInfo.php?workbook=07_01.xlsx&amp;sheet=A0&amp;row=275&amp;col=20&amp;number=&amp;sourceID=30","")</f>
        <v/>
      </c>
      <c r="U275" s="4" t="str">
        <f>HYPERLINK("http://141.218.60.56/~jnz1568/getInfo.php?workbook=07_01.xlsx&amp;sheet=A0&amp;row=275&amp;col=21&amp;number=&amp;sourceID=30","")</f>
        <v/>
      </c>
      <c r="V275" s="4" t="str">
        <f>HYPERLINK("http://141.218.60.56/~jnz1568/getInfo.php?workbook=07_01.xlsx&amp;sheet=A0&amp;row=275&amp;col=22&amp;number=&amp;sourceID=30","")</f>
        <v/>
      </c>
      <c r="W275" s="4" t="str">
        <f>HYPERLINK("http://141.218.60.56/~jnz1568/getInfo.php?workbook=07_01.xlsx&amp;sheet=A0&amp;row=275&amp;col=23&amp;number=&amp;sourceID=30","")</f>
        <v/>
      </c>
      <c r="X275" s="4" t="str">
        <f>HYPERLINK("http://141.218.60.56/~jnz1568/getInfo.php?workbook=07_01.xlsx&amp;sheet=A0&amp;row=275&amp;col=24&amp;number=&amp;sourceID=30","")</f>
        <v/>
      </c>
      <c r="Y275" s="4" t="str">
        <f>HYPERLINK("http://141.218.60.56/~jnz1568/getInfo.php?workbook=07_01.xlsx&amp;sheet=A0&amp;row=275&amp;col=25&amp;number=&amp;sourceID=13","")</f>
        <v/>
      </c>
      <c r="Z275" s="4" t="str">
        <f>HYPERLINK("http://141.218.60.56/~jnz1568/getInfo.php?workbook=07_01.xlsx&amp;sheet=A0&amp;row=275&amp;col=26&amp;number=&amp;sourceID=13","")</f>
        <v/>
      </c>
      <c r="AA275" s="4" t="str">
        <f>HYPERLINK("http://141.218.60.56/~jnz1568/getInfo.php?workbook=07_01.xlsx&amp;sheet=A0&amp;row=275&amp;col=27&amp;number=&amp;sourceID=13","")</f>
        <v/>
      </c>
      <c r="AB275" s="4" t="str">
        <f>HYPERLINK("http://141.218.60.56/~jnz1568/getInfo.php?workbook=07_01.xlsx&amp;sheet=A0&amp;row=275&amp;col=28&amp;number=&amp;sourceID=13","")</f>
        <v/>
      </c>
      <c r="AC275" s="4" t="str">
        <f>HYPERLINK("http://141.218.60.56/~jnz1568/getInfo.php?workbook=07_01.xlsx&amp;sheet=A0&amp;row=275&amp;col=29&amp;number=&amp;sourceID=13","")</f>
        <v/>
      </c>
      <c r="AD275" s="4" t="str">
        <f>HYPERLINK("http://141.218.60.56/~jnz1568/getInfo.php?workbook=07_01.xlsx&amp;sheet=A0&amp;row=275&amp;col=30&amp;number=&amp;sourceID=13","")</f>
        <v/>
      </c>
    </row>
    <row r="276" spans="1:30">
      <c r="A276" s="3">
        <v>7</v>
      </c>
      <c r="B276" s="3">
        <v>1</v>
      </c>
      <c r="C276" s="3">
        <v>25</v>
      </c>
      <c r="D276" s="3">
        <v>14</v>
      </c>
      <c r="E276" s="3">
        <f>((1/(INDEX(E0!J$4:J$28,C276,1)-INDEX(E0!J$4:J$28,D276,1))))*100000000</f>
        <v>0</v>
      </c>
      <c r="F276" s="4" t="str">
        <f>HYPERLINK("http://141.218.60.56/~jnz1568/getInfo.php?workbook=07_01.xlsx&amp;sheet=A0&amp;row=276&amp;col=6&amp;number==&amp;sourceID=11","=")</f>
        <v>=</v>
      </c>
      <c r="G276" s="4" t="str">
        <f>HYPERLINK("http://141.218.60.56/~jnz1568/getInfo.php?workbook=07_01.xlsx&amp;sheet=A0&amp;row=276&amp;col=7&amp;number=&amp;sourceID=11","")</f>
        <v/>
      </c>
      <c r="H276" s="4" t="str">
        <f>HYPERLINK("http://141.218.60.56/~jnz1568/getInfo.php?workbook=07_01.xlsx&amp;sheet=A0&amp;row=276&amp;col=8&amp;number=&amp;sourceID=11","")</f>
        <v/>
      </c>
      <c r="I276" s="4" t="str">
        <f>HYPERLINK("http://141.218.60.56/~jnz1568/getInfo.php?workbook=07_01.xlsx&amp;sheet=A0&amp;row=276&amp;col=9&amp;number=0.035169&amp;sourceID=11","0.035169")</f>
        <v>0.035169</v>
      </c>
      <c r="J276" s="4" t="str">
        <f>HYPERLINK("http://141.218.60.56/~jnz1568/getInfo.php?workbook=07_01.xlsx&amp;sheet=A0&amp;row=276&amp;col=10&amp;number=&amp;sourceID=11","")</f>
        <v/>
      </c>
      <c r="K276" s="4" t="str">
        <f>HYPERLINK("http://141.218.60.56/~jnz1568/getInfo.php?workbook=07_01.xlsx&amp;sheet=A0&amp;row=276&amp;col=11&amp;number=0.5035&amp;sourceID=11","0.5035")</f>
        <v>0.5035</v>
      </c>
      <c r="L276" s="4" t="str">
        <f>HYPERLINK("http://141.218.60.56/~jnz1568/getInfo.php?workbook=07_01.xlsx&amp;sheet=A0&amp;row=276&amp;col=12&amp;number=&amp;sourceID=11","")</f>
        <v/>
      </c>
      <c r="M276" s="4" t="str">
        <f>HYPERLINK("http://141.218.60.56/~jnz1568/getInfo.php?workbook=07_01.xlsx&amp;sheet=A0&amp;row=276&amp;col=13&amp;number=0.53869&amp;sourceID=12","0.53869")</f>
        <v>0.53869</v>
      </c>
      <c r="N276" s="4" t="str">
        <f>HYPERLINK("http://141.218.60.56/~jnz1568/getInfo.php?workbook=07_01.xlsx&amp;sheet=A0&amp;row=276&amp;col=14&amp;number=&amp;sourceID=12","")</f>
        <v/>
      </c>
      <c r="O276" s="4" t="str">
        <f>HYPERLINK("http://141.218.60.56/~jnz1568/getInfo.php?workbook=07_01.xlsx&amp;sheet=A0&amp;row=276&amp;col=15&amp;number=&amp;sourceID=12","")</f>
        <v/>
      </c>
      <c r="P276" s="4" t="str">
        <f>HYPERLINK("http://141.218.60.56/~jnz1568/getInfo.php?workbook=07_01.xlsx&amp;sheet=A0&amp;row=276&amp;col=16&amp;number=0.03517&amp;sourceID=12","0.03517")</f>
        <v>0.03517</v>
      </c>
      <c r="Q276" s="4" t="str">
        <f>HYPERLINK("http://141.218.60.56/~jnz1568/getInfo.php?workbook=07_01.xlsx&amp;sheet=A0&amp;row=276&amp;col=17&amp;number=&amp;sourceID=12","")</f>
        <v/>
      </c>
      <c r="R276" s="4" t="str">
        <f>HYPERLINK("http://141.218.60.56/~jnz1568/getInfo.php?workbook=07_01.xlsx&amp;sheet=A0&amp;row=276&amp;col=18&amp;number=0.50352&amp;sourceID=12","0.50352")</f>
        <v>0.50352</v>
      </c>
      <c r="S276" s="4" t="str">
        <f>HYPERLINK("http://141.218.60.56/~jnz1568/getInfo.php?workbook=07_01.xlsx&amp;sheet=A0&amp;row=276&amp;col=19&amp;number=&amp;sourceID=12","")</f>
        <v/>
      </c>
      <c r="T276" s="4" t="str">
        <f>HYPERLINK("http://141.218.60.56/~jnz1568/getInfo.php?workbook=07_01.xlsx&amp;sheet=A0&amp;row=276&amp;col=20&amp;number==SUM(U276:X276)&amp;sourceID=30","=SUM(U276:X276)")</f>
        <v>=SUM(U276:X276)</v>
      </c>
      <c r="U276" s="4" t="str">
        <f>HYPERLINK("http://141.218.60.56/~jnz1568/getInfo.php?workbook=07_01.xlsx&amp;sheet=A0&amp;row=276&amp;col=21&amp;number=&amp;sourceID=30","")</f>
        <v/>
      </c>
      <c r="V276" s="4" t="str">
        <f>HYPERLINK("http://141.218.60.56/~jnz1568/getInfo.php?workbook=07_01.xlsx&amp;sheet=A0&amp;row=276&amp;col=22&amp;number=&amp;sourceID=30","")</f>
        <v/>
      </c>
      <c r="W276" s="4" t="str">
        <f>HYPERLINK("http://141.218.60.56/~jnz1568/getInfo.php?workbook=07_01.xlsx&amp;sheet=A0&amp;row=276&amp;col=23&amp;number=&amp;sourceID=30","")</f>
        <v/>
      </c>
      <c r="X276" s="4" t="str">
        <f>HYPERLINK("http://141.218.60.56/~jnz1568/getInfo.php?workbook=07_01.xlsx&amp;sheet=A0&amp;row=276&amp;col=24&amp;number=0.5035&amp;sourceID=30","0.5035")</f>
        <v>0.5035</v>
      </c>
      <c r="Y276" s="4" t="str">
        <f>HYPERLINK("http://141.218.60.56/~jnz1568/getInfo.php?workbook=07_01.xlsx&amp;sheet=A0&amp;row=276&amp;col=25&amp;number=&amp;sourceID=13","")</f>
        <v/>
      </c>
      <c r="Z276" s="4" t="str">
        <f>HYPERLINK("http://141.218.60.56/~jnz1568/getInfo.php?workbook=07_01.xlsx&amp;sheet=A0&amp;row=276&amp;col=26&amp;number=&amp;sourceID=13","")</f>
        <v/>
      </c>
      <c r="AA276" s="4" t="str">
        <f>HYPERLINK("http://141.218.60.56/~jnz1568/getInfo.php?workbook=07_01.xlsx&amp;sheet=A0&amp;row=276&amp;col=27&amp;number=&amp;sourceID=13","")</f>
        <v/>
      </c>
      <c r="AB276" s="4" t="str">
        <f>HYPERLINK("http://141.218.60.56/~jnz1568/getInfo.php?workbook=07_01.xlsx&amp;sheet=A0&amp;row=276&amp;col=28&amp;number=&amp;sourceID=13","")</f>
        <v/>
      </c>
      <c r="AC276" s="4" t="str">
        <f>HYPERLINK("http://141.218.60.56/~jnz1568/getInfo.php?workbook=07_01.xlsx&amp;sheet=A0&amp;row=276&amp;col=29&amp;number=&amp;sourceID=13","")</f>
        <v/>
      </c>
      <c r="AD276" s="4" t="str">
        <f>HYPERLINK("http://141.218.60.56/~jnz1568/getInfo.php?workbook=07_01.xlsx&amp;sheet=A0&amp;row=276&amp;col=30&amp;number=&amp;sourceID=13","")</f>
        <v/>
      </c>
    </row>
    <row r="277" spans="1:30">
      <c r="A277" s="3">
        <v>7</v>
      </c>
      <c r="B277" s="3">
        <v>1</v>
      </c>
      <c r="C277" s="3">
        <v>25</v>
      </c>
      <c r="D277" s="3">
        <v>15</v>
      </c>
      <c r="E277" s="3">
        <f>((1/(INDEX(E0!J$4:J$28,C277,1)-INDEX(E0!J$4:J$28,D277,1))))*100000000</f>
        <v>0</v>
      </c>
      <c r="F277" s="4" t="str">
        <f>HYPERLINK("http://141.218.60.56/~jnz1568/getInfo.php?workbook=07_01.xlsx&amp;sheet=A0&amp;row=277&amp;col=6&amp;number==&amp;sourceID=11","=")</f>
        <v>=</v>
      </c>
      <c r="G277" s="4" t="str">
        <f>HYPERLINK("http://141.218.60.56/~jnz1568/getInfo.php?workbook=07_01.xlsx&amp;sheet=A0&amp;row=277&amp;col=7&amp;number=&amp;sourceID=11","")</f>
        <v/>
      </c>
      <c r="H277" s="4" t="str">
        <f>HYPERLINK("http://141.218.60.56/~jnz1568/getInfo.php?workbook=07_01.xlsx&amp;sheet=A0&amp;row=277&amp;col=8&amp;number=117660&amp;sourceID=11","117660")</f>
        <v>117660</v>
      </c>
      <c r="I277" s="4" t="str">
        <f>HYPERLINK("http://141.218.60.56/~jnz1568/getInfo.php?workbook=07_01.xlsx&amp;sheet=A0&amp;row=277&amp;col=9&amp;number=&amp;sourceID=11","")</f>
        <v/>
      </c>
      <c r="J277" s="4" t="str">
        <f>HYPERLINK("http://141.218.60.56/~jnz1568/getInfo.php?workbook=07_01.xlsx&amp;sheet=A0&amp;row=277&amp;col=10&amp;number=&amp;sourceID=11","")</f>
        <v/>
      </c>
      <c r="K277" s="4" t="str">
        <f>HYPERLINK("http://141.218.60.56/~jnz1568/getInfo.php?workbook=07_01.xlsx&amp;sheet=A0&amp;row=277&amp;col=11&amp;number=&amp;sourceID=11","")</f>
        <v/>
      </c>
      <c r="L277" s="4" t="str">
        <f>HYPERLINK("http://141.218.60.56/~jnz1568/getInfo.php?workbook=07_01.xlsx&amp;sheet=A0&amp;row=277&amp;col=12&amp;number=2.8337e-05&amp;sourceID=11","2.8337e-05")</f>
        <v>2.8337e-05</v>
      </c>
      <c r="M277" s="4" t="str">
        <f>HYPERLINK("http://141.218.60.56/~jnz1568/getInfo.php?workbook=07_01.xlsx&amp;sheet=A0&amp;row=277&amp;col=13&amp;number=117670&amp;sourceID=12","117670")</f>
        <v>117670</v>
      </c>
      <c r="N277" s="4" t="str">
        <f>HYPERLINK("http://141.218.60.56/~jnz1568/getInfo.php?workbook=07_01.xlsx&amp;sheet=A0&amp;row=277&amp;col=14&amp;number=&amp;sourceID=12","")</f>
        <v/>
      </c>
      <c r="O277" s="4" t="str">
        <f>HYPERLINK("http://141.218.60.56/~jnz1568/getInfo.php?workbook=07_01.xlsx&amp;sheet=A0&amp;row=277&amp;col=15&amp;number=117670&amp;sourceID=12","117670")</f>
        <v>117670</v>
      </c>
      <c r="P277" s="4" t="str">
        <f>HYPERLINK("http://141.218.60.56/~jnz1568/getInfo.php?workbook=07_01.xlsx&amp;sheet=A0&amp;row=277&amp;col=16&amp;number=&amp;sourceID=12","")</f>
        <v/>
      </c>
      <c r="Q277" s="4" t="str">
        <f>HYPERLINK("http://141.218.60.56/~jnz1568/getInfo.php?workbook=07_01.xlsx&amp;sheet=A0&amp;row=277&amp;col=17&amp;number=&amp;sourceID=12","")</f>
        <v/>
      </c>
      <c r="R277" s="4" t="str">
        <f>HYPERLINK("http://141.218.60.56/~jnz1568/getInfo.php?workbook=07_01.xlsx&amp;sheet=A0&amp;row=277&amp;col=18&amp;number=&amp;sourceID=12","")</f>
        <v/>
      </c>
      <c r="S277" s="4" t="str">
        <f>HYPERLINK("http://141.218.60.56/~jnz1568/getInfo.php?workbook=07_01.xlsx&amp;sheet=A0&amp;row=277&amp;col=19&amp;number=2.8338e-05&amp;sourceID=12","2.8338e-05")</f>
        <v>2.8338e-05</v>
      </c>
      <c r="T277" s="4" t="str">
        <f>HYPERLINK("http://141.218.60.56/~jnz1568/getInfo.php?workbook=07_01.xlsx&amp;sheet=A0&amp;row=277&amp;col=20&amp;number==SUM(U277:X277)&amp;sourceID=30","=SUM(U277:X277)")</f>
        <v>=SUM(U277:X277)</v>
      </c>
      <c r="U277" s="4" t="str">
        <f>HYPERLINK("http://141.218.60.56/~jnz1568/getInfo.php?workbook=07_01.xlsx&amp;sheet=A0&amp;row=277&amp;col=21&amp;number=&amp;sourceID=30","")</f>
        <v/>
      </c>
      <c r="V277" s="4" t="str">
        <f>HYPERLINK("http://141.218.60.56/~jnz1568/getInfo.php?workbook=07_01.xlsx&amp;sheet=A0&amp;row=277&amp;col=22&amp;number=117700&amp;sourceID=30","117700")</f>
        <v>117700</v>
      </c>
      <c r="W277" s="4" t="str">
        <f>HYPERLINK("http://141.218.60.56/~jnz1568/getInfo.php?workbook=07_01.xlsx&amp;sheet=A0&amp;row=277&amp;col=23&amp;number=&amp;sourceID=30","")</f>
        <v/>
      </c>
      <c r="X277" s="4" t="str">
        <f>HYPERLINK("http://141.218.60.56/~jnz1568/getInfo.php?workbook=07_01.xlsx&amp;sheet=A0&amp;row=277&amp;col=24&amp;number=&amp;sourceID=30","")</f>
        <v/>
      </c>
      <c r="Y277" s="4" t="str">
        <f>HYPERLINK("http://141.218.60.56/~jnz1568/getInfo.php?workbook=07_01.xlsx&amp;sheet=A0&amp;row=277&amp;col=25&amp;number=&amp;sourceID=13","")</f>
        <v/>
      </c>
      <c r="Z277" s="4" t="str">
        <f>HYPERLINK("http://141.218.60.56/~jnz1568/getInfo.php?workbook=07_01.xlsx&amp;sheet=A0&amp;row=277&amp;col=26&amp;number=&amp;sourceID=13","")</f>
        <v/>
      </c>
      <c r="AA277" s="4" t="str">
        <f>HYPERLINK("http://141.218.60.56/~jnz1568/getInfo.php?workbook=07_01.xlsx&amp;sheet=A0&amp;row=277&amp;col=27&amp;number=&amp;sourceID=13","")</f>
        <v/>
      </c>
      <c r="AB277" s="4" t="str">
        <f>HYPERLINK("http://141.218.60.56/~jnz1568/getInfo.php?workbook=07_01.xlsx&amp;sheet=A0&amp;row=277&amp;col=28&amp;number=&amp;sourceID=13","")</f>
        <v/>
      </c>
      <c r="AC277" s="4" t="str">
        <f>HYPERLINK("http://141.218.60.56/~jnz1568/getInfo.php?workbook=07_01.xlsx&amp;sheet=A0&amp;row=277&amp;col=29&amp;number=&amp;sourceID=13","")</f>
        <v/>
      </c>
      <c r="AD277" s="4" t="str">
        <f>HYPERLINK("http://141.218.60.56/~jnz1568/getInfo.php?workbook=07_01.xlsx&amp;sheet=A0&amp;row=277&amp;col=30&amp;number=&amp;sourceID=13","")</f>
        <v/>
      </c>
    </row>
    <row r="278" spans="1:30">
      <c r="A278" s="3">
        <v>7</v>
      </c>
      <c r="B278" s="3">
        <v>1</v>
      </c>
      <c r="C278" s="3">
        <v>25</v>
      </c>
      <c r="D278" s="3">
        <v>16</v>
      </c>
      <c r="E278" s="3">
        <f>((1/(INDEX(E0!J$4:J$28,C278,1)-INDEX(E0!J$4:J$28,D278,1))))*100000000</f>
        <v>0</v>
      </c>
      <c r="F278" s="4" t="str">
        <f>HYPERLINK("http://141.218.60.56/~jnz1568/getInfo.php?workbook=07_01.xlsx&amp;sheet=A0&amp;row=278&amp;col=6&amp;number==&amp;sourceID=11","=")</f>
        <v>=</v>
      </c>
      <c r="G278" s="4" t="str">
        <f>HYPERLINK("http://141.218.60.56/~jnz1568/getInfo.php?workbook=07_01.xlsx&amp;sheet=A0&amp;row=278&amp;col=7&amp;number=10219000000&amp;sourceID=11","10219000000")</f>
        <v>10219000000</v>
      </c>
      <c r="H278" s="4" t="str">
        <f>HYPERLINK("http://141.218.60.56/~jnz1568/getInfo.php?workbook=07_01.xlsx&amp;sheet=A0&amp;row=278&amp;col=8&amp;number=&amp;sourceID=11","")</f>
        <v/>
      </c>
      <c r="I278" s="4" t="str">
        <f>HYPERLINK("http://141.218.60.56/~jnz1568/getInfo.php?workbook=07_01.xlsx&amp;sheet=A0&amp;row=278&amp;col=9&amp;number=0.21088&amp;sourceID=11","0.21088")</f>
        <v>0.21088</v>
      </c>
      <c r="J278" s="4" t="str">
        <f>HYPERLINK("http://141.218.60.56/~jnz1568/getInfo.php?workbook=07_01.xlsx&amp;sheet=A0&amp;row=278&amp;col=10&amp;number=&amp;sourceID=11","")</f>
        <v/>
      </c>
      <c r="K278" s="4" t="str">
        <f>HYPERLINK("http://141.218.60.56/~jnz1568/getInfo.php?workbook=07_01.xlsx&amp;sheet=A0&amp;row=278&amp;col=11&amp;number=4.6706&amp;sourceID=11","4.6706")</f>
        <v>4.6706</v>
      </c>
      <c r="L278" s="4" t="str">
        <f>HYPERLINK("http://141.218.60.56/~jnz1568/getInfo.php?workbook=07_01.xlsx&amp;sheet=A0&amp;row=278&amp;col=12&amp;number=&amp;sourceID=11","")</f>
        <v/>
      </c>
      <c r="M278" s="4" t="str">
        <f>HYPERLINK("http://141.218.60.56/~jnz1568/getInfo.php?workbook=07_01.xlsx&amp;sheet=A0&amp;row=278&amp;col=13&amp;number=10220000000&amp;sourceID=12","10220000000")</f>
        <v>10220000000</v>
      </c>
      <c r="N278" s="4" t="str">
        <f>HYPERLINK("http://141.218.60.56/~jnz1568/getInfo.php?workbook=07_01.xlsx&amp;sheet=A0&amp;row=278&amp;col=14&amp;number=10220000000&amp;sourceID=12","10220000000")</f>
        <v>10220000000</v>
      </c>
      <c r="O278" s="4" t="str">
        <f>HYPERLINK("http://141.218.60.56/~jnz1568/getInfo.php?workbook=07_01.xlsx&amp;sheet=A0&amp;row=278&amp;col=15&amp;number=&amp;sourceID=12","")</f>
        <v/>
      </c>
      <c r="P278" s="4" t="str">
        <f>HYPERLINK("http://141.218.60.56/~jnz1568/getInfo.php?workbook=07_01.xlsx&amp;sheet=A0&amp;row=278&amp;col=16&amp;number=0.21089&amp;sourceID=12","0.21089")</f>
        <v>0.21089</v>
      </c>
      <c r="Q278" s="4" t="str">
        <f>HYPERLINK("http://141.218.60.56/~jnz1568/getInfo.php?workbook=07_01.xlsx&amp;sheet=A0&amp;row=278&amp;col=17&amp;number=&amp;sourceID=12","")</f>
        <v/>
      </c>
      <c r="R278" s="4" t="str">
        <f>HYPERLINK("http://141.218.60.56/~jnz1568/getInfo.php?workbook=07_01.xlsx&amp;sheet=A0&amp;row=278&amp;col=18&amp;number=4.6708&amp;sourceID=12","4.6708")</f>
        <v>4.6708</v>
      </c>
      <c r="S278" s="4" t="str">
        <f>HYPERLINK("http://141.218.60.56/~jnz1568/getInfo.php?workbook=07_01.xlsx&amp;sheet=A0&amp;row=278&amp;col=19&amp;number=&amp;sourceID=12","")</f>
        <v/>
      </c>
      <c r="T278" s="4" t="str">
        <f>HYPERLINK("http://141.218.60.56/~jnz1568/getInfo.php?workbook=07_01.xlsx&amp;sheet=A0&amp;row=278&amp;col=20&amp;number==SUM(U278:X278)&amp;sourceID=30","=SUM(U278:X278)")</f>
        <v>=SUM(U278:X278)</v>
      </c>
      <c r="U278" s="4" t="str">
        <f>HYPERLINK("http://141.218.60.56/~jnz1568/getInfo.php?workbook=07_01.xlsx&amp;sheet=A0&amp;row=278&amp;col=21&amp;number=10220000000&amp;sourceID=30","10220000000")</f>
        <v>10220000000</v>
      </c>
      <c r="V278" s="4" t="str">
        <f>HYPERLINK("http://141.218.60.56/~jnz1568/getInfo.php?workbook=07_01.xlsx&amp;sheet=A0&amp;row=278&amp;col=22&amp;number=&amp;sourceID=30","")</f>
        <v/>
      </c>
      <c r="W278" s="4" t="str">
        <f>HYPERLINK("http://141.218.60.56/~jnz1568/getInfo.php?workbook=07_01.xlsx&amp;sheet=A0&amp;row=278&amp;col=23&amp;number=&amp;sourceID=30","")</f>
        <v/>
      </c>
      <c r="X278" s="4" t="str">
        <f>HYPERLINK("http://141.218.60.56/~jnz1568/getInfo.php?workbook=07_01.xlsx&amp;sheet=A0&amp;row=278&amp;col=24&amp;number=4.671&amp;sourceID=30","4.671")</f>
        <v>4.671</v>
      </c>
      <c r="Y278" s="4" t="str">
        <f>HYPERLINK("http://141.218.60.56/~jnz1568/getInfo.php?workbook=07_01.xlsx&amp;sheet=A0&amp;row=278&amp;col=25&amp;number=&amp;sourceID=13","")</f>
        <v/>
      </c>
      <c r="Z278" s="4" t="str">
        <f>HYPERLINK("http://141.218.60.56/~jnz1568/getInfo.php?workbook=07_01.xlsx&amp;sheet=A0&amp;row=278&amp;col=26&amp;number=&amp;sourceID=13","")</f>
        <v/>
      </c>
      <c r="AA278" s="4" t="str">
        <f>HYPERLINK("http://141.218.60.56/~jnz1568/getInfo.php?workbook=07_01.xlsx&amp;sheet=A0&amp;row=278&amp;col=27&amp;number=&amp;sourceID=13","")</f>
        <v/>
      </c>
      <c r="AB278" s="4" t="str">
        <f>HYPERLINK("http://141.218.60.56/~jnz1568/getInfo.php?workbook=07_01.xlsx&amp;sheet=A0&amp;row=278&amp;col=28&amp;number=&amp;sourceID=13","")</f>
        <v/>
      </c>
      <c r="AC278" s="4" t="str">
        <f>HYPERLINK("http://141.218.60.56/~jnz1568/getInfo.php?workbook=07_01.xlsx&amp;sheet=A0&amp;row=278&amp;col=29&amp;number=&amp;sourceID=13","")</f>
        <v/>
      </c>
      <c r="AD278" s="4" t="str">
        <f>HYPERLINK("http://141.218.60.56/~jnz1568/getInfo.php?workbook=07_01.xlsx&amp;sheet=A0&amp;row=278&amp;col=30&amp;number=&amp;sourceID=13","")</f>
        <v/>
      </c>
    </row>
    <row r="279" spans="1:30">
      <c r="A279" s="3">
        <v>7</v>
      </c>
      <c r="B279" s="3">
        <v>1</v>
      </c>
      <c r="C279" s="3">
        <v>25</v>
      </c>
      <c r="D279" s="3">
        <v>19</v>
      </c>
      <c r="E279" s="3">
        <f>((1/(INDEX(E0!J$4:J$28,C279,1)-INDEX(E0!J$4:J$28,D279,1))))*100000000</f>
        <v>0</v>
      </c>
      <c r="F279" s="4" t="str">
        <f>HYPERLINK("http://141.218.60.56/~jnz1568/getInfo.php?workbook=07_01.xlsx&amp;sheet=A0&amp;row=279&amp;col=6&amp;number==&amp;sourceID=11","=")</f>
        <v>=</v>
      </c>
      <c r="G279" s="4" t="str">
        <f>HYPERLINK("http://141.218.60.56/~jnz1568/getInfo.php?workbook=07_01.xlsx&amp;sheet=A0&amp;row=279&amp;col=7&amp;number=&amp;sourceID=11","")</f>
        <v/>
      </c>
      <c r="H279" s="4" t="str">
        <f>HYPERLINK("http://141.218.60.56/~jnz1568/getInfo.php?workbook=07_01.xlsx&amp;sheet=A0&amp;row=279&amp;col=8&amp;number=&amp;sourceID=11","")</f>
        <v/>
      </c>
      <c r="I279" s="4" t="str">
        <f>HYPERLINK("http://141.218.60.56/~jnz1568/getInfo.php?workbook=07_01.xlsx&amp;sheet=A0&amp;row=279&amp;col=9&amp;number=&amp;sourceID=11","")</f>
        <v/>
      </c>
      <c r="J279" s="4" t="str">
        <f>HYPERLINK("http://141.218.60.56/~jnz1568/getInfo.php?workbook=07_01.xlsx&amp;sheet=A0&amp;row=279&amp;col=10&amp;number=&amp;sourceID=11","")</f>
        <v/>
      </c>
      <c r="K279" s="4" t="str">
        <f>HYPERLINK("http://141.218.60.56/~jnz1568/getInfo.php?workbook=07_01.xlsx&amp;sheet=A0&amp;row=279&amp;col=11&amp;number=&amp;sourceID=11","")</f>
        <v/>
      </c>
      <c r="L279" s="4" t="str">
        <f>HYPERLINK("http://141.218.60.56/~jnz1568/getInfo.php?workbook=07_01.xlsx&amp;sheet=A0&amp;row=279&amp;col=12&amp;number=0&amp;sourceID=11","0")</f>
        <v>0</v>
      </c>
      <c r="M279" s="4" t="str">
        <f>HYPERLINK("http://141.218.60.56/~jnz1568/getInfo.php?workbook=07_01.xlsx&amp;sheet=A0&amp;row=279&amp;col=13&amp;number=0&amp;sourceID=12","0")</f>
        <v>0</v>
      </c>
      <c r="N279" s="4" t="str">
        <f>HYPERLINK("http://141.218.60.56/~jnz1568/getInfo.php?workbook=07_01.xlsx&amp;sheet=A0&amp;row=279&amp;col=14&amp;number=&amp;sourceID=12","")</f>
        <v/>
      </c>
      <c r="O279" s="4" t="str">
        <f>HYPERLINK("http://141.218.60.56/~jnz1568/getInfo.php?workbook=07_01.xlsx&amp;sheet=A0&amp;row=279&amp;col=15&amp;number=&amp;sourceID=12","")</f>
        <v/>
      </c>
      <c r="P279" s="4" t="str">
        <f>HYPERLINK("http://141.218.60.56/~jnz1568/getInfo.php?workbook=07_01.xlsx&amp;sheet=A0&amp;row=279&amp;col=16&amp;number=&amp;sourceID=12","")</f>
        <v/>
      </c>
      <c r="Q279" s="4" t="str">
        <f>HYPERLINK("http://141.218.60.56/~jnz1568/getInfo.php?workbook=07_01.xlsx&amp;sheet=A0&amp;row=279&amp;col=17&amp;number=&amp;sourceID=12","")</f>
        <v/>
      </c>
      <c r="R279" s="4" t="str">
        <f>HYPERLINK("http://141.218.60.56/~jnz1568/getInfo.php?workbook=07_01.xlsx&amp;sheet=A0&amp;row=279&amp;col=18&amp;number=&amp;sourceID=12","")</f>
        <v/>
      </c>
      <c r="S279" s="4" t="str">
        <f>HYPERLINK("http://141.218.60.56/~jnz1568/getInfo.php?workbook=07_01.xlsx&amp;sheet=A0&amp;row=279&amp;col=19&amp;number=0&amp;sourceID=12","0")</f>
        <v>0</v>
      </c>
      <c r="T279" s="4" t="str">
        <f>HYPERLINK("http://141.218.60.56/~jnz1568/getInfo.php?workbook=07_01.xlsx&amp;sheet=A0&amp;row=279&amp;col=20&amp;number=&amp;sourceID=30","")</f>
        <v/>
      </c>
      <c r="U279" s="4" t="str">
        <f>HYPERLINK("http://141.218.60.56/~jnz1568/getInfo.php?workbook=07_01.xlsx&amp;sheet=A0&amp;row=279&amp;col=21&amp;number=&amp;sourceID=30","")</f>
        <v/>
      </c>
      <c r="V279" s="4" t="str">
        <f>HYPERLINK("http://141.218.60.56/~jnz1568/getInfo.php?workbook=07_01.xlsx&amp;sheet=A0&amp;row=279&amp;col=22&amp;number=&amp;sourceID=30","")</f>
        <v/>
      </c>
      <c r="W279" s="4" t="str">
        <f>HYPERLINK("http://141.218.60.56/~jnz1568/getInfo.php?workbook=07_01.xlsx&amp;sheet=A0&amp;row=279&amp;col=23&amp;number=&amp;sourceID=30","")</f>
        <v/>
      </c>
      <c r="X279" s="4" t="str">
        <f>HYPERLINK("http://141.218.60.56/~jnz1568/getInfo.php?workbook=07_01.xlsx&amp;sheet=A0&amp;row=279&amp;col=24&amp;number=&amp;sourceID=30","")</f>
        <v/>
      </c>
      <c r="Y279" s="4" t="str">
        <f>HYPERLINK("http://141.218.60.56/~jnz1568/getInfo.php?workbook=07_01.xlsx&amp;sheet=A0&amp;row=279&amp;col=25&amp;number=&amp;sourceID=13","")</f>
        <v/>
      </c>
      <c r="Z279" s="4" t="str">
        <f>HYPERLINK("http://141.218.60.56/~jnz1568/getInfo.php?workbook=07_01.xlsx&amp;sheet=A0&amp;row=279&amp;col=26&amp;number=&amp;sourceID=13","")</f>
        <v/>
      </c>
      <c r="AA279" s="4" t="str">
        <f>HYPERLINK("http://141.218.60.56/~jnz1568/getInfo.php?workbook=07_01.xlsx&amp;sheet=A0&amp;row=279&amp;col=27&amp;number=&amp;sourceID=13","")</f>
        <v/>
      </c>
      <c r="AB279" s="4" t="str">
        <f>HYPERLINK("http://141.218.60.56/~jnz1568/getInfo.php?workbook=07_01.xlsx&amp;sheet=A0&amp;row=279&amp;col=28&amp;number=&amp;sourceID=13","")</f>
        <v/>
      </c>
      <c r="AC279" s="4" t="str">
        <f>HYPERLINK("http://141.218.60.56/~jnz1568/getInfo.php?workbook=07_01.xlsx&amp;sheet=A0&amp;row=279&amp;col=29&amp;number=&amp;sourceID=13","")</f>
        <v/>
      </c>
      <c r="AD279" s="4" t="str">
        <f>HYPERLINK("http://141.218.60.56/~jnz1568/getInfo.php?workbook=07_01.xlsx&amp;sheet=A0&amp;row=279&amp;col=30&amp;number=&amp;sourceID=13","")</f>
        <v/>
      </c>
    </row>
    <row r="280" spans="1:30">
      <c r="A280" s="3">
        <v>7</v>
      </c>
      <c r="B280" s="3">
        <v>1</v>
      </c>
      <c r="C280" s="3">
        <v>25</v>
      </c>
      <c r="D280" s="3">
        <v>20</v>
      </c>
      <c r="E280" s="3">
        <f>((1/(INDEX(E0!J$4:J$28,C280,1)-INDEX(E0!J$4:J$28,D280,1))))*100000000</f>
        <v>0</v>
      </c>
      <c r="F280" s="4" t="str">
        <f>HYPERLINK("http://141.218.60.56/~jnz1568/getInfo.php?workbook=07_01.xlsx&amp;sheet=A0&amp;row=280&amp;col=6&amp;number==&amp;sourceID=11","=")</f>
        <v>=</v>
      </c>
      <c r="G280" s="4" t="str">
        <f>HYPERLINK("http://141.218.60.56/~jnz1568/getInfo.php?workbook=07_01.xlsx&amp;sheet=A0&amp;row=280&amp;col=7&amp;number=&amp;sourceID=11","")</f>
        <v/>
      </c>
      <c r="H280" s="4" t="str">
        <f>HYPERLINK("http://141.218.60.56/~jnz1568/getInfo.php?workbook=07_01.xlsx&amp;sheet=A0&amp;row=280&amp;col=8&amp;number=&amp;sourceID=11","")</f>
        <v/>
      </c>
      <c r="I280" s="4" t="str">
        <f>HYPERLINK("http://141.218.60.56/~jnz1568/getInfo.php?workbook=07_01.xlsx&amp;sheet=A0&amp;row=280&amp;col=9&amp;number=0&amp;sourceID=11","0")</f>
        <v>0</v>
      </c>
      <c r="J280" s="4" t="str">
        <f>HYPERLINK("http://141.218.60.56/~jnz1568/getInfo.php?workbook=07_01.xlsx&amp;sheet=A0&amp;row=280&amp;col=10&amp;number=&amp;sourceID=11","")</f>
        <v/>
      </c>
      <c r="K280" s="4" t="str">
        <f>HYPERLINK("http://141.218.60.56/~jnz1568/getInfo.php?workbook=07_01.xlsx&amp;sheet=A0&amp;row=280&amp;col=11&amp;number=&amp;sourceID=11","")</f>
        <v/>
      </c>
      <c r="L280" s="4" t="str">
        <f>HYPERLINK("http://141.218.60.56/~jnz1568/getInfo.php?workbook=07_01.xlsx&amp;sheet=A0&amp;row=280&amp;col=12&amp;number=&amp;sourceID=11","")</f>
        <v/>
      </c>
      <c r="M280" s="4" t="str">
        <f>HYPERLINK("http://141.218.60.56/~jnz1568/getInfo.php?workbook=07_01.xlsx&amp;sheet=A0&amp;row=280&amp;col=13&amp;number=0&amp;sourceID=12","0")</f>
        <v>0</v>
      </c>
      <c r="N280" s="4" t="str">
        <f>HYPERLINK("http://141.218.60.56/~jnz1568/getInfo.php?workbook=07_01.xlsx&amp;sheet=A0&amp;row=280&amp;col=14&amp;number=&amp;sourceID=12","")</f>
        <v/>
      </c>
      <c r="O280" s="4" t="str">
        <f>HYPERLINK("http://141.218.60.56/~jnz1568/getInfo.php?workbook=07_01.xlsx&amp;sheet=A0&amp;row=280&amp;col=15&amp;number=&amp;sourceID=12","")</f>
        <v/>
      </c>
      <c r="P280" s="4" t="str">
        <f>HYPERLINK("http://141.218.60.56/~jnz1568/getInfo.php?workbook=07_01.xlsx&amp;sheet=A0&amp;row=280&amp;col=16&amp;number=0&amp;sourceID=12","0")</f>
        <v>0</v>
      </c>
      <c r="Q280" s="4" t="str">
        <f>HYPERLINK("http://141.218.60.56/~jnz1568/getInfo.php?workbook=07_01.xlsx&amp;sheet=A0&amp;row=280&amp;col=17&amp;number=&amp;sourceID=12","")</f>
        <v/>
      </c>
      <c r="R280" s="4" t="str">
        <f>HYPERLINK("http://141.218.60.56/~jnz1568/getInfo.php?workbook=07_01.xlsx&amp;sheet=A0&amp;row=280&amp;col=18&amp;number=&amp;sourceID=12","")</f>
        <v/>
      </c>
      <c r="S280" s="4" t="str">
        <f>HYPERLINK("http://141.218.60.56/~jnz1568/getInfo.php?workbook=07_01.xlsx&amp;sheet=A0&amp;row=280&amp;col=19&amp;number=&amp;sourceID=12","")</f>
        <v/>
      </c>
      <c r="T280" s="4" t="str">
        <f>HYPERLINK("http://141.218.60.56/~jnz1568/getInfo.php?workbook=07_01.xlsx&amp;sheet=A0&amp;row=280&amp;col=20&amp;number=&amp;sourceID=30","")</f>
        <v/>
      </c>
      <c r="U280" s="4" t="str">
        <f>HYPERLINK("http://141.218.60.56/~jnz1568/getInfo.php?workbook=07_01.xlsx&amp;sheet=A0&amp;row=280&amp;col=21&amp;number=&amp;sourceID=30","")</f>
        <v/>
      </c>
      <c r="V280" s="4" t="str">
        <f>HYPERLINK("http://141.218.60.56/~jnz1568/getInfo.php?workbook=07_01.xlsx&amp;sheet=A0&amp;row=280&amp;col=22&amp;number=&amp;sourceID=30","")</f>
        <v/>
      </c>
      <c r="W280" s="4" t="str">
        <f>HYPERLINK("http://141.218.60.56/~jnz1568/getInfo.php?workbook=07_01.xlsx&amp;sheet=A0&amp;row=280&amp;col=23&amp;number=&amp;sourceID=30","")</f>
        <v/>
      </c>
      <c r="X280" s="4" t="str">
        <f>HYPERLINK("http://141.218.60.56/~jnz1568/getInfo.php?workbook=07_01.xlsx&amp;sheet=A0&amp;row=280&amp;col=24&amp;number=&amp;sourceID=30","")</f>
        <v/>
      </c>
      <c r="Y280" s="4" t="str">
        <f>HYPERLINK("http://141.218.60.56/~jnz1568/getInfo.php?workbook=07_01.xlsx&amp;sheet=A0&amp;row=280&amp;col=25&amp;number=&amp;sourceID=13","")</f>
        <v/>
      </c>
      <c r="Z280" s="4" t="str">
        <f>HYPERLINK("http://141.218.60.56/~jnz1568/getInfo.php?workbook=07_01.xlsx&amp;sheet=A0&amp;row=280&amp;col=26&amp;number=&amp;sourceID=13","")</f>
        <v/>
      </c>
      <c r="AA280" s="4" t="str">
        <f>HYPERLINK("http://141.218.60.56/~jnz1568/getInfo.php?workbook=07_01.xlsx&amp;sheet=A0&amp;row=280&amp;col=27&amp;number=&amp;sourceID=13","")</f>
        <v/>
      </c>
      <c r="AB280" s="4" t="str">
        <f>HYPERLINK("http://141.218.60.56/~jnz1568/getInfo.php?workbook=07_01.xlsx&amp;sheet=A0&amp;row=280&amp;col=28&amp;number=&amp;sourceID=13","")</f>
        <v/>
      </c>
      <c r="AC280" s="4" t="str">
        <f>HYPERLINK("http://141.218.60.56/~jnz1568/getInfo.php?workbook=07_01.xlsx&amp;sheet=A0&amp;row=280&amp;col=29&amp;number=&amp;sourceID=13","")</f>
        <v/>
      </c>
      <c r="AD280" s="4" t="str">
        <f>HYPERLINK("http://141.218.60.56/~jnz1568/getInfo.php?workbook=07_01.xlsx&amp;sheet=A0&amp;row=280&amp;col=30&amp;number=&amp;sourceID=13","")</f>
        <v/>
      </c>
    </row>
    <row r="281" spans="1:30">
      <c r="A281" s="3">
        <v>7</v>
      </c>
      <c r="B281" s="3">
        <v>1</v>
      </c>
      <c r="C281" s="3">
        <v>25</v>
      </c>
      <c r="D281" s="3">
        <v>21</v>
      </c>
      <c r="E281" s="3">
        <f>((1/(INDEX(E0!J$4:J$28,C281,1)-INDEX(E0!J$4:J$28,D281,1))))*100000000</f>
        <v>0</v>
      </c>
      <c r="F281" s="4" t="str">
        <f>HYPERLINK("http://141.218.60.56/~jnz1568/getInfo.php?workbook=07_01.xlsx&amp;sheet=A0&amp;row=281&amp;col=6&amp;number==&amp;sourceID=11","=")</f>
        <v>=</v>
      </c>
      <c r="G281" s="4" t="str">
        <f>HYPERLINK("http://141.218.60.56/~jnz1568/getInfo.php?workbook=07_01.xlsx&amp;sheet=A0&amp;row=281&amp;col=7&amp;number=&amp;sourceID=11","")</f>
        <v/>
      </c>
      <c r="H281" s="4" t="str">
        <f>HYPERLINK("http://141.218.60.56/~jnz1568/getInfo.php?workbook=07_01.xlsx&amp;sheet=A0&amp;row=281&amp;col=8&amp;number=&amp;sourceID=11","")</f>
        <v/>
      </c>
      <c r="I281" s="4" t="str">
        <f>HYPERLINK("http://141.218.60.56/~jnz1568/getInfo.php?workbook=07_01.xlsx&amp;sheet=A0&amp;row=281&amp;col=9&amp;number=0&amp;sourceID=11","0")</f>
        <v>0</v>
      </c>
      <c r="J281" s="4" t="str">
        <f>HYPERLINK("http://141.218.60.56/~jnz1568/getInfo.php?workbook=07_01.xlsx&amp;sheet=A0&amp;row=281&amp;col=10&amp;number=&amp;sourceID=11","")</f>
        <v/>
      </c>
      <c r="K281" s="4" t="str">
        <f>HYPERLINK("http://141.218.60.56/~jnz1568/getInfo.php?workbook=07_01.xlsx&amp;sheet=A0&amp;row=281&amp;col=11&amp;number=0&amp;sourceID=11","0")</f>
        <v>0</v>
      </c>
      <c r="L281" s="4" t="str">
        <f>HYPERLINK("http://141.218.60.56/~jnz1568/getInfo.php?workbook=07_01.xlsx&amp;sheet=A0&amp;row=281&amp;col=12&amp;number=&amp;sourceID=11","")</f>
        <v/>
      </c>
      <c r="M281" s="4" t="str">
        <f>HYPERLINK("http://141.218.60.56/~jnz1568/getInfo.php?workbook=07_01.xlsx&amp;sheet=A0&amp;row=281&amp;col=13&amp;number=0&amp;sourceID=12","0")</f>
        <v>0</v>
      </c>
      <c r="N281" s="4" t="str">
        <f>HYPERLINK("http://141.218.60.56/~jnz1568/getInfo.php?workbook=07_01.xlsx&amp;sheet=A0&amp;row=281&amp;col=14&amp;number=&amp;sourceID=12","")</f>
        <v/>
      </c>
      <c r="O281" s="4" t="str">
        <f>HYPERLINK("http://141.218.60.56/~jnz1568/getInfo.php?workbook=07_01.xlsx&amp;sheet=A0&amp;row=281&amp;col=15&amp;number=&amp;sourceID=12","")</f>
        <v/>
      </c>
      <c r="P281" s="4" t="str">
        <f>HYPERLINK("http://141.218.60.56/~jnz1568/getInfo.php?workbook=07_01.xlsx&amp;sheet=A0&amp;row=281&amp;col=16&amp;number=0&amp;sourceID=12","0")</f>
        <v>0</v>
      </c>
      <c r="Q281" s="4" t="str">
        <f>HYPERLINK("http://141.218.60.56/~jnz1568/getInfo.php?workbook=07_01.xlsx&amp;sheet=A0&amp;row=281&amp;col=17&amp;number=&amp;sourceID=12","")</f>
        <v/>
      </c>
      <c r="R281" s="4" t="str">
        <f>HYPERLINK("http://141.218.60.56/~jnz1568/getInfo.php?workbook=07_01.xlsx&amp;sheet=A0&amp;row=281&amp;col=18&amp;number=0&amp;sourceID=12","0")</f>
        <v>0</v>
      </c>
      <c r="S281" s="4" t="str">
        <f>HYPERLINK("http://141.218.60.56/~jnz1568/getInfo.php?workbook=07_01.xlsx&amp;sheet=A0&amp;row=281&amp;col=19&amp;number=&amp;sourceID=12","")</f>
        <v/>
      </c>
      <c r="T281" s="4" t="str">
        <f>HYPERLINK("http://141.218.60.56/~jnz1568/getInfo.php?workbook=07_01.xlsx&amp;sheet=A0&amp;row=281&amp;col=20&amp;number==SUM(U281:X281)&amp;sourceID=30","=SUM(U281:X281)")</f>
        <v>=SUM(U281:X281)</v>
      </c>
      <c r="U281" s="4" t="str">
        <f>HYPERLINK("http://141.218.60.56/~jnz1568/getInfo.php?workbook=07_01.xlsx&amp;sheet=A0&amp;row=281&amp;col=21&amp;number=&amp;sourceID=30","")</f>
        <v/>
      </c>
      <c r="V281" s="4" t="str">
        <f>HYPERLINK("http://141.218.60.56/~jnz1568/getInfo.php?workbook=07_01.xlsx&amp;sheet=A0&amp;row=281&amp;col=22&amp;number=&amp;sourceID=30","")</f>
        <v/>
      </c>
      <c r="W281" s="4" t="str">
        <f>HYPERLINK("http://141.218.60.56/~jnz1568/getInfo.php?workbook=07_01.xlsx&amp;sheet=A0&amp;row=281&amp;col=23&amp;number=&amp;sourceID=30","")</f>
        <v/>
      </c>
      <c r="X281" s="4" t="str">
        <f>HYPERLINK("http://141.218.60.56/~jnz1568/getInfo.php?workbook=07_01.xlsx&amp;sheet=A0&amp;row=281&amp;col=24&amp;number=0&amp;sourceID=30","0")</f>
        <v>0</v>
      </c>
      <c r="Y281" s="4" t="str">
        <f>HYPERLINK("http://141.218.60.56/~jnz1568/getInfo.php?workbook=07_01.xlsx&amp;sheet=A0&amp;row=281&amp;col=25&amp;number=&amp;sourceID=13","")</f>
        <v/>
      </c>
      <c r="Z281" s="4" t="str">
        <f>HYPERLINK("http://141.218.60.56/~jnz1568/getInfo.php?workbook=07_01.xlsx&amp;sheet=A0&amp;row=281&amp;col=26&amp;number=&amp;sourceID=13","")</f>
        <v/>
      </c>
      <c r="AA281" s="4" t="str">
        <f>HYPERLINK("http://141.218.60.56/~jnz1568/getInfo.php?workbook=07_01.xlsx&amp;sheet=A0&amp;row=281&amp;col=27&amp;number=&amp;sourceID=13","")</f>
        <v/>
      </c>
      <c r="AB281" s="4" t="str">
        <f>HYPERLINK("http://141.218.60.56/~jnz1568/getInfo.php?workbook=07_01.xlsx&amp;sheet=A0&amp;row=281&amp;col=28&amp;number=&amp;sourceID=13","")</f>
        <v/>
      </c>
      <c r="AC281" s="4" t="str">
        <f>HYPERLINK("http://141.218.60.56/~jnz1568/getInfo.php?workbook=07_01.xlsx&amp;sheet=A0&amp;row=281&amp;col=29&amp;number=&amp;sourceID=13","")</f>
        <v/>
      </c>
      <c r="AD281" s="4" t="str">
        <f>HYPERLINK("http://141.218.60.56/~jnz1568/getInfo.php?workbook=07_01.xlsx&amp;sheet=A0&amp;row=281&amp;col=30&amp;number=&amp;sourceID=13","")</f>
        <v/>
      </c>
    </row>
    <row r="282" spans="1:30">
      <c r="A282" s="3">
        <v>7</v>
      </c>
      <c r="B282" s="3">
        <v>1</v>
      </c>
      <c r="C282" s="3">
        <v>25</v>
      </c>
      <c r="D282" s="3">
        <v>22</v>
      </c>
      <c r="E282" s="3">
        <f>((1/(INDEX(E0!J$4:J$28,C282,1)-INDEX(E0!J$4:J$28,D282,1))))*100000000</f>
        <v>0</v>
      </c>
      <c r="F282" s="4" t="str">
        <f>HYPERLINK("http://141.218.60.56/~jnz1568/getInfo.php?workbook=07_01.xlsx&amp;sheet=A0&amp;row=282&amp;col=6&amp;number==&amp;sourceID=11","=")</f>
        <v>=</v>
      </c>
      <c r="G282" s="4" t="str">
        <f>HYPERLINK("http://141.218.60.56/~jnz1568/getInfo.php?workbook=07_01.xlsx&amp;sheet=A0&amp;row=282&amp;col=7&amp;number=&amp;sourceID=11","")</f>
        <v/>
      </c>
      <c r="H282" s="4" t="str">
        <f>HYPERLINK("http://141.218.60.56/~jnz1568/getInfo.php?workbook=07_01.xlsx&amp;sheet=A0&amp;row=282&amp;col=8&amp;number=6e-15&amp;sourceID=11","6e-15")</f>
        <v>6e-15</v>
      </c>
      <c r="I282" s="4" t="str">
        <f>HYPERLINK("http://141.218.60.56/~jnz1568/getInfo.php?workbook=07_01.xlsx&amp;sheet=A0&amp;row=282&amp;col=9&amp;number=&amp;sourceID=11","")</f>
        <v/>
      </c>
      <c r="J282" s="4" t="str">
        <f>HYPERLINK("http://141.218.60.56/~jnz1568/getInfo.php?workbook=07_01.xlsx&amp;sheet=A0&amp;row=282&amp;col=10&amp;number=&amp;sourceID=11","")</f>
        <v/>
      </c>
      <c r="K282" s="4" t="str">
        <f>HYPERLINK("http://141.218.60.56/~jnz1568/getInfo.php?workbook=07_01.xlsx&amp;sheet=A0&amp;row=282&amp;col=11&amp;number=&amp;sourceID=11","")</f>
        <v/>
      </c>
      <c r="L282" s="4" t="str">
        <f>HYPERLINK("http://141.218.60.56/~jnz1568/getInfo.php?workbook=07_01.xlsx&amp;sheet=A0&amp;row=282&amp;col=12&amp;number=0&amp;sourceID=11","0")</f>
        <v>0</v>
      </c>
      <c r="M282" s="4" t="str">
        <f>HYPERLINK("http://141.218.60.56/~jnz1568/getInfo.php?workbook=07_01.xlsx&amp;sheet=A0&amp;row=282&amp;col=13&amp;number=6e-15&amp;sourceID=12","6e-15")</f>
        <v>6e-15</v>
      </c>
      <c r="N282" s="4" t="str">
        <f>HYPERLINK("http://141.218.60.56/~jnz1568/getInfo.php?workbook=07_01.xlsx&amp;sheet=A0&amp;row=282&amp;col=14&amp;number=&amp;sourceID=12","")</f>
        <v/>
      </c>
      <c r="O282" s="4" t="str">
        <f>HYPERLINK("http://141.218.60.56/~jnz1568/getInfo.php?workbook=07_01.xlsx&amp;sheet=A0&amp;row=282&amp;col=15&amp;number=6e-15&amp;sourceID=12","6e-15")</f>
        <v>6e-15</v>
      </c>
      <c r="P282" s="4" t="str">
        <f>HYPERLINK("http://141.218.60.56/~jnz1568/getInfo.php?workbook=07_01.xlsx&amp;sheet=A0&amp;row=282&amp;col=16&amp;number=&amp;sourceID=12","")</f>
        <v/>
      </c>
      <c r="Q282" s="4" t="str">
        <f>HYPERLINK("http://141.218.60.56/~jnz1568/getInfo.php?workbook=07_01.xlsx&amp;sheet=A0&amp;row=282&amp;col=17&amp;number=&amp;sourceID=12","")</f>
        <v/>
      </c>
      <c r="R282" s="4" t="str">
        <f>HYPERLINK("http://141.218.60.56/~jnz1568/getInfo.php?workbook=07_01.xlsx&amp;sheet=A0&amp;row=282&amp;col=18&amp;number=&amp;sourceID=12","")</f>
        <v/>
      </c>
      <c r="S282" s="4" t="str">
        <f>HYPERLINK("http://141.218.60.56/~jnz1568/getInfo.php?workbook=07_01.xlsx&amp;sheet=A0&amp;row=282&amp;col=19&amp;number=0&amp;sourceID=12","0")</f>
        <v>0</v>
      </c>
      <c r="T282" s="4" t="str">
        <f>HYPERLINK("http://141.218.60.56/~jnz1568/getInfo.php?workbook=07_01.xlsx&amp;sheet=A0&amp;row=282&amp;col=20&amp;number==SUM(U282:X282)&amp;sourceID=30","=SUM(U282:X282)")</f>
        <v>=SUM(U282:X282)</v>
      </c>
      <c r="U282" s="4" t="str">
        <f>HYPERLINK("http://141.218.60.56/~jnz1568/getInfo.php?workbook=07_01.xlsx&amp;sheet=A0&amp;row=282&amp;col=21&amp;number=&amp;sourceID=30","")</f>
        <v/>
      </c>
      <c r="V282" s="4" t="str">
        <f>HYPERLINK("http://141.218.60.56/~jnz1568/getInfo.php?workbook=07_01.xlsx&amp;sheet=A0&amp;row=282&amp;col=22&amp;number=6e-15&amp;sourceID=30","6e-15")</f>
        <v>6e-15</v>
      </c>
      <c r="W282" s="4" t="str">
        <f>HYPERLINK("http://141.218.60.56/~jnz1568/getInfo.php?workbook=07_01.xlsx&amp;sheet=A0&amp;row=282&amp;col=23&amp;number=&amp;sourceID=30","")</f>
        <v/>
      </c>
      <c r="X282" s="4" t="str">
        <f>HYPERLINK("http://141.218.60.56/~jnz1568/getInfo.php?workbook=07_01.xlsx&amp;sheet=A0&amp;row=282&amp;col=24&amp;number=&amp;sourceID=30","")</f>
        <v/>
      </c>
      <c r="Y282" s="4" t="str">
        <f>HYPERLINK("http://141.218.60.56/~jnz1568/getInfo.php?workbook=07_01.xlsx&amp;sheet=A0&amp;row=282&amp;col=25&amp;number=&amp;sourceID=13","")</f>
        <v/>
      </c>
      <c r="Z282" s="4" t="str">
        <f>HYPERLINK("http://141.218.60.56/~jnz1568/getInfo.php?workbook=07_01.xlsx&amp;sheet=A0&amp;row=282&amp;col=26&amp;number=&amp;sourceID=13","")</f>
        <v/>
      </c>
      <c r="AA282" s="4" t="str">
        <f>HYPERLINK("http://141.218.60.56/~jnz1568/getInfo.php?workbook=07_01.xlsx&amp;sheet=A0&amp;row=282&amp;col=27&amp;number=&amp;sourceID=13","")</f>
        <v/>
      </c>
      <c r="AB282" s="4" t="str">
        <f>HYPERLINK("http://141.218.60.56/~jnz1568/getInfo.php?workbook=07_01.xlsx&amp;sheet=A0&amp;row=282&amp;col=28&amp;number=&amp;sourceID=13","")</f>
        <v/>
      </c>
      <c r="AC282" s="4" t="str">
        <f>HYPERLINK("http://141.218.60.56/~jnz1568/getInfo.php?workbook=07_01.xlsx&amp;sheet=A0&amp;row=282&amp;col=29&amp;number=&amp;sourceID=13","")</f>
        <v/>
      </c>
      <c r="AD282" s="4" t="str">
        <f>HYPERLINK("http://141.218.60.56/~jnz1568/getInfo.php?workbook=07_01.xlsx&amp;sheet=A0&amp;row=282&amp;col=30&amp;number=&amp;sourceID=13","")</f>
        <v/>
      </c>
    </row>
    <row r="283" spans="1:30">
      <c r="A283" s="3">
        <v>7</v>
      </c>
      <c r="B283" s="3">
        <v>1</v>
      </c>
      <c r="C283" s="3">
        <v>25</v>
      </c>
      <c r="D283" s="3">
        <v>23</v>
      </c>
      <c r="E283" s="3">
        <f>((1/(INDEX(E0!J$4:J$28,C283,1)-INDEX(E0!J$4:J$28,D283,1))))*100000000</f>
        <v>0</v>
      </c>
      <c r="F283" s="4" t="str">
        <f>HYPERLINK("http://141.218.60.56/~jnz1568/getInfo.php?workbook=07_01.xlsx&amp;sheet=A0&amp;row=283&amp;col=6&amp;number==&amp;sourceID=11","=")</f>
        <v>=</v>
      </c>
      <c r="G283" s="4" t="str">
        <f>HYPERLINK("http://141.218.60.56/~jnz1568/getInfo.php?workbook=07_01.xlsx&amp;sheet=A0&amp;row=283&amp;col=7&amp;number=&amp;sourceID=11","")</f>
        <v/>
      </c>
      <c r="H283" s="4" t="str">
        <f>HYPERLINK("http://141.218.60.56/~jnz1568/getInfo.php?workbook=07_01.xlsx&amp;sheet=A0&amp;row=283&amp;col=8&amp;number=0&amp;sourceID=11","0")</f>
        <v>0</v>
      </c>
      <c r="I283" s="4" t="str">
        <f>HYPERLINK("http://141.218.60.56/~jnz1568/getInfo.php?workbook=07_01.xlsx&amp;sheet=A0&amp;row=283&amp;col=9&amp;number=&amp;sourceID=11","")</f>
        <v/>
      </c>
      <c r="J283" s="4" t="str">
        <f>HYPERLINK("http://141.218.60.56/~jnz1568/getInfo.php?workbook=07_01.xlsx&amp;sheet=A0&amp;row=283&amp;col=10&amp;number=2.1197e-09&amp;sourceID=11","2.1197e-09")</f>
        <v>2.1197e-09</v>
      </c>
      <c r="K283" s="4" t="str">
        <f>HYPERLINK("http://141.218.60.56/~jnz1568/getInfo.php?workbook=07_01.xlsx&amp;sheet=A0&amp;row=283&amp;col=11&amp;number=&amp;sourceID=11","")</f>
        <v/>
      </c>
      <c r="L283" s="4" t="str">
        <f>HYPERLINK("http://141.218.60.56/~jnz1568/getInfo.php?workbook=07_01.xlsx&amp;sheet=A0&amp;row=283&amp;col=12&amp;number=0&amp;sourceID=11","0")</f>
        <v>0</v>
      </c>
      <c r="M283" s="4" t="str">
        <f>HYPERLINK("http://141.218.60.56/~jnz1568/getInfo.php?workbook=07_01.xlsx&amp;sheet=A0&amp;row=283&amp;col=13&amp;number=2.12e-09&amp;sourceID=12","2.12e-09")</f>
        <v>2.12e-09</v>
      </c>
      <c r="N283" s="4" t="str">
        <f>HYPERLINK("http://141.218.60.56/~jnz1568/getInfo.php?workbook=07_01.xlsx&amp;sheet=A0&amp;row=283&amp;col=14&amp;number=&amp;sourceID=12","")</f>
        <v/>
      </c>
      <c r="O283" s="4" t="str">
        <f>HYPERLINK("http://141.218.60.56/~jnz1568/getInfo.php?workbook=07_01.xlsx&amp;sheet=A0&amp;row=283&amp;col=15&amp;number=0&amp;sourceID=12","0")</f>
        <v>0</v>
      </c>
      <c r="P283" s="4" t="str">
        <f>HYPERLINK("http://141.218.60.56/~jnz1568/getInfo.php?workbook=07_01.xlsx&amp;sheet=A0&amp;row=283&amp;col=16&amp;number=&amp;sourceID=12","")</f>
        <v/>
      </c>
      <c r="Q283" s="4" t="str">
        <f>HYPERLINK("http://141.218.60.56/~jnz1568/getInfo.php?workbook=07_01.xlsx&amp;sheet=A0&amp;row=283&amp;col=17&amp;number=2.12e-09&amp;sourceID=12","2.12e-09")</f>
        <v>2.12e-09</v>
      </c>
      <c r="R283" s="4" t="str">
        <f>HYPERLINK("http://141.218.60.56/~jnz1568/getInfo.php?workbook=07_01.xlsx&amp;sheet=A0&amp;row=283&amp;col=18&amp;number=&amp;sourceID=12","")</f>
        <v/>
      </c>
      <c r="S283" s="4" t="str">
        <f>HYPERLINK("http://141.218.60.56/~jnz1568/getInfo.php?workbook=07_01.xlsx&amp;sheet=A0&amp;row=283&amp;col=19&amp;number=0&amp;sourceID=12","0")</f>
        <v>0</v>
      </c>
      <c r="T283" s="4" t="str">
        <f>HYPERLINK("http://141.218.60.56/~jnz1568/getInfo.php?workbook=07_01.xlsx&amp;sheet=A0&amp;row=283&amp;col=20&amp;number==SUM(U283:X283)&amp;sourceID=30","=SUM(U283:X283)")</f>
        <v>=SUM(U283:X283)</v>
      </c>
      <c r="U283" s="4" t="str">
        <f>HYPERLINK("http://141.218.60.56/~jnz1568/getInfo.php?workbook=07_01.xlsx&amp;sheet=A0&amp;row=283&amp;col=21&amp;number=&amp;sourceID=30","")</f>
        <v/>
      </c>
      <c r="V283" s="4" t="str">
        <f>HYPERLINK("http://141.218.60.56/~jnz1568/getInfo.php?workbook=07_01.xlsx&amp;sheet=A0&amp;row=283&amp;col=22&amp;number=0&amp;sourceID=30","0")</f>
        <v>0</v>
      </c>
      <c r="W283" s="4" t="str">
        <f>HYPERLINK("http://141.218.60.56/~jnz1568/getInfo.php?workbook=07_01.xlsx&amp;sheet=A0&amp;row=283&amp;col=23&amp;number=2.12e-09&amp;sourceID=30","2.12e-09")</f>
        <v>2.12e-09</v>
      </c>
      <c r="X283" s="4" t="str">
        <f>HYPERLINK("http://141.218.60.56/~jnz1568/getInfo.php?workbook=07_01.xlsx&amp;sheet=A0&amp;row=283&amp;col=24&amp;number=&amp;sourceID=30","")</f>
        <v/>
      </c>
      <c r="Y283" s="4" t="str">
        <f>HYPERLINK("http://141.218.60.56/~jnz1568/getInfo.php?workbook=07_01.xlsx&amp;sheet=A0&amp;row=283&amp;col=25&amp;number=&amp;sourceID=13","")</f>
        <v/>
      </c>
      <c r="Z283" s="4" t="str">
        <f>HYPERLINK("http://141.218.60.56/~jnz1568/getInfo.php?workbook=07_01.xlsx&amp;sheet=A0&amp;row=283&amp;col=26&amp;number=&amp;sourceID=13","")</f>
        <v/>
      </c>
      <c r="AA283" s="4" t="str">
        <f>HYPERLINK("http://141.218.60.56/~jnz1568/getInfo.php?workbook=07_01.xlsx&amp;sheet=A0&amp;row=283&amp;col=27&amp;number=&amp;sourceID=13","")</f>
        <v/>
      </c>
      <c r="AB283" s="4" t="str">
        <f>HYPERLINK("http://141.218.60.56/~jnz1568/getInfo.php?workbook=07_01.xlsx&amp;sheet=A0&amp;row=283&amp;col=28&amp;number=&amp;sourceID=13","")</f>
        <v/>
      </c>
      <c r="AC283" s="4" t="str">
        <f>HYPERLINK("http://141.218.60.56/~jnz1568/getInfo.php?workbook=07_01.xlsx&amp;sheet=A0&amp;row=283&amp;col=29&amp;number=&amp;sourceID=13","")</f>
        <v/>
      </c>
      <c r="AD283" s="4" t="str">
        <f>HYPERLINK("http://141.218.60.56/~jnz1568/getInfo.php?workbook=07_01.xlsx&amp;sheet=A0&amp;row=283&amp;col=30&amp;number=&amp;sourceID=13","")</f>
        <v/>
      </c>
    </row>
    <row r="284" spans="1:30">
      <c r="A284" s="3">
        <v>7</v>
      </c>
      <c r="B284" s="3">
        <v>1</v>
      </c>
      <c r="C284" s="3">
        <v>25</v>
      </c>
      <c r="D284" s="3">
        <v>24</v>
      </c>
      <c r="E284" s="3">
        <f>((1/(INDEX(E0!J$4:J$28,C284,1)-INDEX(E0!J$4:J$28,D284,1))))*100000000</f>
        <v>0</v>
      </c>
      <c r="F284" s="4" t="str">
        <f>HYPERLINK("http://141.218.60.56/~jnz1568/getInfo.php?workbook=07_01.xlsx&amp;sheet=A0&amp;row=284&amp;col=6&amp;number==&amp;sourceID=11","=")</f>
        <v>=</v>
      </c>
      <c r="G284" s="4" t="str">
        <f>HYPERLINK("http://141.218.60.56/~jnz1568/getInfo.php?workbook=07_01.xlsx&amp;sheet=A0&amp;row=284&amp;col=7&amp;number=0.001645&amp;sourceID=11","0.001645")</f>
        <v>0.001645</v>
      </c>
      <c r="H284" s="4" t="str">
        <f>HYPERLINK("http://141.218.60.56/~jnz1568/getInfo.php?workbook=07_01.xlsx&amp;sheet=A0&amp;row=284&amp;col=8&amp;number=&amp;sourceID=11","")</f>
        <v/>
      </c>
      <c r="I284" s="4" t="str">
        <f>HYPERLINK("http://141.218.60.56/~jnz1568/getInfo.php?workbook=07_01.xlsx&amp;sheet=A0&amp;row=284&amp;col=9&amp;number=0&amp;sourceID=11","0")</f>
        <v>0</v>
      </c>
      <c r="J284" s="4" t="str">
        <f>HYPERLINK("http://141.218.60.56/~jnz1568/getInfo.php?workbook=07_01.xlsx&amp;sheet=A0&amp;row=284&amp;col=10&amp;number=&amp;sourceID=11","")</f>
        <v/>
      </c>
      <c r="K284" s="4" t="str">
        <f>HYPERLINK("http://141.218.60.56/~jnz1568/getInfo.php?workbook=07_01.xlsx&amp;sheet=A0&amp;row=284&amp;col=11&amp;number=0&amp;sourceID=11","0")</f>
        <v>0</v>
      </c>
      <c r="L284" s="4" t="str">
        <f>HYPERLINK("http://141.218.60.56/~jnz1568/getInfo.php?workbook=07_01.xlsx&amp;sheet=A0&amp;row=284&amp;col=12&amp;number=&amp;sourceID=11","")</f>
        <v/>
      </c>
      <c r="M284" s="4" t="str">
        <f>HYPERLINK("http://141.218.60.56/~jnz1568/getInfo.php?workbook=07_01.xlsx&amp;sheet=A0&amp;row=284&amp;col=13&amp;number=0.0016452&amp;sourceID=12","0.0016452")</f>
        <v>0.0016452</v>
      </c>
      <c r="N284" s="4" t="str">
        <f>HYPERLINK("http://141.218.60.56/~jnz1568/getInfo.php?workbook=07_01.xlsx&amp;sheet=A0&amp;row=284&amp;col=14&amp;number=0.0016452&amp;sourceID=12","0.0016452")</f>
        <v>0.0016452</v>
      </c>
      <c r="O284" s="4" t="str">
        <f>HYPERLINK("http://141.218.60.56/~jnz1568/getInfo.php?workbook=07_01.xlsx&amp;sheet=A0&amp;row=284&amp;col=15&amp;number=&amp;sourceID=12","")</f>
        <v/>
      </c>
      <c r="P284" s="4" t="str">
        <f>HYPERLINK("http://141.218.60.56/~jnz1568/getInfo.php?workbook=07_01.xlsx&amp;sheet=A0&amp;row=284&amp;col=16&amp;number=0&amp;sourceID=12","0")</f>
        <v>0</v>
      </c>
      <c r="Q284" s="4" t="str">
        <f>HYPERLINK("http://141.218.60.56/~jnz1568/getInfo.php?workbook=07_01.xlsx&amp;sheet=A0&amp;row=284&amp;col=17&amp;number=&amp;sourceID=12","")</f>
        <v/>
      </c>
      <c r="R284" s="4" t="str">
        <f>HYPERLINK("http://141.218.60.56/~jnz1568/getInfo.php?workbook=07_01.xlsx&amp;sheet=A0&amp;row=284&amp;col=18&amp;number=0&amp;sourceID=12","0")</f>
        <v>0</v>
      </c>
      <c r="S284" s="4" t="str">
        <f>HYPERLINK("http://141.218.60.56/~jnz1568/getInfo.php?workbook=07_01.xlsx&amp;sheet=A0&amp;row=284&amp;col=19&amp;number=&amp;sourceID=12","")</f>
        <v/>
      </c>
      <c r="T284" s="4" t="str">
        <f>HYPERLINK("http://141.218.60.56/~jnz1568/getInfo.php?workbook=07_01.xlsx&amp;sheet=A0&amp;row=284&amp;col=20&amp;number==SUM(U284:X284)&amp;sourceID=30","=SUM(U284:X284)")</f>
        <v>=SUM(U284:X284)</v>
      </c>
      <c r="U284" s="4" t="str">
        <f>HYPERLINK("http://141.218.60.56/~jnz1568/getInfo.php?workbook=07_01.xlsx&amp;sheet=A0&amp;row=284&amp;col=21&amp;number=0.001645&amp;sourceID=30","0.001645")</f>
        <v>0.001645</v>
      </c>
      <c r="V284" s="4" t="str">
        <f>HYPERLINK("http://141.218.60.56/~jnz1568/getInfo.php?workbook=07_01.xlsx&amp;sheet=A0&amp;row=284&amp;col=22&amp;number=&amp;sourceID=30","")</f>
        <v/>
      </c>
      <c r="W284" s="4" t="str">
        <f>HYPERLINK("http://141.218.60.56/~jnz1568/getInfo.php?workbook=07_01.xlsx&amp;sheet=A0&amp;row=284&amp;col=23&amp;number=&amp;sourceID=30","")</f>
        <v/>
      </c>
      <c r="X284" s="4" t="str">
        <f>HYPERLINK("http://141.218.60.56/~jnz1568/getInfo.php?workbook=07_01.xlsx&amp;sheet=A0&amp;row=284&amp;col=24&amp;number=0&amp;sourceID=30","0")</f>
        <v>0</v>
      </c>
      <c r="Y284" s="4" t="str">
        <f>HYPERLINK("http://141.218.60.56/~jnz1568/getInfo.php?workbook=07_01.xlsx&amp;sheet=A0&amp;row=284&amp;col=25&amp;number=&amp;sourceID=13","")</f>
        <v/>
      </c>
      <c r="Z284" s="4" t="str">
        <f>HYPERLINK("http://141.218.60.56/~jnz1568/getInfo.php?workbook=07_01.xlsx&amp;sheet=A0&amp;row=284&amp;col=26&amp;number=&amp;sourceID=13","")</f>
        <v/>
      </c>
      <c r="AA284" s="4" t="str">
        <f>HYPERLINK("http://141.218.60.56/~jnz1568/getInfo.php?workbook=07_01.xlsx&amp;sheet=A0&amp;row=284&amp;col=27&amp;number=&amp;sourceID=13","")</f>
        <v/>
      </c>
      <c r="AB284" s="4" t="str">
        <f>HYPERLINK("http://141.218.60.56/~jnz1568/getInfo.php?workbook=07_01.xlsx&amp;sheet=A0&amp;row=284&amp;col=28&amp;number=&amp;sourceID=13","")</f>
        <v/>
      </c>
      <c r="AC284" s="4" t="str">
        <f>HYPERLINK("http://141.218.60.56/~jnz1568/getInfo.php?workbook=07_01.xlsx&amp;sheet=A0&amp;row=284&amp;col=29&amp;number=&amp;sourceID=13","")</f>
        <v/>
      </c>
      <c r="AD284" s="4" t="str">
        <f>HYPERLINK("http://141.218.60.56/~jnz1568/getInfo.php?workbook=07_01.xlsx&amp;sheet=A0&amp;row=284&amp;col=30&amp;number=&amp;sourceID=13","")</f>
        <v/>
      </c>
    </row>
  </sheetData>
  <mergeCells count="1">
    <mergeCell ref="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</vt:lpstr>
      <vt:lpstr>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2015-04-13T05:02:40Z</dcterms:created>
  <dcterms:modified xsi:type="dcterms:W3CDTF">2015-04-13T05:02:40Z</dcterms:modified>
</cp:coreProperties>
</file>